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charts/chart7.xml" ContentType="application/vnd.openxmlformats-officedocument.drawingml.chart+xml"/>
  <Override PartName="/xl/comments9.xml" ContentType="application/vnd.openxmlformats-officedocument.spreadsheetml.comments+xml"/>
  <Override PartName="/xl/drawings/drawing6.xml" ContentType="application/vnd.openxmlformats-officedocument.drawing+xml"/>
  <Override PartName="/xl/comments10.xml" ContentType="application/vnd.openxmlformats-officedocument.spreadsheetml.comments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omments11.xml" ContentType="application/vnd.openxmlformats-officedocument.spreadsheetml.comments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showInkAnnotation="0"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apple/Documents/BVRRAG/SOFTWARE ENGINEERING/"/>
    </mc:Choice>
  </mc:AlternateContent>
  <bookViews>
    <workbookView xWindow="0" yWindow="460" windowWidth="38400" windowHeight="22380" tabRatio="892" activeTab="12"/>
  </bookViews>
  <sheets>
    <sheet name="SP070118" sheetId="82" r:id="rId1"/>
    <sheet name="Favorites" sheetId="86" state="hidden" r:id="rId2"/>
    <sheet name="Needs" sheetId="229" r:id="rId3"/>
    <sheet name="HWPricing" sheetId="230" r:id="rId4"/>
    <sheet name="Test" sheetId="83" r:id="rId5"/>
    <sheet name="Hardware" sheetId="18" r:id="rId6"/>
    <sheet name="WFBaseline" sheetId="285" state="hidden" r:id="rId7"/>
    <sheet name="Hardware (2)" sheetId="374" state="hidden" r:id="rId8"/>
    <sheet name="PCCalc" sheetId="404" r:id="rId9"/>
    <sheet name="Calculator" sheetId="92" r:id="rId10"/>
    <sheet name="Workflow" sheetId="90" r:id="rId11"/>
    <sheet name="Design" sheetId="350" r:id="rId12"/>
    <sheet name="Design1" sheetId="407" r:id="rId13"/>
  </sheets>
  <definedNames>
    <definedName name="_xlnm._FilterDatabase" localSheetId="4" hidden="1">Test!#REF!</definedName>
    <definedName name="_xlnm._FilterDatabase" localSheetId="10" hidden="1">Workflow!#REF!</definedName>
    <definedName name="AmazonVM" localSheetId="7">'Hardware (2)'!$A$332:$A$389</definedName>
    <definedName name="AmazonVM">Hardware!$A$369:$A$463</definedName>
    <definedName name="ArcFM">WFBaseline!$C$23:$O$25</definedName>
    <definedName name="ArcGIS_BASE">WFBaseline!$C$5:$O$18</definedName>
    <definedName name="ArcGIS103">WFBaseline!$C$4:$C$19</definedName>
    <definedName name="AzureVM" localSheetId="7">'Hardware (2)'!$A$391:$A$456</definedName>
    <definedName name="AzureVM">Hardware!$A$465:$A$545</definedName>
    <definedName name="CalcSvcTimes" localSheetId="9">Calculator!$E66:$Q79</definedName>
    <definedName name="ComplexArray" localSheetId="9">Calculator!$A$166:$B$177</definedName>
    <definedName name="ComplexList" localSheetId="9">Calculator!$A$166:$A$177</definedName>
    <definedName name="DataArray">Calculator!$C$163:$G$178</definedName>
    <definedName name="DataCache" localSheetId="9">Calculator!$A$104:$A$115</definedName>
    <definedName name="DesktopCandidates" localSheetId="7">'Hardware (2)'!$A$10:$A$68</definedName>
    <definedName name="DesktopCandidates">Hardware!$A$4:$A$86</definedName>
    <definedName name="GPU_Clients">HWPricing!$H$6:$H$8</definedName>
    <definedName name="GPU_Pricing" comment="GPU pricing lookup table.">HWPricing!$H$6:$I$8</definedName>
    <definedName name="GraphicsTraffic">Calculator!$D$118:$F$119</definedName>
    <definedName name="HostArray" localSheetId="11">Design!$J$185:$R$190</definedName>
    <definedName name="HostArray" localSheetId="12">Design1!$J$181:$R$186</definedName>
    <definedName name="HostMatch" localSheetId="12">Design1!$J$165:$R$179</definedName>
    <definedName name="HostMatch">Design!$J$169:$R$183</definedName>
    <definedName name="HWConfig">HWPricing!$A$2:$A$143</definedName>
    <definedName name="hwFAVORITES">Favorites!$A$42:$A$54</definedName>
    <definedName name="HWList" localSheetId="7">'Hardware (2)'!$A$9:$A$539</definedName>
    <definedName name="HWList">Hardware!$A$3:$A$632</definedName>
    <definedName name="HWPricing">HWPricing!$A$3:$F$142</definedName>
    <definedName name="HWRange" localSheetId="7">'Hardware (2)'!$A$9:$L$539</definedName>
    <definedName name="HWRange">Hardware!$A$3:$L$632</definedName>
    <definedName name="ImageDocList">Calculator!$B$117:$B$118</definedName>
    <definedName name="ImageMosaic" localSheetId="9">Calculator!$D$117:$D$117</definedName>
    <definedName name="ImageryDataArray">Calculator!$C$171:$G$178</definedName>
    <definedName name="ImageryDataList">Calculator!$C$171:$C$178</definedName>
    <definedName name="ImageryList">Calculator!$C$171:$C$178</definedName>
    <definedName name="ImageryProcessArray" localSheetId="9">Calculator!$D$117:$E$118</definedName>
    <definedName name="MapDataList">Calculator!$C$163:$C$169</definedName>
    <definedName name="MapDocArray">Calculator!$B$115:$C$118</definedName>
    <definedName name="MapDocList">Calculator!$B$115:$B$116</definedName>
    <definedName name="Memory">HWPricing!$L$2:$M$78</definedName>
    <definedName name="NL" localSheetId="11">Design!$CH$5:$CM$20</definedName>
    <definedName name="NL" localSheetId="12">Design1!$CH$5:$CM$16</definedName>
    <definedName name="NW" localSheetId="11">Design!$AA$5:$AE$19</definedName>
    <definedName name="NW" localSheetId="12">Design1!$AA$5:$AE$15</definedName>
    <definedName name="osADF">Calculator!$E$153:$E$157</definedName>
    <definedName name="osAdjust">Calculator!$H$151:$I$156</definedName>
    <definedName name="osDBMS">Calculator!$G$153:$G$157</definedName>
    <definedName name="osSDE">Calculator!$F$153:$F$157</definedName>
    <definedName name="osSOC">Calculator!$C$153:$C$154</definedName>
    <definedName name="osWAS">Calculator!$D$153:$D$157</definedName>
    <definedName name="osWorkstation">Calculator!$A$153:$A$153</definedName>
    <definedName name="osWTS">Calculator!$B$153:$B$153</definedName>
    <definedName name="OutputArray">Calculator!$B$105:$F$112</definedName>
    <definedName name="_xlnm.Print_Area" localSheetId="9">Calculator!$A$1:$K$29</definedName>
    <definedName name="ProcessorArray" localSheetId="5">Hardware!$B$128:$J$632</definedName>
    <definedName name="ProcessorArray" localSheetId="7">'Hardware (2)'!$B$107:$J$539</definedName>
    <definedName name="Project" localSheetId="7">'Hardware (2)'!$A$58:$A$70</definedName>
    <definedName name="Project">Hardware!$A$62:$A$88</definedName>
    <definedName name="Resolution">Calculator!$H$105:$K$116</definedName>
    <definedName name="SADS" localSheetId="7">'Hardware (2)'!$A$494:$A$522</definedName>
    <definedName name="SADS">Hardware!$A$582:$A$615</definedName>
    <definedName name="ServerCandidates" localSheetId="7">'Hardware (2)'!$A$58:$A$539</definedName>
    <definedName name="ServerCandidates">Hardware!$A$62:$A$632</definedName>
    <definedName name="solver_adj" localSheetId="11" hidden="1">Design!#REF!</definedName>
    <definedName name="solver_adj" localSheetId="12" hidden="1">Design1!#REF!</definedName>
    <definedName name="solver_cvg" localSheetId="11" hidden="1">0.0001</definedName>
    <definedName name="solver_cvg" localSheetId="12" hidden="1">0.0001</definedName>
    <definedName name="solver_drv" localSheetId="11" hidden="1">1</definedName>
    <definedName name="solver_drv" localSheetId="12" hidden="1">1</definedName>
    <definedName name="solver_est" localSheetId="11" hidden="1">1</definedName>
    <definedName name="solver_est" localSheetId="12" hidden="1">1</definedName>
    <definedName name="solver_itr" localSheetId="11" hidden="1">100</definedName>
    <definedName name="solver_itr" localSheetId="12" hidden="1">100</definedName>
    <definedName name="solver_lin" localSheetId="11" hidden="1">2</definedName>
    <definedName name="solver_lin" localSheetId="12" hidden="1">2</definedName>
    <definedName name="solver_neg" localSheetId="11" hidden="1">2</definedName>
    <definedName name="solver_neg" localSheetId="12" hidden="1">2</definedName>
    <definedName name="solver_num" localSheetId="11" hidden="1">0</definedName>
    <definedName name="solver_num" localSheetId="12" hidden="1">0</definedName>
    <definedName name="solver_nwt" localSheetId="11" hidden="1">1</definedName>
    <definedName name="solver_nwt" localSheetId="12" hidden="1">1</definedName>
    <definedName name="solver_opt" localSheetId="11" hidden="1">Design!#REF!</definedName>
    <definedName name="solver_opt" localSheetId="12" hidden="1">Design1!#REF!</definedName>
    <definedName name="solver_pre" localSheetId="11" hidden="1">0.000001</definedName>
    <definedName name="solver_pre" localSheetId="12" hidden="1">0.000001</definedName>
    <definedName name="solver_scl" localSheetId="11" hidden="1">2</definedName>
    <definedName name="solver_scl" localSheetId="12" hidden="1">2</definedName>
    <definedName name="solver_sho" localSheetId="11" hidden="1">2</definedName>
    <definedName name="solver_sho" localSheetId="12" hidden="1">2</definedName>
    <definedName name="solver_tim" localSheetId="11" hidden="1">100</definedName>
    <definedName name="solver_tim" localSheetId="12" hidden="1">100</definedName>
    <definedName name="solver_tol" localSheetId="11" hidden="1">0.05</definedName>
    <definedName name="solver_tol" localSheetId="12" hidden="1">0.05</definedName>
    <definedName name="solver_typ" localSheetId="11" hidden="1">3</definedName>
    <definedName name="solver_typ" localSheetId="12" hidden="1">3</definedName>
    <definedName name="solver_val" localSheetId="11" hidden="1">0</definedName>
    <definedName name="solver_val" localSheetId="12" hidden="1">0</definedName>
    <definedName name="STDwfRANGE">Workflow!$A$2:$P$80</definedName>
    <definedName name="SWServiceTimes" localSheetId="11">Design!$BG$5:$BP$19</definedName>
    <definedName name="SWServiceTimes" localSheetId="12">Design1!$BG$5:$BP$15</definedName>
    <definedName name="UNIX" localSheetId="7">'Hardware (2)'!$A$458:$A$492</definedName>
    <definedName name="UNIX">Hardware!$A$547:$A$581</definedName>
    <definedName name="UserNeed">Calculator!$A$162:$A$164</definedName>
    <definedName name="UserNeedCalc">Calculator!$B$162:$B$164</definedName>
    <definedName name="VAdjust">Calculator!$H$158:$I$160</definedName>
    <definedName name="VAlist">Calculator!$H$158:$H$160</definedName>
    <definedName name="VMLoad">Calculator!$H$162:$M$163</definedName>
    <definedName name="VMset">Calculator!$H$168:$H$169</definedName>
    <definedName name="WBarray">WFBaseline!$R$2:$U$16</definedName>
    <definedName name="WBlist">WFBaseline!$A$7:$A$16</definedName>
    <definedName name="WBselect">WFBaseline!$A$7:$B$16</definedName>
    <definedName name="WFbaseline">WFBaseline!$C$4:$O$26</definedName>
    <definedName name="wfFavorites">Favorites!$A$4:$A$40</definedName>
    <definedName name="wfList">Workflow!$A$6:$A$80</definedName>
    <definedName name="WfProfileList" localSheetId="4">Test!$E$66:$E$68</definedName>
    <definedName name="wfProfileRange" localSheetId="4">Test!$E$66:$Q$77</definedName>
    <definedName name="wfRange">Workflow!$A$2:$AF$80</definedName>
    <definedName name="Windows" localSheetId="7">'Hardware (2)'!$A$71:$A$330</definedName>
    <definedName name="Windows">Hardware!$A$89:$A$367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229" l="1"/>
  <c r="C35" i="229"/>
  <c r="C33" i="229"/>
  <c r="C25" i="229"/>
  <c r="C24" i="229"/>
  <c r="E18" i="229"/>
  <c r="C18" i="229"/>
  <c r="L17" i="229"/>
  <c r="J17" i="229"/>
  <c r="J18" i="229"/>
  <c r="I17" i="229"/>
  <c r="I18" i="229"/>
  <c r="H17" i="229"/>
  <c r="H18" i="229"/>
  <c r="G17" i="229"/>
  <c r="G18" i="229"/>
  <c r="F17" i="229"/>
  <c r="E17" i="229"/>
  <c r="D17" i="229"/>
  <c r="C17" i="229"/>
  <c r="B17" i="229"/>
  <c r="B18" i="229"/>
  <c r="A17" i="229"/>
  <c r="M16" i="229"/>
  <c r="M17" i="229"/>
  <c r="M18" i="229"/>
  <c r="K16" i="229"/>
  <c r="K17" i="229"/>
  <c r="K18" i="229"/>
  <c r="L14" i="229"/>
  <c r="J14" i="229"/>
  <c r="I14" i="229"/>
  <c r="H14" i="229"/>
  <c r="G14" i="229"/>
  <c r="F14" i="229"/>
  <c r="F18" i="229"/>
  <c r="E14" i="229"/>
  <c r="D14" i="229"/>
  <c r="C14" i="229"/>
  <c r="B14" i="229"/>
  <c r="A14" i="229"/>
  <c r="M13" i="229"/>
  <c r="K13" i="229"/>
  <c r="M12" i="229"/>
  <c r="M14" i="229"/>
  <c r="K12" i="229"/>
  <c r="K14" i="229"/>
  <c r="M10" i="229"/>
  <c r="L10" i="229"/>
  <c r="L18" i="229"/>
  <c r="K10" i="229"/>
  <c r="I10" i="229"/>
  <c r="H10" i="229"/>
  <c r="G10" i="229"/>
  <c r="F10" i="229"/>
  <c r="D10" i="229"/>
  <c r="D18" i="229"/>
  <c r="C10" i="229"/>
  <c r="B10" i="229"/>
  <c r="A10" i="229"/>
  <c r="BB322" i="90"/>
  <c r="AC322" i="90"/>
  <c r="AA322" i="90"/>
  <c r="T322" i="90"/>
  <c r="S322" i="90"/>
  <c r="R322" i="90"/>
  <c r="P322" i="90"/>
  <c r="AM322" i="90"/>
  <c r="BB321" i="90"/>
  <c r="AC321" i="90"/>
  <c r="AA321" i="90"/>
  <c r="T321" i="90"/>
  <c r="S321" i="90"/>
  <c r="R321" i="90"/>
  <c r="P321" i="90"/>
  <c r="AK321" i="90"/>
  <c r="AC320" i="90"/>
  <c r="AA320" i="90"/>
  <c r="S320" i="90"/>
  <c r="R320" i="90"/>
  <c r="P320" i="90"/>
  <c r="AN320" i="90"/>
  <c r="AC319" i="90"/>
  <c r="AA319" i="90"/>
  <c r="S319" i="90"/>
  <c r="R319" i="90"/>
  <c r="P319" i="90"/>
  <c r="AL319" i="90"/>
  <c r="AC318" i="90"/>
  <c r="AA318" i="90"/>
  <c r="T318" i="90"/>
  <c r="S318" i="90"/>
  <c r="R318" i="90"/>
  <c r="P318" i="90"/>
  <c r="AM318" i="90"/>
  <c r="AC317" i="90"/>
  <c r="AA317" i="90"/>
  <c r="T317" i="90"/>
  <c r="S317" i="90"/>
  <c r="R317" i="90"/>
  <c r="P317" i="90"/>
  <c r="AM317" i="90"/>
  <c r="AC316" i="90"/>
  <c r="AA316" i="90"/>
  <c r="T316" i="90"/>
  <c r="S316" i="90"/>
  <c r="R316" i="90"/>
  <c r="P316" i="90"/>
  <c r="AJ316" i="90"/>
  <c r="AC315" i="90"/>
  <c r="AA315" i="90"/>
  <c r="T315" i="90"/>
  <c r="S315" i="90"/>
  <c r="R315" i="90"/>
  <c r="P315" i="90"/>
  <c r="AN315" i="90"/>
  <c r="AN314" i="90"/>
  <c r="AM314" i="90"/>
  <c r="AL314" i="90"/>
  <c r="AK314" i="90"/>
  <c r="AJ314" i="90"/>
  <c r="AI314" i="90"/>
  <c r="AH314" i="90"/>
  <c r="AF314" i="90"/>
  <c r="V314" i="90"/>
  <c r="O314" i="90"/>
  <c r="N314" i="90"/>
  <c r="M314" i="90"/>
  <c r="C314" i="90"/>
  <c r="B314" i="90"/>
  <c r="AI317" i="90"/>
  <c r="AI318" i="90"/>
  <c r="AN319" i="90"/>
  <c r="AL320" i="90"/>
  <c r="AI319" i="90"/>
  <c r="AI320" i="90"/>
  <c r="AM319" i="90"/>
  <c r="AJ320" i="90"/>
  <c r="AL321" i="90"/>
  <c r="AI322" i="90"/>
  <c r="AN317" i="90"/>
  <c r="AM320" i="90"/>
  <c r="AM321" i="90"/>
  <c r="AN322" i="90"/>
  <c r="AN321" i="90"/>
  <c r="AL316" i="90"/>
  <c r="AJ318" i="90"/>
  <c r="AI315" i="90"/>
  <c r="AM316" i="90"/>
  <c r="AK318" i="90"/>
  <c r="AK320" i="90"/>
  <c r="AK316" i="90"/>
  <c r="AJ315" i="90"/>
  <c r="AL318" i="90"/>
  <c r="AJ317" i="90"/>
  <c r="AL315" i="90"/>
  <c r="AK317" i="90"/>
  <c r="AN318" i="90"/>
  <c r="AJ319" i="90"/>
  <c r="AI321" i="90"/>
  <c r="AK322" i="90"/>
  <c r="AN316" i="90"/>
  <c r="AJ322" i="90"/>
  <c r="AM315" i="90"/>
  <c r="AI316" i="90"/>
  <c r="AL317" i="90"/>
  <c r="AK319" i="90"/>
  <c r="AJ321" i="90"/>
  <c r="AL322" i="90"/>
  <c r="AK315" i="90"/>
  <c r="AH322" i="90"/>
  <c r="AH320" i="90"/>
  <c r="AH321" i="90"/>
  <c r="AH318" i="90"/>
  <c r="AH317" i="90"/>
  <c r="AH315" i="90"/>
  <c r="AH319" i="90"/>
  <c r="AH316" i="90"/>
  <c r="H126" i="18"/>
  <c r="A126" i="18"/>
  <c r="G126" i="18"/>
  <c r="H189" i="407"/>
  <c r="H188" i="407"/>
  <c r="B188" i="407"/>
  <c r="A188" i="407"/>
  <c r="B187" i="407"/>
  <c r="A187" i="407"/>
  <c r="J184" i="407"/>
  <c r="Q186" i="407"/>
  <c r="J186" i="407"/>
  <c r="B186" i="407"/>
  <c r="A186" i="407"/>
  <c r="B185" i="407"/>
  <c r="A185" i="407"/>
  <c r="J182" i="407"/>
  <c r="B184" i="407"/>
  <c r="A184" i="407"/>
  <c r="A181" i="407"/>
  <c r="Q180" i="407"/>
  <c r="O180" i="407"/>
  <c r="K179" i="407"/>
  <c r="L179" i="407"/>
  <c r="B179" i="407"/>
  <c r="A179" i="407"/>
  <c r="K178" i="407"/>
  <c r="O178" i="407"/>
  <c r="B178" i="407"/>
  <c r="A178" i="407"/>
  <c r="J178" i="407"/>
  <c r="K177" i="407"/>
  <c r="N177" i="407"/>
  <c r="C177" i="407"/>
  <c r="B177" i="407"/>
  <c r="A177" i="407"/>
  <c r="K176" i="407"/>
  <c r="O176" i="407"/>
  <c r="B176" i="407"/>
  <c r="A176" i="407"/>
  <c r="J176" i="407"/>
  <c r="K175" i="407"/>
  <c r="C175" i="407"/>
  <c r="B175" i="407"/>
  <c r="A175" i="407"/>
  <c r="K174" i="407"/>
  <c r="O174" i="407"/>
  <c r="B174" i="407"/>
  <c r="A174" i="407"/>
  <c r="J174" i="407"/>
  <c r="K173" i="407"/>
  <c r="P173" i="407"/>
  <c r="R55" i="407"/>
  <c r="B173" i="407"/>
  <c r="A173" i="407"/>
  <c r="K172" i="407"/>
  <c r="O172" i="407"/>
  <c r="B172" i="407"/>
  <c r="A172" i="407"/>
  <c r="J172" i="407"/>
  <c r="K171" i="407"/>
  <c r="L171" i="407"/>
  <c r="B171" i="407"/>
  <c r="A171" i="407"/>
  <c r="K170" i="407"/>
  <c r="P170" i="407"/>
  <c r="R43" i="407"/>
  <c r="B170" i="407"/>
  <c r="A170" i="407"/>
  <c r="J170" i="407"/>
  <c r="K169" i="407"/>
  <c r="N169" i="407"/>
  <c r="B169" i="407"/>
  <c r="A169" i="407"/>
  <c r="K168" i="407"/>
  <c r="O168" i="407"/>
  <c r="B168" i="407"/>
  <c r="A168" i="407"/>
  <c r="J168" i="407"/>
  <c r="K167" i="407"/>
  <c r="B167" i="407"/>
  <c r="A167" i="407"/>
  <c r="K166" i="407"/>
  <c r="O166" i="407"/>
  <c r="B166" i="407"/>
  <c r="A166" i="407"/>
  <c r="J166" i="407"/>
  <c r="K165" i="407"/>
  <c r="O165" i="407"/>
  <c r="C165" i="407"/>
  <c r="B165" i="407"/>
  <c r="A165" i="407"/>
  <c r="J165" i="407"/>
  <c r="B164" i="407"/>
  <c r="A164" i="407"/>
  <c r="BF4" i="407"/>
  <c r="I163" i="407"/>
  <c r="D121" i="407"/>
  <c r="D120" i="407"/>
  <c r="F118" i="407"/>
  <c r="E118" i="407"/>
  <c r="C118" i="407"/>
  <c r="A116" i="407"/>
  <c r="BK116" i="407"/>
  <c r="CK99" i="407"/>
  <c r="U99" i="407"/>
  <c r="T98" i="407"/>
  <c r="H98" i="407"/>
  <c r="CK97" i="407"/>
  <c r="CG97" i="407"/>
  <c r="AF97" i="407"/>
  <c r="R185" i="407"/>
  <c r="CK96" i="407"/>
  <c r="AF96" i="407"/>
  <c r="T95" i="407"/>
  <c r="M95" i="407"/>
  <c r="H95" i="407"/>
  <c r="CK94" i="407"/>
  <c r="CG94" i="407"/>
  <c r="AF94" i="407"/>
  <c r="R184" i="407"/>
  <c r="C94" i="407"/>
  <c r="CK93" i="407"/>
  <c r="AF93" i="407"/>
  <c r="T92" i="407"/>
  <c r="H92" i="407"/>
  <c r="CK91" i="407"/>
  <c r="CG91" i="407"/>
  <c r="AF91" i="407"/>
  <c r="R183" i="407"/>
  <c r="CK90" i="407"/>
  <c r="AF90" i="407"/>
  <c r="T89" i="407"/>
  <c r="M89" i="407"/>
  <c r="D122" i="407"/>
  <c r="CK88" i="407"/>
  <c r="CG88" i="407"/>
  <c r="AF88" i="407"/>
  <c r="R182" i="407"/>
  <c r="K88" i="407"/>
  <c r="C88" i="407"/>
  <c r="B88" i="407"/>
  <c r="S89" i="407"/>
  <c r="CK87" i="407"/>
  <c r="AF87" i="407"/>
  <c r="T86" i="407"/>
  <c r="CK85" i="407"/>
  <c r="CG85" i="407"/>
  <c r="AF85" i="407"/>
  <c r="R181" i="407"/>
  <c r="K85" i="407"/>
  <c r="B85" i="407"/>
  <c r="CK84" i="407"/>
  <c r="AF84" i="407"/>
  <c r="T81" i="407"/>
  <c r="I81" i="407"/>
  <c r="H81" i="407"/>
  <c r="H86" i="407"/>
  <c r="H89" i="407"/>
  <c r="C81" i="407"/>
  <c r="CK80" i="407"/>
  <c r="AF79" i="407"/>
  <c r="AF80" i="407"/>
  <c r="CK78" i="407"/>
  <c r="CI78" i="407"/>
  <c r="CH78" i="407"/>
  <c r="AF78" i="407"/>
  <c r="G179" i="407"/>
  <c r="R179" i="407"/>
  <c r="Q78" i="407"/>
  <c r="J78" i="407"/>
  <c r="T77" i="407"/>
  <c r="I77" i="407"/>
  <c r="H77" i="407"/>
  <c r="C77" i="407"/>
  <c r="CK76" i="407"/>
  <c r="AF75" i="407"/>
  <c r="AF76" i="407"/>
  <c r="B75" i="407"/>
  <c r="CK74" i="407"/>
  <c r="CI74" i="407"/>
  <c r="CH74" i="407"/>
  <c r="AF74" i="407"/>
  <c r="G178" i="407"/>
  <c r="R178" i="407"/>
  <c r="Q74" i="407"/>
  <c r="J74" i="407"/>
  <c r="T73" i="407"/>
  <c r="I73" i="407"/>
  <c r="H73" i="407"/>
  <c r="C73" i="407"/>
  <c r="CK72" i="407"/>
  <c r="CH71" i="407"/>
  <c r="AF71" i="407"/>
  <c r="AF72" i="407"/>
  <c r="S71" i="407"/>
  <c r="S73" i="407"/>
  <c r="M73" i="407"/>
  <c r="CK70" i="407"/>
  <c r="CI70" i="407"/>
  <c r="CH70" i="407"/>
  <c r="AF70" i="407"/>
  <c r="G177" i="407"/>
  <c r="R177" i="407"/>
  <c r="Q70" i="407"/>
  <c r="J70" i="407"/>
  <c r="I70" i="407"/>
  <c r="I74" i="407"/>
  <c r="I78" i="407"/>
  <c r="T69" i="407"/>
  <c r="I69" i="407"/>
  <c r="H69" i="407"/>
  <c r="C69" i="407"/>
  <c r="CK68" i="407"/>
  <c r="CW67" i="407"/>
  <c r="BB67" i="407"/>
  <c r="AF67" i="407"/>
  <c r="AF68" i="407"/>
  <c r="M67" i="407"/>
  <c r="K67" i="407"/>
  <c r="D112" i="407"/>
  <c r="B67" i="407"/>
  <c r="CK66" i="407"/>
  <c r="CI66" i="407"/>
  <c r="CH66" i="407"/>
  <c r="AF66" i="407"/>
  <c r="G176" i="407"/>
  <c r="R176" i="407"/>
  <c r="Q66" i="407"/>
  <c r="O66" i="407"/>
  <c r="J66" i="407"/>
  <c r="BB65" i="407"/>
  <c r="T65" i="407"/>
  <c r="I65" i="407"/>
  <c r="H65" i="407"/>
  <c r="C65" i="407"/>
  <c r="CK64" i="407"/>
  <c r="CH63" i="407"/>
  <c r="AF63" i="407"/>
  <c r="AF64" i="407"/>
  <c r="S63" i="407"/>
  <c r="S65" i="407"/>
  <c r="CK62" i="407"/>
  <c r="CI62" i="407"/>
  <c r="CH62" i="407"/>
  <c r="AF62" i="407"/>
  <c r="J62" i="407"/>
  <c r="BB60" i="407"/>
  <c r="T60" i="407"/>
  <c r="I60" i="407"/>
  <c r="H60" i="407"/>
  <c r="C60" i="407"/>
  <c r="CK59" i="407"/>
  <c r="AF58" i="407"/>
  <c r="AF59" i="407"/>
  <c r="M58" i="407"/>
  <c r="K58" i="407"/>
  <c r="M59" i="407"/>
  <c r="CK57" i="407"/>
  <c r="CI57" i="407"/>
  <c r="CH57" i="407"/>
  <c r="AF57" i="407"/>
  <c r="G174" i="407"/>
  <c r="R174" i="407"/>
  <c r="Q57" i="407"/>
  <c r="J57" i="407"/>
  <c r="BB56" i="407"/>
  <c r="T56" i="407"/>
  <c r="I56" i="407"/>
  <c r="H56" i="407"/>
  <c r="C56" i="407"/>
  <c r="CK55" i="407"/>
  <c r="AF54" i="407"/>
  <c r="AF55" i="407"/>
  <c r="CK53" i="407"/>
  <c r="CI53" i="407"/>
  <c r="CH53" i="407"/>
  <c r="AF53" i="407"/>
  <c r="G173" i="407"/>
  <c r="R173" i="407"/>
  <c r="Q53" i="407"/>
  <c r="J53" i="407"/>
  <c r="BB52" i="407"/>
  <c r="T52" i="407"/>
  <c r="I52" i="407"/>
  <c r="H52" i="407"/>
  <c r="C52" i="407"/>
  <c r="CK51" i="407"/>
  <c r="AF50" i="407"/>
  <c r="AF51" i="407"/>
  <c r="CK49" i="407"/>
  <c r="CI49" i="407"/>
  <c r="CH49" i="407"/>
  <c r="AF49" i="407"/>
  <c r="G172" i="407"/>
  <c r="R172" i="407"/>
  <c r="Q49" i="407"/>
  <c r="J49" i="407"/>
  <c r="BB48" i="407"/>
  <c r="T48" i="407"/>
  <c r="I48" i="407"/>
  <c r="H48" i="407"/>
  <c r="C48" i="407"/>
  <c r="CK47" i="407"/>
  <c r="AF46" i="407"/>
  <c r="AF47" i="407"/>
  <c r="CK45" i="407"/>
  <c r="CI45" i="407"/>
  <c r="CH45" i="407"/>
  <c r="AF45" i="407"/>
  <c r="G171" i="407"/>
  <c r="R171" i="407"/>
  <c r="Q45" i="407"/>
  <c r="J45" i="407"/>
  <c r="BB44" i="407"/>
  <c r="T44" i="407"/>
  <c r="I44" i="407"/>
  <c r="H44" i="407"/>
  <c r="C44" i="407"/>
  <c r="CK43" i="407"/>
  <c r="AF42" i="407"/>
  <c r="AF43" i="407"/>
  <c r="CK41" i="407"/>
  <c r="CI41" i="407"/>
  <c r="CH41" i="407"/>
  <c r="AF41" i="407"/>
  <c r="G170" i="407"/>
  <c r="R170" i="407"/>
  <c r="Q41" i="407"/>
  <c r="J41" i="407"/>
  <c r="T39" i="407"/>
  <c r="I39" i="407"/>
  <c r="H39" i="407"/>
  <c r="C39" i="407"/>
  <c r="CK38" i="407"/>
  <c r="AF37" i="407"/>
  <c r="AF38" i="407"/>
  <c r="CK36" i="407"/>
  <c r="CI36" i="407"/>
  <c r="CH36" i="407"/>
  <c r="AF36" i="407"/>
  <c r="G169" i="407"/>
  <c r="R169" i="407"/>
  <c r="Q36" i="407"/>
  <c r="J36" i="407"/>
  <c r="T35" i="407"/>
  <c r="I35" i="407"/>
  <c r="H35" i="407"/>
  <c r="C35" i="407"/>
  <c r="CK34" i="407"/>
  <c r="AF33" i="407"/>
  <c r="AF34" i="407"/>
  <c r="K33" i="407"/>
  <c r="CK32" i="407"/>
  <c r="CI32" i="407"/>
  <c r="CH32" i="407"/>
  <c r="AF32" i="407"/>
  <c r="G168" i="407"/>
  <c r="R168" i="407"/>
  <c r="Q32" i="407"/>
  <c r="J32" i="407"/>
  <c r="T31" i="407"/>
  <c r="I31" i="407"/>
  <c r="H31" i="407"/>
  <c r="C31" i="407"/>
  <c r="CK30" i="407"/>
  <c r="AF29" i="407"/>
  <c r="AF30" i="407"/>
  <c r="CK28" i="407"/>
  <c r="CI28" i="407"/>
  <c r="CH28" i="407"/>
  <c r="AF28" i="407"/>
  <c r="G167" i="407"/>
  <c r="R167" i="407"/>
  <c r="Q28" i="407"/>
  <c r="J28" i="407"/>
  <c r="T27" i="407"/>
  <c r="N27" i="407"/>
  <c r="I27" i="407"/>
  <c r="H27" i="407"/>
  <c r="C27" i="407"/>
  <c r="CK26" i="407"/>
  <c r="AF25" i="407"/>
  <c r="AF26" i="407"/>
  <c r="B25" i="407"/>
  <c r="CK24" i="407"/>
  <c r="CI24" i="407"/>
  <c r="CH24" i="407"/>
  <c r="AF24" i="407"/>
  <c r="G166" i="407"/>
  <c r="R166" i="407"/>
  <c r="Q24" i="407"/>
  <c r="J24" i="407"/>
  <c r="I24" i="407"/>
  <c r="I28" i="407"/>
  <c r="I32" i="407"/>
  <c r="I36" i="407"/>
  <c r="I41" i="407"/>
  <c r="I45" i="407"/>
  <c r="I49" i="407"/>
  <c r="I53" i="407"/>
  <c r="I57" i="407"/>
  <c r="T23" i="407"/>
  <c r="N23" i="407"/>
  <c r="I23" i="407"/>
  <c r="H23" i="407"/>
  <c r="C23" i="407"/>
  <c r="CK22" i="407"/>
  <c r="J22" i="407"/>
  <c r="J26" i="407"/>
  <c r="CH21" i="407"/>
  <c r="AF21" i="407"/>
  <c r="AF22" i="407"/>
  <c r="S21" i="407"/>
  <c r="S23" i="407"/>
  <c r="M23" i="407"/>
  <c r="K21" i="407"/>
  <c r="N22" i="407"/>
  <c r="CK20" i="407"/>
  <c r="CI20" i="407"/>
  <c r="CH20" i="407"/>
  <c r="AF20" i="407"/>
  <c r="G165" i="407"/>
  <c r="R165" i="407"/>
  <c r="Q20" i="407"/>
  <c r="K20" i="407"/>
  <c r="J20" i="407"/>
  <c r="B19" i="407"/>
  <c r="BC18" i="407"/>
  <c r="K17" i="407"/>
  <c r="D16" i="407"/>
  <c r="C16" i="407"/>
  <c r="HC15" i="407"/>
  <c r="HB15" i="407"/>
  <c r="HA15" i="407"/>
  <c r="CV15" i="407"/>
  <c r="CU15" i="407"/>
  <c r="CQ15" i="407"/>
  <c r="CM15" i="407"/>
  <c r="CI15" i="407"/>
  <c r="X15" i="407"/>
  <c r="F15" i="407"/>
  <c r="CR15" i="407"/>
  <c r="E15" i="407"/>
  <c r="B15" i="407"/>
  <c r="CT15" i="407"/>
  <c r="A15" i="407"/>
  <c r="GZ14" i="407"/>
  <c r="GY14" i="407"/>
  <c r="GX14" i="407"/>
  <c r="GR14" i="407"/>
  <c r="GL14" i="407"/>
  <c r="GF14" i="407"/>
  <c r="FZ14" i="407"/>
  <c r="FT14" i="407"/>
  <c r="FN14" i="407"/>
  <c r="FH14" i="407"/>
  <c r="FB14" i="407"/>
  <c r="EV14" i="407"/>
  <c r="EP14" i="407"/>
  <c r="EJ14" i="407"/>
  <c r="ED14" i="407"/>
  <c r="DX14" i="407"/>
  <c r="DR14" i="407"/>
  <c r="DL14" i="407"/>
  <c r="CZ14" i="407"/>
  <c r="CU14" i="407"/>
  <c r="CT14" i="407"/>
  <c r="A14" i="407"/>
  <c r="HC13" i="407"/>
  <c r="HC3" i="407"/>
  <c r="HB13" i="407"/>
  <c r="HA13" i="407"/>
  <c r="CV13" i="407"/>
  <c r="CU13" i="407"/>
  <c r="CT13" i="407"/>
  <c r="A13" i="407"/>
  <c r="CJ13" i="407"/>
  <c r="GZ12" i="407"/>
  <c r="GY12" i="407"/>
  <c r="GX12" i="407"/>
  <c r="GR12" i="407"/>
  <c r="GL12" i="407"/>
  <c r="GF12" i="407"/>
  <c r="FZ12" i="407"/>
  <c r="FT12" i="407"/>
  <c r="FN12" i="407"/>
  <c r="FH12" i="407"/>
  <c r="FB12" i="407"/>
  <c r="EV12" i="407"/>
  <c r="EP12" i="407"/>
  <c r="EJ12" i="407"/>
  <c r="ED12" i="407"/>
  <c r="DX12" i="407"/>
  <c r="DR12" i="407"/>
  <c r="DL12" i="407"/>
  <c r="CZ12" i="407"/>
  <c r="CU12" i="407"/>
  <c r="CT12" i="407"/>
  <c r="A12" i="407"/>
  <c r="GZ11" i="407"/>
  <c r="GY11" i="407"/>
  <c r="GX11" i="407"/>
  <c r="GR11" i="407"/>
  <c r="GL11" i="407"/>
  <c r="GF11" i="407"/>
  <c r="FZ11" i="407"/>
  <c r="FT11" i="407"/>
  <c r="FN11" i="407"/>
  <c r="FH11" i="407"/>
  <c r="FB11" i="407"/>
  <c r="EV11" i="407"/>
  <c r="EP11" i="407"/>
  <c r="EJ11" i="407"/>
  <c r="ED11" i="407"/>
  <c r="DX11" i="407"/>
  <c r="DR11" i="407"/>
  <c r="DL11" i="407"/>
  <c r="CZ11" i="407"/>
  <c r="CU11" i="407"/>
  <c r="CT11" i="407"/>
  <c r="A11" i="407"/>
  <c r="GZ10" i="407"/>
  <c r="GY10" i="407"/>
  <c r="GX10" i="407"/>
  <c r="GR10" i="407"/>
  <c r="GL10" i="407"/>
  <c r="GF10" i="407"/>
  <c r="FZ10" i="407"/>
  <c r="FT10" i="407"/>
  <c r="FN10" i="407"/>
  <c r="FH10" i="407"/>
  <c r="FB10" i="407"/>
  <c r="EV10" i="407"/>
  <c r="EP10" i="407"/>
  <c r="EJ10" i="407"/>
  <c r="ED10" i="407"/>
  <c r="DX10" i="407"/>
  <c r="DR10" i="407"/>
  <c r="DL10" i="407"/>
  <c r="CZ10" i="407"/>
  <c r="CU10" i="407"/>
  <c r="CT10" i="407"/>
  <c r="A10" i="407"/>
  <c r="HB9" i="407"/>
  <c r="HB3" i="407"/>
  <c r="HA9" i="407"/>
  <c r="CV9" i="407"/>
  <c r="CU9" i="407"/>
  <c r="CT9" i="407"/>
  <c r="A9" i="407"/>
  <c r="CJ9" i="407"/>
  <c r="GZ8" i="407"/>
  <c r="GY8" i="407"/>
  <c r="GX8" i="407"/>
  <c r="GR8" i="407"/>
  <c r="GL8" i="407"/>
  <c r="GF8" i="407"/>
  <c r="FZ8" i="407"/>
  <c r="FT8" i="407"/>
  <c r="FN8" i="407"/>
  <c r="FH8" i="407"/>
  <c r="FB8" i="407"/>
  <c r="EV8" i="407"/>
  <c r="EP8" i="407"/>
  <c r="EJ8" i="407"/>
  <c r="ED8" i="407"/>
  <c r="DX8" i="407"/>
  <c r="DR8" i="407"/>
  <c r="DL8" i="407"/>
  <c r="CZ8" i="407"/>
  <c r="CU8" i="407"/>
  <c r="CT8" i="407"/>
  <c r="A8" i="407"/>
  <c r="GZ7" i="407"/>
  <c r="GY7" i="407"/>
  <c r="GX7" i="407"/>
  <c r="GR7" i="407"/>
  <c r="GL7" i="407"/>
  <c r="GF7" i="407"/>
  <c r="FZ7" i="407"/>
  <c r="FT7" i="407"/>
  <c r="FN7" i="407"/>
  <c r="FH7" i="407"/>
  <c r="FB7" i="407"/>
  <c r="EV7" i="407"/>
  <c r="EP7" i="407"/>
  <c r="EJ7" i="407"/>
  <c r="ED7" i="407"/>
  <c r="DX7" i="407"/>
  <c r="DR7" i="407"/>
  <c r="DL7" i="407"/>
  <c r="CZ7" i="407"/>
  <c r="CU7" i="407"/>
  <c r="CT7" i="407"/>
  <c r="A7" i="407"/>
  <c r="GZ6" i="407"/>
  <c r="GY6" i="407"/>
  <c r="GX6" i="407"/>
  <c r="GR6" i="407"/>
  <c r="GL6" i="407"/>
  <c r="GF6" i="407"/>
  <c r="FZ6" i="407"/>
  <c r="FT6" i="407"/>
  <c r="FN6" i="407"/>
  <c r="FH6" i="407"/>
  <c r="FB6" i="407"/>
  <c r="EV6" i="407"/>
  <c r="EP6" i="407"/>
  <c r="EJ6" i="407"/>
  <c r="ED6" i="407"/>
  <c r="DX6" i="407"/>
  <c r="DR6" i="407"/>
  <c r="DL6" i="407"/>
  <c r="CZ6" i="407"/>
  <c r="CU6" i="407"/>
  <c r="CT6" i="407"/>
  <c r="A6" i="407"/>
  <c r="HA5" i="407"/>
  <c r="CV5" i="407"/>
  <c r="CU5" i="407"/>
  <c r="CT5" i="407"/>
  <c r="A5" i="407"/>
  <c r="CQ5" i="407"/>
  <c r="CJ5" i="407"/>
  <c r="CH5" i="407"/>
  <c r="M5" i="407"/>
  <c r="CE4" i="407"/>
  <c r="GM3" i="407"/>
  <c r="CC4" i="407"/>
  <c r="CA4" i="407"/>
  <c r="FO3" i="407"/>
  <c r="BU4" i="407"/>
  <c r="BR4" i="407"/>
  <c r="BQ4" i="407"/>
  <c r="DH3" i="407"/>
  <c r="BO4" i="407"/>
  <c r="BM4" i="407"/>
  <c r="BJ4" i="407"/>
  <c r="M4" i="407"/>
  <c r="L4" i="407"/>
  <c r="J4" i="407"/>
  <c r="BH5" i="407"/>
  <c r="GW3" i="407"/>
  <c r="GQ3" i="407"/>
  <c r="GK3" i="407"/>
  <c r="GE3" i="407"/>
  <c r="FY3" i="407"/>
  <c r="FS3" i="407"/>
  <c r="FM3" i="407"/>
  <c r="FG3" i="407"/>
  <c r="FA3" i="407"/>
  <c r="EU3" i="407"/>
  <c r="EO3" i="407"/>
  <c r="BX3" i="407"/>
  <c r="EI3" i="407"/>
  <c r="EC3" i="407"/>
  <c r="DW3" i="407"/>
  <c r="DQ3" i="407"/>
  <c r="CF3" i="407"/>
  <c r="CE3" i="407"/>
  <c r="CD3" i="407"/>
  <c r="CC3" i="407"/>
  <c r="CB3" i="407"/>
  <c r="CA3" i="407"/>
  <c r="BY3" i="407"/>
  <c r="BW3" i="407"/>
  <c r="BV3" i="407"/>
  <c r="BU3" i="407"/>
  <c r="BT3" i="407"/>
  <c r="BS3" i="407"/>
  <c r="BR3" i="407"/>
  <c r="BH3" i="407"/>
  <c r="GU2" i="407"/>
  <c r="GO2" i="407"/>
  <c r="GI2" i="407"/>
  <c r="GC2" i="407"/>
  <c r="FW2" i="407"/>
  <c r="FQ2" i="407"/>
  <c r="FK2" i="407"/>
  <c r="FE2" i="407"/>
  <c r="EY2" i="407"/>
  <c r="ES2" i="407"/>
  <c r="EM2" i="407"/>
  <c r="EG2" i="407"/>
  <c r="EA2" i="407"/>
  <c r="DU2" i="407"/>
  <c r="DO2" i="407"/>
  <c r="CI2" i="407"/>
  <c r="AF101" i="350"/>
  <c r="AF98" i="350"/>
  <c r="AF95" i="350"/>
  <c r="AF92" i="350"/>
  <c r="AF89" i="350"/>
  <c r="AF71" i="350"/>
  <c r="AF62" i="350"/>
  <c r="AF58" i="350"/>
  <c r="AF54" i="350"/>
  <c r="AF50" i="350"/>
  <c r="AF46" i="350"/>
  <c r="AF41" i="350"/>
  <c r="AF37" i="350"/>
  <c r="AF33" i="350"/>
  <c r="AF25" i="350"/>
  <c r="AF29" i="350"/>
  <c r="AF83" i="350"/>
  <c r="AF79" i="350"/>
  <c r="AF75" i="350"/>
  <c r="AF67" i="350"/>
  <c r="K25" i="407"/>
  <c r="M57" i="407"/>
  <c r="L176" i="407"/>
  <c r="N59" i="407"/>
  <c r="CH87" i="407"/>
  <c r="L170" i="407"/>
  <c r="O20" i="407"/>
  <c r="P174" i="407"/>
  <c r="R59" i="407"/>
  <c r="BS4" i="407"/>
  <c r="DS3" i="407"/>
  <c r="S70" i="407"/>
  <c r="S62" i="407"/>
  <c r="K75" i="407"/>
  <c r="D114" i="407"/>
  <c r="M20" i="407"/>
  <c r="N170" i="407"/>
  <c r="O170" i="407"/>
  <c r="N26" i="407"/>
  <c r="J173" i="407"/>
  <c r="E50" i="407"/>
  <c r="BZ4" i="407"/>
  <c r="J175" i="407"/>
  <c r="E54" i="407"/>
  <c r="CB4" i="407"/>
  <c r="FU3" i="407"/>
  <c r="J181" i="407"/>
  <c r="C85" i="407"/>
  <c r="M86" i="407"/>
  <c r="D119" i="407"/>
  <c r="N67" i="407"/>
  <c r="N176" i="407"/>
  <c r="O179" i="407"/>
  <c r="K50" i="407"/>
  <c r="D108" i="407"/>
  <c r="CH67" i="407"/>
  <c r="BY4" i="407"/>
  <c r="FC3" i="407"/>
  <c r="M66" i="407"/>
  <c r="M68" i="407"/>
  <c r="O169" i="407"/>
  <c r="L174" i="407"/>
  <c r="J183" i="407"/>
  <c r="E63" i="407"/>
  <c r="C91" i="407"/>
  <c r="M92" i="407"/>
  <c r="D123" i="407"/>
  <c r="J167" i="407"/>
  <c r="E46" i="407"/>
  <c r="BT4" i="407"/>
  <c r="DY3" i="407"/>
  <c r="K29" i="407"/>
  <c r="N28" i="407"/>
  <c r="J177" i="407"/>
  <c r="CD4" i="407"/>
  <c r="K71" i="407"/>
  <c r="N70" i="407"/>
  <c r="J169" i="407"/>
  <c r="BV4" i="407"/>
  <c r="K37" i="407"/>
  <c r="N36" i="407"/>
  <c r="J171" i="407"/>
  <c r="BX4" i="407"/>
  <c r="EW3" i="407"/>
  <c r="K46" i="407"/>
  <c r="J179" i="407"/>
  <c r="E58" i="407"/>
  <c r="K79" i="407"/>
  <c r="M79" i="407"/>
  <c r="CF4" i="407"/>
  <c r="BH4" i="407"/>
  <c r="GX18" i="407"/>
  <c r="U82" i="407"/>
  <c r="K54" i="407"/>
  <c r="P172" i="407"/>
  <c r="R51" i="407"/>
  <c r="BW4" i="407"/>
  <c r="M74" i="407"/>
  <c r="L166" i="407"/>
  <c r="L168" i="407"/>
  <c r="O171" i="407"/>
  <c r="P176" i="407"/>
  <c r="R68" i="407"/>
  <c r="L178" i="407"/>
  <c r="N75" i="407"/>
  <c r="N166" i="407"/>
  <c r="N168" i="407"/>
  <c r="N178" i="407"/>
  <c r="K63" i="407"/>
  <c r="P166" i="407"/>
  <c r="R26" i="407"/>
  <c r="P168" i="407"/>
  <c r="R34" i="407"/>
  <c r="P178" i="407"/>
  <c r="R76" i="407"/>
  <c r="M70" i="407"/>
  <c r="N50" i="407"/>
  <c r="N58" i="407"/>
  <c r="K59" i="407"/>
  <c r="G175" i="407"/>
  <c r="L165" i="407"/>
  <c r="L172" i="407"/>
  <c r="B91" i="407"/>
  <c r="S92" i="407"/>
  <c r="N165" i="407"/>
  <c r="N172" i="407"/>
  <c r="K42" i="407"/>
  <c r="M51" i="407"/>
  <c r="N68" i="407"/>
  <c r="P165" i="407"/>
  <c r="R22" i="407"/>
  <c r="N174" i="407"/>
  <c r="O177" i="407"/>
  <c r="EK3" i="407"/>
  <c r="CZ181" i="407"/>
  <c r="I127" i="407"/>
  <c r="DA181" i="407"/>
  <c r="CY181" i="407"/>
  <c r="N66" i="407"/>
  <c r="N74" i="407"/>
  <c r="N57" i="407"/>
  <c r="N53" i="407"/>
  <c r="N20" i="407"/>
  <c r="N24" i="407"/>
  <c r="DB181" i="407"/>
  <c r="DM3" i="407"/>
  <c r="FI3" i="407"/>
  <c r="DD181" i="407"/>
  <c r="DG181" i="407"/>
  <c r="DE181" i="407"/>
  <c r="DC181" i="407"/>
  <c r="EE3" i="407"/>
  <c r="GA3" i="407"/>
  <c r="DH181" i="407"/>
  <c r="BJ5" i="407"/>
  <c r="GS3" i="407"/>
  <c r="I15" i="407"/>
  <c r="CL15" i="407"/>
  <c r="J30" i="407"/>
  <c r="S20" i="407"/>
  <c r="D102" i="407"/>
  <c r="M26" i="407"/>
  <c r="N25" i="407"/>
  <c r="M24" i="407"/>
  <c r="D104" i="407"/>
  <c r="O32" i="407"/>
  <c r="N34" i="407"/>
  <c r="N32" i="407"/>
  <c r="M34" i="407"/>
  <c r="N33" i="407"/>
  <c r="M32" i="407"/>
  <c r="D111" i="407"/>
  <c r="N64" i="407"/>
  <c r="M62" i="407"/>
  <c r="M64" i="407"/>
  <c r="O62" i="407"/>
  <c r="N62" i="407"/>
  <c r="M63" i="407"/>
  <c r="D101" i="407"/>
  <c r="M21" i="407"/>
  <c r="C166" i="407"/>
  <c r="B29" i="407"/>
  <c r="CH25" i="407"/>
  <c r="M33" i="407"/>
  <c r="D106" i="407"/>
  <c r="M42" i="407"/>
  <c r="N43" i="407"/>
  <c r="M43" i="407"/>
  <c r="O41" i="407"/>
  <c r="N41" i="407"/>
  <c r="N42" i="407"/>
  <c r="M41" i="407"/>
  <c r="N21" i="407"/>
  <c r="M22" i="407"/>
  <c r="O21" i="407"/>
  <c r="S25" i="407"/>
  <c r="S24" i="407"/>
  <c r="N45" i="407"/>
  <c r="M29" i="407"/>
  <c r="D107" i="407"/>
  <c r="M46" i="407"/>
  <c r="AG89" i="407"/>
  <c r="M65" i="407"/>
  <c r="M50" i="407"/>
  <c r="D110" i="407"/>
  <c r="O57" i="407"/>
  <c r="C176" i="407"/>
  <c r="S67" i="407"/>
  <c r="S66" i="407"/>
  <c r="L181" i="407"/>
  <c r="C184" i="407"/>
  <c r="CH84" i="407"/>
  <c r="S86" i="407"/>
  <c r="N49" i="407"/>
  <c r="N51" i="407"/>
  <c r="M55" i="407"/>
  <c r="O67" i="407"/>
  <c r="O49" i="407"/>
  <c r="N55" i="407"/>
  <c r="M54" i="407"/>
  <c r="B79" i="407"/>
  <c r="D113" i="407"/>
  <c r="M72" i="407"/>
  <c r="N71" i="407"/>
  <c r="N72" i="407"/>
  <c r="C178" i="407"/>
  <c r="S75" i="407"/>
  <c r="S74" i="407"/>
  <c r="CH75" i="407"/>
  <c r="N79" i="407"/>
  <c r="AF86" i="407"/>
  <c r="AF92" i="407"/>
  <c r="J185" i="407"/>
  <c r="C97" i="407"/>
  <c r="M98" i="407"/>
  <c r="L182" i="407"/>
  <c r="C185" i="407"/>
  <c r="AF95" i="407"/>
  <c r="P167" i="407"/>
  <c r="R30" i="407"/>
  <c r="O167" i="407"/>
  <c r="N167" i="407"/>
  <c r="L167" i="407"/>
  <c r="L175" i="407"/>
  <c r="C186" i="407"/>
  <c r="P169" i="407"/>
  <c r="R38" i="407"/>
  <c r="N171" i="407"/>
  <c r="L173" i="407"/>
  <c r="P177" i="407"/>
  <c r="R72" i="407"/>
  <c r="N179" i="407"/>
  <c r="P171" i="407"/>
  <c r="R47" i="407"/>
  <c r="N173" i="407"/>
  <c r="P179" i="407"/>
  <c r="R80" i="407"/>
  <c r="O173" i="407"/>
  <c r="L169" i="407"/>
  <c r="L177" i="407"/>
  <c r="T25" i="92"/>
  <c r="I7" i="230"/>
  <c r="I8" i="230"/>
  <c r="I6" i="230"/>
  <c r="AF98" i="407"/>
  <c r="R186" i="407"/>
  <c r="M36" i="407"/>
  <c r="N38" i="407"/>
  <c r="M38" i="407"/>
  <c r="N37" i="407"/>
  <c r="O25" i="407"/>
  <c r="M49" i="407"/>
  <c r="M25" i="407"/>
  <c r="O24" i="407"/>
  <c r="AF89" i="407"/>
  <c r="P175" i="407"/>
  <c r="R64" i="407"/>
  <c r="M75" i="407"/>
  <c r="N76" i="407"/>
  <c r="K76" i="407"/>
  <c r="M76" i="407"/>
  <c r="N78" i="407"/>
  <c r="M80" i="407"/>
  <c r="O78" i="407"/>
  <c r="D115" i="407"/>
  <c r="M78" i="407"/>
  <c r="B68" i="407"/>
  <c r="CH68" i="407"/>
  <c r="K26" i="407"/>
  <c r="CH90" i="407"/>
  <c r="GG3" i="407"/>
  <c r="DF181" i="407"/>
  <c r="CC81" i="407"/>
  <c r="B94" i="407"/>
  <c r="L184" i="407"/>
  <c r="B26" i="407"/>
  <c r="CH26" i="407"/>
  <c r="M183" i="407"/>
  <c r="K68" i="407"/>
  <c r="R175" i="407"/>
  <c r="D109" i="407"/>
  <c r="N54" i="407"/>
  <c r="O53" i="407"/>
  <c r="O54" i="407"/>
  <c r="M53" i="407"/>
  <c r="S77" i="407"/>
  <c r="M77" i="407"/>
  <c r="N47" i="407"/>
  <c r="M47" i="407"/>
  <c r="M45" i="407"/>
  <c r="N46" i="407"/>
  <c r="O45" i="407"/>
  <c r="B22" i="407"/>
  <c r="CH22" i="407"/>
  <c r="D103" i="407"/>
  <c r="N29" i="407"/>
  <c r="N30" i="407"/>
  <c r="M30" i="407"/>
  <c r="M28" i="407"/>
  <c r="O28" i="407"/>
  <c r="B51" i="407"/>
  <c r="CH51" i="407"/>
  <c r="D105" i="407"/>
  <c r="O36" i="407"/>
  <c r="O37" i="407"/>
  <c r="M37" i="407"/>
  <c r="B38" i="407"/>
  <c r="CH38" i="407"/>
  <c r="EQ3" i="407"/>
  <c r="BZ3" i="407"/>
  <c r="S69" i="407"/>
  <c r="M69" i="407"/>
  <c r="L183" i="407"/>
  <c r="M71" i="407"/>
  <c r="O70" i="407"/>
  <c r="CH93" i="407"/>
  <c r="N184" i="407"/>
  <c r="K51" i="407"/>
  <c r="B43" i="407"/>
  <c r="CH43" i="407"/>
  <c r="K43" i="407"/>
  <c r="B34" i="407"/>
  <c r="CH34" i="407"/>
  <c r="AE82" i="407"/>
  <c r="H16" i="407"/>
  <c r="O184" i="407"/>
  <c r="BQ81" i="407"/>
  <c r="CW1" i="407"/>
  <c r="P184" i="407"/>
  <c r="C179" i="407"/>
  <c r="CH79" i="407"/>
  <c r="S79" i="407"/>
  <c r="S78" i="407"/>
  <c r="C167" i="407"/>
  <c r="S29" i="407"/>
  <c r="S28" i="407"/>
  <c r="CH29" i="407"/>
  <c r="B33" i="407"/>
  <c r="O183" i="407"/>
  <c r="P185" i="407"/>
  <c r="O185" i="407"/>
  <c r="N185" i="407"/>
  <c r="M185" i="407"/>
  <c r="K55" i="407"/>
  <c r="J34" i="407"/>
  <c r="CD81" i="407"/>
  <c r="DE1" i="407"/>
  <c r="BZ81" i="407"/>
  <c r="BV81" i="407"/>
  <c r="DB1" i="407"/>
  <c r="BX81" i="407"/>
  <c r="BT81" i="407"/>
  <c r="CZ1" i="407"/>
  <c r="N183" i="407"/>
  <c r="O63" i="407"/>
  <c r="P183" i="407"/>
  <c r="K90" i="407"/>
  <c r="M182" i="407"/>
  <c r="P181" i="407"/>
  <c r="K84" i="407"/>
  <c r="O50" i="407"/>
  <c r="O58" i="407"/>
  <c r="K34" i="407"/>
  <c r="S27" i="407"/>
  <c r="BR81" i="407"/>
  <c r="CX1" i="407"/>
  <c r="N182" i="407"/>
  <c r="O182" i="407"/>
  <c r="B59" i="407"/>
  <c r="CH59" i="407"/>
  <c r="O33" i="407"/>
  <c r="K22" i="407"/>
  <c r="BW81" i="407"/>
  <c r="CA81" i="407"/>
  <c r="DC1" i="407"/>
  <c r="K38" i="407"/>
  <c r="P182" i="407"/>
  <c r="K87" i="407"/>
  <c r="K72" i="407"/>
  <c r="O42" i="407"/>
  <c r="CE81" i="407"/>
  <c r="DF1" i="407"/>
  <c r="BY81" i="407"/>
  <c r="BU81" i="407"/>
  <c r="DA1" i="407"/>
  <c r="M184" i="407"/>
  <c r="BS81" i="407"/>
  <c r="CY1" i="407"/>
  <c r="BB324" i="90"/>
  <c r="AC324" i="90"/>
  <c r="AA324" i="90"/>
  <c r="T324" i="90"/>
  <c r="S324" i="90"/>
  <c r="R324" i="90"/>
  <c r="P324" i="90"/>
  <c r="AN324" i="90"/>
  <c r="AN323" i="90"/>
  <c r="AM323" i="90"/>
  <c r="AL323" i="90"/>
  <c r="AK323" i="90"/>
  <c r="AJ323" i="90"/>
  <c r="AI323" i="90"/>
  <c r="AH323" i="90"/>
  <c r="AF323" i="90"/>
  <c r="V323" i="90"/>
  <c r="O323" i="90"/>
  <c r="N323" i="90"/>
  <c r="M323" i="90"/>
  <c r="C323" i="90"/>
  <c r="B323" i="90"/>
  <c r="BB313" i="90"/>
  <c r="AC313" i="90"/>
  <c r="AA313" i="90"/>
  <c r="T313" i="90"/>
  <c r="S313" i="90"/>
  <c r="R313" i="90"/>
  <c r="P313" i="90"/>
  <c r="AM313" i="90"/>
  <c r="AN312" i="90"/>
  <c r="AM312" i="90"/>
  <c r="AL312" i="90"/>
  <c r="AK312" i="90"/>
  <c r="AJ312" i="90"/>
  <c r="AI312" i="90"/>
  <c r="AH312" i="90"/>
  <c r="AF312" i="90"/>
  <c r="V312" i="90"/>
  <c r="O312" i="90"/>
  <c r="N312" i="90"/>
  <c r="M312" i="90"/>
  <c r="C312" i="90"/>
  <c r="B312" i="90"/>
  <c r="BB311" i="90"/>
  <c r="AC311" i="90"/>
  <c r="AA311" i="90"/>
  <c r="T311" i="90"/>
  <c r="S311" i="90"/>
  <c r="R311" i="90"/>
  <c r="P311" i="90"/>
  <c r="AK311" i="90"/>
  <c r="AN310" i="90"/>
  <c r="AM310" i="90"/>
  <c r="AL310" i="90"/>
  <c r="AK310" i="90"/>
  <c r="AJ310" i="90"/>
  <c r="AI310" i="90"/>
  <c r="AH310" i="90"/>
  <c r="AF310" i="90"/>
  <c r="V310" i="90"/>
  <c r="O310" i="90"/>
  <c r="N310" i="90"/>
  <c r="M310" i="90"/>
  <c r="C310" i="90"/>
  <c r="B310" i="90"/>
  <c r="BB309" i="90"/>
  <c r="AC309" i="90"/>
  <c r="AA309" i="90"/>
  <c r="T309" i="90"/>
  <c r="S309" i="90"/>
  <c r="R309" i="90"/>
  <c r="P309" i="90"/>
  <c r="AI309" i="90"/>
  <c r="AN308" i="90"/>
  <c r="AM308" i="90"/>
  <c r="AL308" i="90"/>
  <c r="AK308" i="90"/>
  <c r="AJ308" i="90"/>
  <c r="AI308" i="90"/>
  <c r="AH308" i="90"/>
  <c r="AF308" i="90"/>
  <c r="V308" i="90"/>
  <c r="O308" i="90"/>
  <c r="N308" i="90"/>
  <c r="M308" i="90"/>
  <c r="C308" i="90"/>
  <c r="B308" i="90"/>
  <c r="BB307" i="90"/>
  <c r="AC307" i="90"/>
  <c r="AA307" i="90"/>
  <c r="T307" i="90"/>
  <c r="S307" i="90"/>
  <c r="R307" i="90"/>
  <c r="P307" i="90"/>
  <c r="AM307" i="90"/>
  <c r="AC306" i="90"/>
  <c r="AA306" i="90"/>
  <c r="S306" i="90"/>
  <c r="R306" i="90"/>
  <c r="P306" i="90"/>
  <c r="AL306" i="90"/>
  <c r="AC305" i="90"/>
  <c r="AA305" i="90"/>
  <c r="S305" i="90"/>
  <c r="R305" i="90"/>
  <c r="P305" i="90"/>
  <c r="AN305" i="90"/>
  <c r="AC304" i="90"/>
  <c r="AA304" i="90"/>
  <c r="T304" i="90"/>
  <c r="S304" i="90"/>
  <c r="R304" i="90"/>
  <c r="P304" i="90"/>
  <c r="AL304" i="90"/>
  <c r="AC303" i="90"/>
  <c r="AA303" i="90"/>
  <c r="T303" i="90"/>
  <c r="S303" i="90"/>
  <c r="R303" i="90"/>
  <c r="P303" i="90"/>
  <c r="AL303" i="90"/>
  <c r="AJ302" i="90"/>
  <c r="AF302" i="90"/>
  <c r="V302" i="90"/>
  <c r="O302" i="90"/>
  <c r="N302" i="90"/>
  <c r="M302" i="90"/>
  <c r="J302" i="90"/>
  <c r="G302" i="90"/>
  <c r="AK302" i="90"/>
  <c r="F302" i="90"/>
  <c r="D302" i="90"/>
  <c r="AH302" i="90"/>
  <c r="C302" i="90"/>
  <c r="B302" i="90"/>
  <c r="AK303" i="90"/>
  <c r="O79" i="407"/>
  <c r="AI305" i="90"/>
  <c r="AM305" i="90"/>
  <c r="AI303" i="90"/>
  <c r="S31" i="407"/>
  <c r="M31" i="407"/>
  <c r="S95" i="407"/>
  <c r="B97" i="407"/>
  <c r="C187" i="407"/>
  <c r="B30" i="407"/>
  <c r="CH30" i="407"/>
  <c r="B47" i="407"/>
  <c r="CH47" i="407"/>
  <c r="B72" i="407"/>
  <c r="CH72" i="407"/>
  <c r="S81" i="407"/>
  <c r="M81" i="407"/>
  <c r="O71" i="407"/>
  <c r="DD1" i="407"/>
  <c r="K93" i="407"/>
  <c r="K30" i="407"/>
  <c r="CB81" i="407"/>
  <c r="B55" i="407"/>
  <c r="CH55" i="407"/>
  <c r="O46" i="407"/>
  <c r="O29" i="407"/>
  <c r="K47" i="407"/>
  <c r="C188" i="407"/>
  <c r="L185" i="407"/>
  <c r="CH96" i="407"/>
  <c r="S98" i="407"/>
  <c r="K96" i="407"/>
  <c r="M27" i="407"/>
  <c r="R98" i="407"/>
  <c r="E96" i="407"/>
  <c r="R89" i="407"/>
  <c r="E87" i="407"/>
  <c r="R92" i="407"/>
  <c r="E90" i="407"/>
  <c r="E93" i="407"/>
  <c r="R95" i="407"/>
  <c r="J38" i="407"/>
  <c r="C168" i="407"/>
  <c r="CH33" i="407"/>
  <c r="B37" i="407"/>
  <c r="S33" i="407"/>
  <c r="S32" i="407"/>
  <c r="AM306" i="90"/>
  <c r="AN307" i="90"/>
  <c r="AM303" i="90"/>
  <c r="AM304" i="90"/>
  <c r="AN303" i="90"/>
  <c r="AL307" i="90"/>
  <c r="AL311" i="90"/>
  <c r="AN313" i="90"/>
  <c r="AJ303" i="90"/>
  <c r="AN304" i="90"/>
  <c r="AJ305" i="90"/>
  <c r="AN306" i="90"/>
  <c r="AI307" i="90"/>
  <c r="AK309" i="90"/>
  <c r="AM311" i="90"/>
  <c r="AI324" i="90"/>
  <c r="AK305" i="90"/>
  <c r="AJ307" i="90"/>
  <c r="AL309" i="90"/>
  <c r="AN311" i="90"/>
  <c r="AJ324" i="90"/>
  <c r="AL305" i="90"/>
  <c r="AK307" i="90"/>
  <c r="AM309" i="90"/>
  <c r="AI313" i="90"/>
  <c r="AK324" i="90"/>
  <c r="AI304" i="90"/>
  <c r="AI306" i="90"/>
  <c r="AN309" i="90"/>
  <c r="AJ313" i="90"/>
  <c r="AL324" i="90"/>
  <c r="AJ304" i="90"/>
  <c r="AJ306" i="90"/>
  <c r="AI311" i="90"/>
  <c r="AK313" i="90"/>
  <c r="AM324" i="90"/>
  <c r="AJ309" i="90"/>
  <c r="AK304" i="90"/>
  <c r="AK306" i="90"/>
  <c r="AJ311" i="90"/>
  <c r="AL313" i="90"/>
  <c r="H614" i="18"/>
  <c r="A614" i="18"/>
  <c r="G614" i="18"/>
  <c r="G613" i="18"/>
  <c r="H613" i="18"/>
  <c r="H612" i="18"/>
  <c r="B611" i="18"/>
  <c r="H610" i="18"/>
  <c r="A610" i="18"/>
  <c r="G610" i="18"/>
  <c r="H609" i="18"/>
  <c r="A609" i="18"/>
  <c r="G609" i="18"/>
  <c r="H608" i="18"/>
  <c r="A608" i="18"/>
  <c r="G608" i="18"/>
  <c r="H607" i="18"/>
  <c r="A607" i="18"/>
  <c r="G607" i="18"/>
  <c r="H606" i="18"/>
  <c r="A606" i="18"/>
  <c r="G606" i="18"/>
  <c r="H605" i="18"/>
  <c r="A605" i="18"/>
  <c r="G605" i="18"/>
  <c r="H604" i="18"/>
  <c r="A604" i="18"/>
  <c r="G604" i="18"/>
  <c r="H603" i="18"/>
  <c r="A603" i="18"/>
  <c r="G603" i="18"/>
  <c r="H602" i="18"/>
  <c r="A602" i="18"/>
  <c r="G602" i="18"/>
  <c r="H601" i="18"/>
  <c r="A601" i="18"/>
  <c r="G601" i="18"/>
  <c r="B600" i="18"/>
  <c r="H599" i="18"/>
  <c r="A599" i="18"/>
  <c r="G599" i="18"/>
  <c r="H598" i="18"/>
  <c r="A598" i="18"/>
  <c r="G598" i="18"/>
  <c r="H597" i="18"/>
  <c r="A597" i="18"/>
  <c r="G597" i="18"/>
  <c r="H596" i="18"/>
  <c r="A596" i="18"/>
  <c r="G596" i="18"/>
  <c r="H595" i="18"/>
  <c r="A595" i="18"/>
  <c r="G595" i="18"/>
  <c r="H594" i="18"/>
  <c r="A594" i="18"/>
  <c r="G594" i="18"/>
  <c r="H593" i="18"/>
  <c r="A593" i="18"/>
  <c r="G593" i="18"/>
  <c r="H592" i="18"/>
  <c r="A592" i="18"/>
  <c r="G592" i="18"/>
  <c r="H591" i="18"/>
  <c r="A591" i="18"/>
  <c r="G591" i="18"/>
  <c r="H590" i="18"/>
  <c r="A590" i="18"/>
  <c r="G590" i="18"/>
  <c r="H589" i="18"/>
  <c r="F589" i="18"/>
  <c r="G589" i="18"/>
  <c r="B588" i="18"/>
  <c r="H587" i="18"/>
  <c r="A587" i="18"/>
  <c r="G587" i="18"/>
  <c r="H586" i="18"/>
  <c r="A586" i="18"/>
  <c r="G586" i="18"/>
  <c r="H585" i="18"/>
  <c r="A585" i="18"/>
  <c r="G585" i="18"/>
  <c r="H584" i="18"/>
  <c r="A584" i="18"/>
  <c r="G584" i="18"/>
  <c r="B583" i="18"/>
  <c r="A589" i="18"/>
  <c r="S35" i="407"/>
  <c r="M35" i="407"/>
  <c r="K95" i="407"/>
  <c r="AD93" i="407"/>
  <c r="K92" i="407"/>
  <c r="AD90" i="407"/>
  <c r="K89" i="407"/>
  <c r="AD87" i="407"/>
  <c r="K98" i="407"/>
  <c r="AD96" i="407"/>
  <c r="C169" i="407"/>
  <c r="B46" i="407"/>
  <c r="B42" i="407"/>
  <c r="CH37" i="407"/>
  <c r="S37" i="407"/>
  <c r="S36" i="407"/>
  <c r="J43" i="407"/>
  <c r="AH307" i="90"/>
  <c r="AH309" i="90"/>
  <c r="AH311" i="90"/>
  <c r="AH305" i="90"/>
  <c r="AH303" i="90"/>
  <c r="AH306" i="90"/>
  <c r="AH304" i="90"/>
  <c r="AH313" i="90"/>
  <c r="AH324" i="90"/>
  <c r="F613" i="18"/>
  <c r="A613" i="18"/>
  <c r="G612" i="18"/>
  <c r="F612" i="18"/>
  <c r="A612" i="18"/>
  <c r="C171" i="407"/>
  <c r="B50" i="407"/>
  <c r="CH46" i="407"/>
  <c r="S46" i="407"/>
  <c r="S45" i="407"/>
  <c r="J68" i="407"/>
  <c r="J47" i="407"/>
  <c r="S39" i="407"/>
  <c r="C170" i="407"/>
  <c r="CH42" i="407"/>
  <c r="S42" i="407"/>
  <c r="S41" i="407"/>
  <c r="Q1" i="90"/>
  <c r="R1" i="90"/>
  <c r="S1" i="90"/>
  <c r="R53" i="90"/>
  <c r="S53" i="90"/>
  <c r="R54" i="90"/>
  <c r="S54" i="90"/>
  <c r="R55" i="90"/>
  <c r="S55" i="90"/>
  <c r="R56" i="90"/>
  <c r="S56" i="90"/>
  <c r="R57" i="90"/>
  <c r="S57" i="90"/>
  <c r="R58" i="90"/>
  <c r="S58" i="90"/>
  <c r="R59" i="90"/>
  <c r="S59" i="90"/>
  <c r="R60" i="90"/>
  <c r="S60" i="90"/>
  <c r="R61" i="90"/>
  <c r="S61" i="90"/>
  <c r="R62" i="90"/>
  <c r="S62" i="90"/>
  <c r="R63" i="90"/>
  <c r="S63" i="90"/>
  <c r="R64" i="90"/>
  <c r="S64" i="90"/>
  <c r="R65" i="90"/>
  <c r="S65" i="90"/>
  <c r="R66" i="90"/>
  <c r="S66" i="90"/>
  <c r="R67" i="90"/>
  <c r="S67" i="90"/>
  <c r="R68" i="90"/>
  <c r="S68" i="90"/>
  <c r="R69" i="90"/>
  <c r="S69" i="90"/>
  <c r="R70" i="90"/>
  <c r="S70" i="90"/>
  <c r="R71" i="90"/>
  <c r="S71" i="90"/>
  <c r="R49" i="90"/>
  <c r="S49" i="90"/>
  <c r="R50" i="90"/>
  <c r="S50" i="90"/>
  <c r="R45" i="90"/>
  <c r="S45" i="90"/>
  <c r="R46" i="90"/>
  <c r="Y13" i="404"/>
  <c r="S46" i="90"/>
  <c r="S200" i="90"/>
  <c r="R200" i="90"/>
  <c r="S196" i="90"/>
  <c r="R196" i="90"/>
  <c r="S186" i="90"/>
  <c r="R186" i="90"/>
  <c r="S179" i="90"/>
  <c r="R179" i="90"/>
  <c r="S175" i="90"/>
  <c r="R175" i="90"/>
  <c r="S171" i="90"/>
  <c r="R171" i="90"/>
  <c r="S160" i="90"/>
  <c r="R160" i="90"/>
  <c r="S147" i="90"/>
  <c r="R147" i="90"/>
  <c r="S139" i="90"/>
  <c r="R139" i="90"/>
  <c r="S135" i="90"/>
  <c r="R135" i="90"/>
  <c r="S132" i="90"/>
  <c r="R132" i="90"/>
  <c r="S121" i="90"/>
  <c r="R121" i="90"/>
  <c r="S112" i="90"/>
  <c r="R112" i="90"/>
  <c r="S107" i="90"/>
  <c r="R107" i="90"/>
  <c r="S108" i="90"/>
  <c r="R108" i="90"/>
  <c r="S101" i="90"/>
  <c r="R101" i="90"/>
  <c r="S97" i="90"/>
  <c r="R97" i="90"/>
  <c r="S52" i="90"/>
  <c r="R52" i="90"/>
  <c r="S48" i="90"/>
  <c r="R48" i="90"/>
  <c r="S44" i="90"/>
  <c r="R44" i="90"/>
  <c r="S41" i="90"/>
  <c r="R41" i="90"/>
  <c r="R26" i="90"/>
  <c r="S26" i="90"/>
  <c r="R27" i="90"/>
  <c r="S27" i="90"/>
  <c r="R28" i="90"/>
  <c r="S28" i="90"/>
  <c r="R29" i="90"/>
  <c r="S29" i="90"/>
  <c r="R30" i="90"/>
  <c r="S30" i="90"/>
  <c r="S25" i="90"/>
  <c r="R25" i="90"/>
  <c r="R19" i="90"/>
  <c r="S19" i="90"/>
  <c r="R20" i="90"/>
  <c r="S20" i="90"/>
  <c r="R21" i="90"/>
  <c r="S21" i="90"/>
  <c r="R22" i="90"/>
  <c r="S22" i="90"/>
  <c r="R23" i="90"/>
  <c r="S23" i="90"/>
  <c r="S18" i="90"/>
  <c r="R18" i="90"/>
  <c r="R33" i="90"/>
  <c r="S33" i="90"/>
  <c r="R34" i="90"/>
  <c r="S34" i="90"/>
  <c r="R35" i="90"/>
  <c r="S35" i="90"/>
  <c r="R36" i="90"/>
  <c r="Y11" i="404"/>
  <c r="S36" i="90"/>
  <c r="R37" i="90"/>
  <c r="S37" i="90"/>
  <c r="R38" i="90"/>
  <c r="S38" i="90"/>
  <c r="R39" i="90"/>
  <c r="Y12" i="404"/>
  <c r="S39" i="90"/>
  <c r="S32" i="90"/>
  <c r="R32" i="90"/>
  <c r="R16" i="90"/>
  <c r="S16" i="90"/>
  <c r="S15" i="90"/>
  <c r="R15" i="90"/>
  <c r="S14" i="90"/>
  <c r="R14" i="90"/>
  <c r="Y9" i="404"/>
  <c r="S13" i="90"/>
  <c r="R13" i="90"/>
  <c r="R10" i="90"/>
  <c r="S10" i="90"/>
  <c r="R11" i="90"/>
  <c r="S11" i="90"/>
  <c r="S9" i="90"/>
  <c r="R9" i="90"/>
  <c r="X9" i="404"/>
  <c r="BC33" i="90"/>
  <c r="S48" i="407"/>
  <c r="M48" i="407"/>
  <c r="J51" i="407"/>
  <c r="C172" i="407"/>
  <c r="B54" i="407"/>
  <c r="CH50" i="407"/>
  <c r="S50" i="407"/>
  <c r="S49" i="407"/>
  <c r="S44" i="407"/>
  <c r="J72" i="407"/>
  <c r="M39" i="407"/>
  <c r="AA9" i="404"/>
  <c r="Z9" i="404"/>
  <c r="AC9" i="404"/>
  <c r="S52" i="407"/>
  <c r="M52" i="407"/>
  <c r="J55" i="407"/>
  <c r="M44" i="407"/>
  <c r="C173" i="407"/>
  <c r="B58" i="407"/>
  <c r="S54" i="407"/>
  <c r="S53" i="407"/>
  <c r="CH54" i="407"/>
  <c r="J76" i="407"/>
  <c r="AB9" i="404"/>
  <c r="AE9" i="404"/>
  <c r="AD9" i="404"/>
  <c r="AC70" i="90"/>
  <c r="AA70" i="90"/>
  <c r="P70" i="90"/>
  <c r="AN70" i="90"/>
  <c r="S56" i="407"/>
  <c r="J80" i="407"/>
  <c r="J59" i="407"/>
  <c r="C174" i="407"/>
  <c r="CH58" i="407"/>
  <c r="S58" i="407"/>
  <c r="S57" i="407"/>
  <c r="AM70" i="90"/>
  <c r="AI70" i="90"/>
  <c r="AJ70" i="90"/>
  <c r="AK70" i="90"/>
  <c r="AL70" i="90"/>
  <c r="B40" i="90"/>
  <c r="M56" i="407"/>
  <c r="S60" i="407"/>
  <c r="M60" i="407"/>
  <c r="J64" i="407"/>
  <c r="AH70" i="90"/>
  <c r="A464" i="82"/>
  <c r="A465" i="82"/>
  <c r="A470" i="82"/>
  <c r="A471" i="82"/>
  <c r="AI11" i="404"/>
  <c r="AH11" i="404"/>
  <c r="AF11" i="404"/>
  <c r="X11" i="404"/>
  <c r="AA11" i="404"/>
  <c r="W11" i="404"/>
  <c r="H11" i="404"/>
  <c r="AG11" i="404"/>
  <c r="B11" i="404"/>
  <c r="B22" i="404"/>
  <c r="AI13" i="404"/>
  <c r="AH13" i="404"/>
  <c r="AF13" i="404"/>
  <c r="X13" i="404"/>
  <c r="AA13" i="404"/>
  <c r="W13" i="404"/>
  <c r="H13" i="404"/>
  <c r="AI12" i="404"/>
  <c r="AH12" i="404"/>
  <c r="AF12" i="404"/>
  <c r="X12" i="404"/>
  <c r="AA12" i="404"/>
  <c r="W12" i="404"/>
  <c r="H12" i="404"/>
  <c r="AI10" i="404"/>
  <c r="AH10" i="404"/>
  <c r="AF10" i="404"/>
  <c r="X10" i="404"/>
  <c r="AA10" i="404"/>
  <c r="W10" i="404"/>
  <c r="AI9" i="404"/>
  <c r="AH9" i="404"/>
  <c r="AF9" i="404"/>
  <c r="W9" i="404"/>
  <c r="H9" i="404"/>
  <c r="H5" i="404"/>
  <c r="AG9" i="404"/>
  <c r="B9" i="404"/>
  <c r="AG10" i="404"/>
  <c r="B10" i="404"/>
  <c r="AG13" i="404"/>
  <c r="B13" i="404"/>
  <c r="AG12" i="404"/>
  <c r="B12" i="404"/>
  <c r="AA14" i="90"/>
  <c r="AC14" i="90"/>
  <c r="AA15" i="90"/>
  <c r="AC15" i="90"/>
  <c r="AA16" i="90"/>
  <c r="AC16" i="90"/>
  <c r="L25" i="285"/>
  <c r="J28" i="285"/>
  <c r="D10" i="285"/>
  <c r="D11" i="285"/>
  <c r="D13" i="285"/>
  <c r="D14" i="285"/>
  <c r="D15" i="285"/>
  <c r="D17" i="285"/>
  <c r="D18" i="285"/>
  <c r="AC137" i="90"/>
  <c r="AA137" i="90"/>
  <c r="T137" i="90"/>
  <c r="P137" i="90"/>
  <c r="AN137" i="90"/>
  <c r="AC136" i="90"/>
  <c r="AA136" i="90"/>
  <c r="T136" i="90"/>
  <c r="P136" i="90"/>
  <c r="AI136" i="90"/>
  <c r="AC135" i="90"/>
  <c r="AA135" i="90"/>
  <c r="T135" i="90"/>
  <c r="P135" i="90"/>
  <c r="AL135" i="90"/>
  <c r="AH134" i="90"/>
  <c r="V134" i="90"/>
  <c r="O134" i="90"/>
  <c r="N134" i="90"/>
  <c r="M134" i="90"/>
  <c r="AK134" i="90"/>
  <c r="AJ134" i="90"/>
  <c r="C134" i="90"/>
  <c r="B134" i="90"/>
  <c r="AC133" i="90"/>
  <c r="AA133" i="90"/>
  <c r="T133" i="90"/>
  <c r="P133" i="90"/>
  <c r="AN133" i="90"/>
  <c r="AC132" i="90"/>
  <c r="AA132" i="90"/>
  <c r="T132" i="90"/>
  <c r="P132" i="90"/>
  <c r="AI132" i="90"/>
  <c r="AJ131" i="90"/>
  <c r="V131" i="90"/>
  <c r="O131" i="90"/>
  <c r="N131" i="90"/>
  <c r="M131" i="90"/>
  <c r="AK131" i="90"/>
  <c r="AH131" i="90"/>
  <c r="C131" i="90"/>
  <c r="B131" i="90"/>
  <c r="AC130" i="90"/>
  <c r="AA130" i="90"/>
  <c r="T130" i="90"/>
  <c r="P130" i="90"/>
  <c r="AK130" i="90"/>
  <c r="AC129" i="90"/>
  <c r="AA129" i="90"/>
  <c r="T129" i="90"/>
  <c r="P129" i="90"/>
  <c r="AN129" i="90"/>
  <c r="AC128" i="90"/>
  <c r="AA128" i="90"/>
  <c r="T128" i="90"/>
  <c r="P128" i="90"/>
  <c r="AI128" i="90"/>
  <c r="AC127" i="90"/>
  <c r="AA127" i="90"/>
  <c r="T127" i="90"/>
  <c r="P127" i="90"/>
  <c r="AL127" i="90"/>
  <c r="AC126" i="90"/>
  <c r="AA126" i="90"/>
  <c r="T126" i="90"/>
  <c r="P126" i="90"/>
  <c r="AN126" i="90"/>
  <c r="AC125" i="90"/>
  <c r="AA125" i="90"/>
  <c r="T125" i="90"/>
  <c r="P125" i="90"/>
  <c r="AJ125" i="90"/>
  <c r="AC124" i="90"/>
  <c r="AA124" i="90"/>
  <c r="T124" i="90"/>
  <c r="P124" i="90"/>
  <c r="AM124" i="90"/>
  <c r="AC123" i="90"/>
  <c r="AA123" i="90"/>
  <c r="T123" i="90"/>
  <c r="P123" i="90"/>
  <c r="AM123" i="90"/>
  <c r="AC122" i="90"/>
  <c r="AA122" i="90"/>
  <c r="T122" i="90"/>
  <c r="P122" i="90"/>
  <c r="AK122" i="90"/>
  <c r="AC121" i="90"/>
  <c r="AA121" i="90"/>
  <c r="T121" i="90"/>
  <c r="P121" i="90"/>
  <c r="AN121" i="90"/>
  <c r="V120" i="90"/>
  <c r="O120" i="90"/>
  <c r="N120" i="90"/>
  <c r="M120" i="90"/>
  <c r="J120" i="90"/>
  <c r="G120" i="90"/>
  <c r="AK120" i="90"/>
  <c r="F120" i="90"/>
  <c r="AJ120" i="90"/>
  <c r="D120" i="90"/>
  <c r="AH120" i="90"/>
  <c r="C120" i="90"/>
  <c r="B120" i="90"/>
  <c r="AC119" i="90"/>
  <c r="AA119" i="90"/>
  <c r="T119" i="90"/>
  <c r="P119" i="90"/>
  <c r="AM119" i="90"/>
  <c r="AC118" i="90"/>
  <c r="AA118" i="90"/>
  <c r="T118" i="90"/>
  <c r="P118" i="90"/>
  <c r="AK118" i="90"/>
  <c r="AC117" i="90"/>
  <c r="AA117" i="90"/>
  <c r="T117" i="90"/>
  <c r="P117" i="90"/>
  <c r="AN117" i="90"/>
  <c r="P116" i="90"/>
  <c r="AI116" i="90"/>
  <c r="AC115" i="90"/>
  <c r="AA115" i="90"/>
  <c r="T115" i="90"/>
  <c r="P115" i="90"/>
  <c r="AI115" i="90"/>
  <c r="AC114" i="90"/>
  <c r="AA114" i="90"/>
  <c r="T114" i="90"/>
  <c r="P114" i="90"/>
  <c r="AL114" i="90"/>
  <c r="AC113" i="90"/>
  <c r="AA113" i="90"/>
  <c r="T113" i="90"/>
  <c r="P113" i="90"/>
  <c r="AN113" i="90"/>
  <c r="AC112" i="90"/>
  <c r="AA112" i="90"/>
  <c r="T112" i="90"/>
  <c r="P112" i="90"/>
  <c r="AJ112" i="90"/>
  <c r="AK111" i="90"/>
  <c r="V111" i="90"/>
  <c r="O111" i="90"/>
  <c r="N111" i="90"/>
  <c r="M111" i="90"/>
  <c r="AJ111" i="90"/>
  <c r="AH111" i="90"/>
  <c r="C111" i="90"/>
  <c r="B111" i="90"/>
  <c r="AC110" i="90"/>
  <c r="AA110" i="90"/>
  <c r="T110" i="90"/>
  <c r="P110" i="90"/>
  <c r="AL110" i="90"/>
  <c r="AC109" i="90"/>
  <c r="AA109" i="90"/>
  <c r="T109" i="90"/>
  <c r="P109" i="90"/>
  <c r="AN109" i="90"/>
  <c r="AC108" i="90"/>
  <c r="AA108" i="90"/>
  <c r="T108" i="90"/>
  <c r="P108" i="90"/>
  <c r="AJ108" i="90"/>
  <c r="AC107" i="90"/>
  <c r="AA107" i="90"/>
  <c r="T107" i="90"/>
  <c r="P107" i="90"/>
  <c r="AM107" i="90"/>
  <c r="V106" i="90"/>
  <c r="O106" i="90"/>
  <c r="N106" i="90"/>
  <c r="M106" i="90"/>
  <c r="AK106" i="90"/>
  <c r="AJ106" i="90"/>
  <c r="AH106" i="90"/>
  <c r="C106" i="90"/>
  <c r="B106" i="90"/>
  <c r="AC105" i="90"/>
  <c r="AA105" i="90"/>
  <c r="T105" i="90"/>
  <c r="P105" i="90"/>
  <c r="AN105" i="90"/>
  <c r="P104" i="90"/>
  <c r="AJ104" i="90"/>
  <c r="P103" i="90"/>
  <c r="AJ103" i="90"/>
  <c r="P102" i="90"/>
  <c r="AJ102" i="90"/>
  <c r="AC101" i="90"/>
  <c r="AA101" i="90"/>
  <c r="T101" i="90"/>
  <c r="P101" i="90"/>
  <c r="AJ101" i="90"/>
  <c r="AC100" i="90"/>
  <c r="AA100" i="90"/>
  <c r="T100" i="90"/>
  <c r="P100" i="90"/>
  <c r="AM100" i="90"/>
  <c r="V99" i="90"/>
  <c r="O99" i="90"/>
  <c r="N99" i="90"/>
  <c r="M99" i="90"/>
  <c r="AK99" i="90"/>
  <c r="AJ99" i="90"/>
  <c r="AH99" i="90"/>
  <c r="C99" i="90"/>
  <c r="B99" i="90"/>
  <c r="AC98" i="90"/>
  <c r="AA98" i="90"/>
  <c r="T98" i="90"/>
  <c r="P98" i="90"/>
  <c r="AN98" i="90"/>
  <c r="AC97" i="90"/>
  <c r="AA97" i="90"/>
  <c r="T97" i="90"/>
  <c r="P97" i="90"/>
  <c r="AJ97" i="90"/>
  <c r="AC96" i="90"/>
  <c r="AA96" i="90"/>
  <c r="T96" i="90"/>
  <c r="P96" i="90"/>
  <c r="AM96" i="90"/>
  <c r="V95" i="90"/>
  <c r="O95" i="90"/>
  <c r="N95" i="90"/>
  <c r="M95" i="90"/>
  <c r="J95" i="90"/>
  <c r="G95" i="90"/>
  <c r="AK95" i="90"/>
  <c r="F95" i="90"/>
  <c r="AJ95" i="90"/>
  <c r="D95" i="90"/>
  <c r="AH95" i="90"/>
  <c r="C95" i="90"/>
  <c r="B95" i="90"/>
  <c r="AI123" i="90"/>
  <c r="AN96" i="90"/>
  <c r="AK96" i="90"/>
  <c r="AN124" i="90"/>
  <c r="AJ132" i="90"/>
  <c r="AJ136" i="90"/>
  <c r="AM127" i="90"/>
  <c r="AJ96" i="90"/>
  <c r="AK103" i="90"/>
  <c r="AK108" i="90"/>
  <c r="AM114" i="90"/>
  <c r="AM98" i="90"/>
  <c r="AK97" i="90"/>
  <c r="AK104" i="90"/>
  <c r="AJ100" i="90"/>
  <c r="AK100" i="90"/>
  <c r="AK102" i="90"/>
  <c r="AK101" i="90"/>
  <c r="AN100" i="90"/>
  <c r="AM105" i="90"/>
  <c r="AK107" i="90"/>
  <c r="AJ110" i="90"/>
  <c r="AN107" i="90"/>
  <c r="AM110" i="90"/>
  <c r="AM109" i="90"/>
  <c r="AJ114" i="90"/>
  <c r="AJ116" i="90"/>
  <c r="AM113" i="90"/>
  <c r="AI119" i="90"/>
  <c r="AK112" i="90"/>
  <c r="AJ115" i="90"/>
  <c r="AN119" i="90"/>
  <c r="AK124" i="90"/>
  <c r="AJ127" i="90"/>
  <c r="AN123" i="90"/>
  <c r="AM126" i="90"/>
  <c r="AK125" i="90"/>
  <c r="AJ128" i="90"/>
  <c r="AJ135" i="90"/>
  <c r="AK135" i="90"/>
  <c r="AM135" i="90"/>
  <c r="AL130" i="90"/>
  <c r="AL97" i="90"/>
  <c r="AI98" i="90"/>
  <c r="AL101" i="90"/>
  <c r="AL102" i="90"/>
  <c r="AL103" i="90"/>
  <c r="AL104" i="90"/>
  <c r="AI105" i="90"/>
  <c r="AL108" i="90"/>
  <c r="AI109" i="90"/>
  <c r="AN110" i="90"/>
  <c r="AL112" i="90"/>
  <c r="AI113" i="90"/>
  <c r="AN114" i="90"/>
  <c r="AK115" i="90"/>
  <c r="AK116" i="90"/>
  <c r="AM118" i="90"/>
  <c r="AJ119" i="90"/>
  <c r="AM122" i="90"/>
  <c r="AJ123" i="90"/>
  <c r="AL125" i="90"/>
  <c r="AI126" i="90"/>
  <c r="AN127" i="90"/>
  <c r="AK128" i="90"/>
  <c r="AM130" i="90"/>
  <c r="AK132" i="90"/>
  <c r="AN135" i="90"/>
  <c r="AK136" i="90"/>
  <c r="AM97" i="90"/>
  <c r="AJ98" i="90"/>
  <c r="AM101" i="90"/>
  <c r="AM102" i="90"/>
  <c r="AM103" i="90"/>
  <c r="AM104" i="90"/>
  <c r="AJ105" i="90"/>
  <c r="AM108" i="90"/>
  <c r="AJ109" i="90"/>
  <c r="AM112" i="90"/>
  <c r="AJ113" i="90"/>
  <c r="AL115" i="90"/>
  <c r="AL116" i="90"/>
  <c r="AI117" i="90"/>
  <c r="AN118" i="90"/>
  <c r="AK119" i="90"/>
  <c r="AI121" i="90"/>
  <c r="AN122" i="90"/>
  <c r="AK123" i="90"/>
  <c r="AM125" i="90"/>
  <c r="AJ126" i="90"/>
  <c r="AL128" i="90"/>
  <c r="AI129" i="90"/>
  <c r="AN130" i="90"/>
  <c r="AL132" i="90"/>
  <c r="AI133" i="90"/>
  <c r="AL136" i="90"/>
  <c r="AI137" i="90"/>
  <c r="AI96" i="90"/>
  <c r="AN97" i="90"/>
  <c r="AK98" i="90"/>
  <c r="AI100" i="90"/>
  <c r="AN101" i="90"/>
  <c r="AN102" i="90"/>
  <c r="AN103" i="90"/>
  <c r="AN104" i="90"/>
  <c r="AK105" i="90"/>
  <c r="AI107" i="90"/>
  <c r="AN108" i="90"/>
  <c r="AK109" i="90"/>
  <c r="AN112" i="90"/>
  <c r="AK113" i="90"/>
  <c r="AM115" i="90"/>
  <c r="AM116" i="90"/>
  <c r="AJ117" i="90"/>
  <c r="AL119" i="90"/>
  <c r="AJ121" i="90"/>
  <c r="AL123" i="90"/>
  <c r="AI124" i="90"/>
  <c r="AN125" i="90"/>
  <c r="AK126" i="90"/>
  <c r="AM128" i="90"/>
  <c r="AJ129" i="90"/>
  <c r="AM132" i="90"/>
  <c r="AJ133" i="90"/>
  <c r="AM136" i="90"/>
  <c r="AJ137" i="90"/>
  <c r="AL98" i="90"/>
  <c r="AL105" i="90"/>
  <c r="AJ107" i="90"/>
  <c r="AL109" i="90"/>
  <c r="AI110" i="90"/>
  <c r="AL113" i="90"/>
  <c r="AI114" i="90"/>
  <c r="AN115" i="90"/>
  <c r="AN116" i="90"/>
  <c r="AK117" i="90"/>
  <c r="AK121" i="90"/>
  <c r="AJ124" i="90"/>
  <c r="AL126" i="90"/>
  <c r="AI127" i="90"/>
  <c r="AN128" i="90"/>
  <c r="AK129" i="90"/>
  <c r="AN132" i="90"/>
  <c r="AK133" i="90"/>
  <c r="AI135" i="90"/>
  <c r="AN136" i="90"/>
  <c r="AK137" i="90"/>
  <c r="AL117" i="90"/>
  <c r="AI118" i="90"/>
  <c r="AL121" i="90"/>
  <c r="AI122" i="90"/>
  <c r="AL129" i="90"/>
  <c r="AI130" i="90"/>
  <c r="AL133" i="90"/>
  <c r="AL137" i="90"/>
  <c r="AL118" i="90"/>
  <c r="AL96" i="90"/>
  <c r="AI97" i="90"/>
  <c r="AL100" i="90"/>
  <c r="AI101" i="90"/>
  <c r="AI102" i="90"/>
  <c r="AI103" i="90"/>
  <c r="AI104" i="90"/>
  <c r="AL107" i="90"/>
  <c r="AI108" i="90"/>
  <c r="AK110" i="90"/>
  <c r="AI112" i="90"/>
  <c r="AK114" i="90"/>
  <c r="AM117" i="90"/>
  <c r="AJ118" i="90"/>
  <c r="AM121" i="90"/>
  <c r="AJ122" i="90"/>
  <c r="AL124" i="90"/>
  <c r="AI125" i="90"/>
  <c r="AK127" i="90"/>
  <c r="AM129" i="90"/>
  <c r="AJ130" i="90"/>
  <c r="AM133" i="90"/>
  <c r="AM137" i="90"/>
  <c r="AL122" i="90"/>
  <c r="AH112" i="90"/>
  <c r="AH119" i="90"/>
  <c r="AH104" i="90"/>
  <c r="AH103" i="90"/>
  <c r="AH96" i="90"/>
  <c r="AH102" i="90"/>
  <c r="AH97" i="90"/>
  <c r="AH101" i="90"/>
  <c r="AH116" i="90"/>
  <c r="AH115" i="90"/>
  <c r="AH125" i="90"/>
  <c r="AH123" i="90"/>
  <c r="AH128" i="90"/>
  <c r="AH132" i="90"/>
  <c r="AH135" i="90"/>
  <c r="AH136" i="90"/>
  <c r="AH130" i="90"/>
  <c r="AH137" i="90"/>
  <c r="AH105" i="90"/>
  <c r="AH122" i="90"/>
  <c r="AH133" i="90"/>
  <c r="AH126" i="90"/>
  <c r="AH124" i="90"/>
  <c r="AH121" i="90"/>
  <c r="AH113" i="90"/>
  <c r="AH108" i="90"/>
  <c r="AH118" i="90"/>
  <c r="AH114" i="90"/>
  <c r="AH100" i="90"/>
  <c r="AH127" i="90"/>
  <c r="AH129" i="90"/>
  <c r="AH98" i="90"/>
  <c r="AH110" i="90"/>
  <c r="AH107" i="90"/>
  <c r="AH117" i="90"/>
  <c r="AH109" i="90"/>
  <c r="AC22" i="90"/>
  <c r="AA22" i="90"/>
  <c r="T22" i="90"/>
  <c r="P22" i="90"/>
  <c r="AN22" i="90"/>
  <c r="AC20" i="90"/>
  <c r="AA20" i="90"/>
  <c r="T20" i="90"/>
  <c r="P20" i="90"/>
  <c r="AN20" i="90"/>
  <c r="AC10" i="90"/>
  <c r="AA10" i="90"/>
  <c r="T10" i="90"/>
  <c r="P10" i="90"/>
  <c r="AM10" i="90"/>
  <c r="AC9" i="90"/>
  <c r="AA9" i="90"/>
  <c r="T9" i="90"/>
  <c r="P9" i="90"/>
  <c r="AN9" i="90"/>
  <c r="AI22" i="90"/>
  <c r="AJ22" i="90"/>
  <c r="AK22" i="90"/>
  <c r="AL22" i="90"/>
  <c r="AM22" i="90"/>
  <c r="AI20" i="90"/>
  <c r="AJ20" i="90"/>
  <c r="AK20" i="90"/>
  <c r="AL20" i="90"/>
  <c r="AM20" i="90"/>
  <c r="AN10" i="90"/>
  <c r="AI10" i="90"/>
  <c r="AJ10" i="90"/>
  <c r="AK10" i="90"/>
  <c r="AL10" i="90"/>
  <c r="AI9" i="90"/>
  <c r="AJ9" i="90"/>
  <c r="AK9" i="90"/>
  <c r="AL9" i="90"/>
  <c r="AM9" i="90"/>
  <c r="E10" i="285"/>
  <c r="E4" i="285"/>
  <c r="P4" i="285"/>
  <c r="H617" i="18"/>
  <c r="A617" i="18"/>
  <c r="F617" i="18"/>
  <c r="AH22" i="90"/>
  <c r="AH20" i="90"/>
  <c r="AH9" i="90"/>
  <c r="AH10" i="90"/>
  <c r="A449" i="82"/>
  <c r="A450" i="82"/>
  <c r="H14" i="18"/>
  <c r="A14" i="18"/>
  <c r="G14" i="18"/>
  <c r="H13" i="18"/>
  <c r="A13" i="18"/>
  <c r="G13" i="18"/>
  <c r="H12" i="18"/>
  <c r="A12" i="18"/>
  <c r="G12" i="18"/>
  <c r="H11" i="18"/>
  <c r="A11" i="18"/>
  <c r="G11" i="18"/>
  <c r="H10" i="18"/>
  <c r="A10" i="18"/>
  <c r="G10" i="18"/>
  <c r="B9" i="18"/>
  <c r="H8" i="18"/>
  <c r="A8" i="18"/>
  <c r="G8" i="18"/>
  <c r="H7" i="18"/>
  <c r="A7" i="18"/>
  <c r="G7" i="18"/>
  <c r="H6" i="18"/>
  <c r="A6" i="18"/>
  <c r="G6" i="18"/>
  <c r="B5" i="18"/>
  <c r="G71" i="407"/>
  <c r="L70" i="407"/>
  <c r="Q63" i="407"/>
  <c r="L62" i="407"/>
  <c r="F71" i="407"/>
  <c r="CI71" i="407"/>
  <c r="L63" i="407"/>
  <c r="G63" i="407"/>
  <c r="C62" i="407"/>
  <c r="C70" i="407"/>
  <c r="F63" i="407"/>
  <c r="CI63" i="407"/>
  <c r="L66" i="407"/>
  <c r="L71" i="407"/>
  <c r="Q71" i="407"/>
  <c r="G67" i="407"/>
  <c r="G84" i="407"/>
  <c r="CJ84" i="407"/>
  <c r="F75" i="407"/>
  <c r="F87" i="407"/>
  <c r="CI87" i="407"/>
  <c r="L75" i="407"/>
  <c r="C66" i="407"/>
  <c r="Q75" i="407"/>
  <c r="G90" i="407"/>
  <c r="CJ90" i="407"/>
  <c r="L87" i="407"/>
  <c r="G75" i="407"/>
  <c r="L84" i="407"/>
  <c r="C74" i="407"/>
  <c r="Q67" i="407"/>
  <c r="L67" i="407"/>
  <c r="G87" i="407"/>
  <c r="CJ87" i="407"/>
  <c r="F84" i="407"/>
  <c r="CI84" i="407"/>
  <c r="L74" i="407"/>
  <c r="F67" i="407"/>
  <c r="CI67" i="407"/>
  <c r="Q85" i="407"/>
  <c r="Q88" i="407"/>
  <c r="Q79" i="407"/>
  <c r="L79" i="407"/>
  <c r="Q91" i="407"/>
  <c r="C78" i="407"/>
  <c r="G79" i="407"/>
  <c r="L78" i="407"/>
  <c r="L90" i="407"/>
  <c r="F79" i="407"/>
  <c r="CI79" i="407"/>
  <c r="F90" i="407"/>
  <c r="CI90" i="407"/>
  <c r="F96" i="407"/>
  <c r="CI96" i="407"/>
  <c r="G96" i="407"/>
  <c r="CJ96" i="407"/>
  <c r="L93" i="407"/>
  <c r="Q94" i="407"/>
  <c r="L96" i="407"/>
  <c r="F93" i="407"/>
  <c r="CI93" i="407"/>
  <c r="Q97" i="407"/>
  <c r="G93" i="407"/>
  <c r="CJ93" i="407"/>
  <c r="A4" i="230"/>
  <c r="B5" i="230"/>
  <c r="A5" i="230"/>
  <c r="A7" i="230"/>
  <c r="B8" i="230"/>
  <c r="A12" i="230"/>
  <c r="B13" i="230"/>
  <c r="A13" i="230"/>
  <c r="A26" i="230"/>
  <c r="B27" i="230"/>
  <c r="A27" i="230"/>
  <c r="A39" i="230"/>
  <c r="B40" i="230"/>
  <c r="B41" i="230"/>
  <c r="A41" i="230"/>
  <c r="A52" i="230"/>
  <c r="B53" i="230"/>
  <c r="B54" i="230"/>
  <c r="A54" i="230"/>
  <c r="A65" i="230"/>
  <c r="B66" i="230"/>
  <c r="A66" i="230"/>
  <c r="B67" i="230"/>
  <c r="B68" i="230"/>
  <c r="A78" i="230"/>
  <c r="B79" i="230"/>
  <c r="A79" i="230"/>
  <c r="B80" i="230"/>
  <c r="A80" i="230"/>
  <c r="A91" i="230"/>
  <c r="B92" i="230"/>
  <c r="A92" i="230"/>
  <c r="B93" i="230"/>
  <c r="A104" i="230"/>
  <c r="B105" i="230"/>
  <c r="A105" i="230"/>
  <c r="B106" i="230"/>
  <c r="A117" i="230"/>
  <c r="B118" i="230"/>
  <c r="B119" i="230"/>
  <c r="A119" i="230"/>
  <c r="A130" i="230"/>
  <c r="B131" i="230"/>
  <c r="B55" i="230"/>
  <c r="B14" i="230"/>
  <c r="B15" i="230"/>
  <c r="A15" i="230"/>
  <c r="B6" i="230"/>
  <c r="A6" i="230"/>
  <c r="I192" i="407"/>
  <c r="CI75" i="407"/>
  <c r="CJ63" i="407"/>
  <c r="FX3" i="407"/>
  <c r="CJ75" i="407"/>
  <c r="GP3" i="407"/>
  <c r="CJ79" i="407"/>
  <c r="GV3" i="407"/>
  <c r="CJ67" i="407"/>
  <c r="GD3" i="407"/>
  <c r="CJ71" i="407"/>
  <c r="GJ3" i="407"/>
  <c r="A131" i="230"/>
  <c r="B132" i="230"/>
  <c r="B107" i="230"/>
  <c r="A106" i="230"/>
  <c r="B94" i="230"/>
  <c r="A93" i="230"/>
  <c r="B56" i="230"/>
  <c r="A55" i="230"/>
  <c r="A53" i="230"/>
  <c r="B120" i="230"/>
  <c r="B42" i="230"/>
  <c r="A68" i="230"/>
  <c r="B69" i="230"/>
  <c r="B9" i="230"/>
  <c r="A8" i="230"/>
  <c r="A118" i="230"/>
  <c r="B81" i="230"/>
  <c r="A67" i="230"/>
  <c r="B28" i="230"/>
  <c r="A40" i="230"/>
  <c r="O36" i="92"/>
  <c r="H75" i="18"/>
  <c r="A75" i="18"/>
  <c r="G75" i="18"/>
  <c r="H74" i="18"/>
  <c r="A74" i="18"/>
  <c r="G74" i="18"/>
  <c r="H73" i="18"/>
  <c r="A73" i="18"/>
  <c r="G73" i="18"/>
  <c r="H72" i="18"/>
  <c r="A72" i="18"/>
  <c r="G72" i="18"/>
  <c r="H71" i="18"/>
  <c r="A71" i="18"/>
  <c r="G71" i="18"/>
  <c r="H70" i="18"/>
  <c r="A70" i="18"/>
  <c r="G70" i="18"/>
  <c r="H69" i="18"/>
  <c r="A69" i="18"/>
  <c r="G69" i="18"/>
  <c r="H68" i="18"/>
  <c r="A68" i="18"/>
  <c r="G68" i="18"/>
  <c r="H67" i="18"/>
  <c r="A67" i="18"/>
  <c r="G67" i="18"/>
  <c r="H66" i="18"/>
  <c r="A66" i="18"/>
  <c r="G66" i="18"/>
  <c r="H65" i="18"/>
  <c r="G65" i="18"/>
  <c r="H64" i="18"/>
  <c r="A64" i="18"/>
  <c r="G64" i="18"/>
  <c r="B76" i="18"/>
  <c r="B63" i="18"/>
  <c r="A14" i="230"/>
  <c r="B16" i="230"/>
  <c r="B17" i="230"/>
  <c r="A56" i="230"/>
  <c r="B57" i="230"/>
  <c r="A16" i="230"/>
  <c r="B70" i="230"/>
  <c r="A69" i="230"/>
  <c r="A107" i="230"/>
  <c r="B108" i="230"/>
  <c r="B82" i="230"/>
  <c r="A81" i="230"/>
  <c r="B43" i="230"/>
  <c r="A42" i="230"/>
  <c r="B121" i="230"/>
  <c r="A120" i="230"/>
  <c r="B133" i="230"/>
  <c r="A132" i="230"/>
  <c r="B29" i="230"/>
  <c r="A28" i="230"/>
  <c r="B95" i="230"/>
  <c r="A94" i="230"/>
  <c r="A9" i="230"/>
  <c r="B10" i="230"/>
  <c r="A65" i="18"/>
  <c r="A133" i="230"/>
  <c r="B134" i="230"/>
  <c r="A70" i="230"/>
  <c r="B71" i="230"/>
  <c r="B44" i="230"/>
  <c r="A43" i="230"/>
  <c r="B96" i="230"/>
  <c r="A95" i="230"/>
  <c r="A82" i="230"/>
  <c r="B83" i="230"/>
  <c r="A17" i="230"/>
  <c r="B18" i="230"/>
  <c r="B122" i="230"/>
  <c r="A121" i="230"/>
  <c r="B109" i="230"/>
  <c r="A108" i="230"/>
  <c r="B58" i="230"/>
  <c r="A57" i="230"/>
  <c r="B11" i="230"/>
  <c r="A10" i="230"/>
  <c r="A29" i="230"/>
  <c r="B30" i="230"/>
  <c r="G92" i="18"/>
  <c r="H92" i="18"/>
  <c r="A92" i="18"/>
  <c r="B45" i="230"/>
  <c r="A44" i="230"/>
  <c r="A109" i="230"/>
  <c r="B110" i="230"/>
  <c r="B84" i="230"/>
  <c r="A83" i="230"/>
  <c r="B72" i="230"/>
  <c r="A71" i="230"/>
  <c r="A11" i="230"/>
  <c r="B123" i="230"/>
  <c r="A122" i="230"/>
  <c r="A134" i="230"/>
  <c r="B135" i="230"/>
  <c r="B31" i="230"/>
  <c r="A30" i="230"/>
  <c r="A58" i="230"/>
  <c r="B59" i="230"/>
  <c r="B19" i="230"/>
  <c r="A18" i="230"/>
  <c r="A96" i="230"/>
  <c r="B97" i="230"/>
  <c r="BH5" i="92"/>
  <c r="BH4" i="92"/>
  <c r="BH3" i="92"/>
  <c r="B98" i="230"/>
  <c r="A97" i="230"/>
  <c r="B124" i="230"/>
  <c r="A123" i="230"/>
  <c r="A84" i="230"/>
  <c r="B85" i="230"/>
  <c r="B111" i="230"/>
  <c r="A110" i="230"/>
  <c r="A31" i="230"/>
  <c r="B32" i="230"/>
  <c r="A135" i="230"/>
  <c r="B136" i="230"/>
  <c r="A19" i="230"/>
  <c r="B20" i="230"/>
  <c r="B60" i="230"/>
  <c r="A59" i="230"/>
  <c r="A72" i="230"/>
  <c r="B73" i="230"/>
  <c r="B46" i="230"/>
  <c r="A45" i="230"/>
  <c r="L3" i="230"/>
  <c r="L4" i="230"/>
  <c r="A60" i="230"/>
  <c r="B61" i="230"/>
  <c r="B47" i="230"/>
  <c r="A46" i="230"/>
  <c r="B21" i="230"/>
  <c r="A20" i="230"/>
  <c r="B125" i="230"/>
  <c r="A124" i="230"/>
  <c r="B33" i="230"/>
  <c r="A32" i="230"/>
  <c r="A111" i="230"/>
  <c r="B112" i="230"/>
  <c r="B137" i="230"/>
  <c r="A136" i="230"/>
  <c r="B74" i="230"/>
  <c r="A73" i="230"/>
  <c r="B86" i="230"/>
  <c r="A85" i="230"/>
  <c r="A98" i="230"/>
  <c r="B99" i="230"/>
  <c r="L459" i="18"/>
  <c r="L460" i="18"/>
  <c r="L461" i="18"/>
  <c r="L462" i="18"/>
  <c r="L458" i="18"/>
  <c r="L453" i="18"/>
  <c r="L454" i="18"/>
  <c r="L455" i="18"/>
  <c r="L452" i="18"/>
  <c r="L446" i="18"/>
  <c r="L447" i="18"/>
  <c r="L448" i="18"/>
  <c r="L449" i="18"/>
  <c r="L445" i="18"/>
  <c r="L439" i="18"/>
  <c r="L440" i="18"/>
  <c r="L441" i="18"/>
  <c r="L438" i="18"/>
  <c r="L431" i="18"/>
  <c r="L432" i="18"/>
  <c r="L433" i="18"/>
  <c r="L434" i="18"/>
  <c r="L435" i="18"/>
  <c r="L430" i="18"/>
  <c r="L424" i="18"/>
  <c r="L425" i="18"/>
  <c r="L426" i="18"/>
  <c r="L427" i="18"/>
  <c r="L423" i="18"/>
  <c r="L416" i="18"/>
  <c r="L417" i="18"/>
  <c r="L418" i="18"/>
  <c r="L419" i="18"/>
  <c r="L420" i="18"/>
  <c r="L415" i="18"/>
  <c r="L412" i="18"/>
  <c r="L411" i="18"/>
  <c r="L407" i="18"/>
  <c r="L408" i="18"/>
  <c r="L406" i="18"/>
  <c r="L402" i="18"/>
  <c r="L403" i="18"/>
  <c r="L401" i="18"/>
  <c r="L394" i="18"/>
  <c r="L395" i="18"/>
  <c r="L396" i="18"/>
  <c r="L397" i="18"/>
  <c r="L398" i="18"/>
  <c r="L388" i="18"/>
  <c r="L389" i="18"/>
  <c r="L390" i="18"/>
  <c r="L391" i="18"/>
  <c r="L387" i="18"/>
  <c r="L382" i="18"/>
  <c r="L383" i="18"/>
  <c r="L384" i="18"/>
  <c r="L381" i="18"/>
  <c r="L378" i="18"/>
  <c r="L373" i="18"/>
  <c r="L374" i="18"/>
  <c r="L375" i="18"/>
  <c r="L376" i="18"/>
  <c r="L372" i="18"/>
  <c r="L523" i="18"/>
  <c r="L518" i="18"/>
  <c r="L540" i="18"/>
  <c r="L541" i="18"/>
  <c r="L542" i="18"/>
  <c r="L543" i="18"/>
  <c r="L544" i="18"/>
  <c r="L539" i="18"/>
  <c r="L534" i="18"/>
  <c r="L535" i="18"/>
  <c r="L536" i="18"/>
  <c r="L533" i="18"/>
  <c r="L524" i="18"/>
  <c r="L525" i="18"/>
  <c r="L526" i="18"/>
  <c r="L527" i="18"/>
  <c r="L528" i="18"/>
  <c r="L519" i="18"/>
  <c r="L520" i="18"/>
  <c r="L513" i="18"/>
  <c r="L514" i="18"/>
  <c r="L515" i="18"/>
  <c r="L512" i="18"/>
  <c r="L506" i="18"/>
  <c r="L507" i="18"/>
  <c r="L508" i="18"/>
  <c r="L509" i="18"/>
  <c r="L505" i="18"/>
  <c r="L499" i="18"/>
  <c r="L500" i="18"/>
  <c r="L501" i="18"/>
  <c r="L502" i="18"/>
  <c r="L498" i="18"/>
  <c r="L492" i="18"/>
  <c r="L493" i="18"/>
  <c r="L494" i="18"/>
  <c r="L495" i="18"/>
  <c r="L491" i="18"/>
  <c r="L490" i="18"/>
  <c r="L483" i="18"/>
  <c r="L476" i="18"/>
  <c r="L469" i="18"/>
  <c r="L470" i="18"/>
  <c r="L471" i="18"/>
  <c r="L472" i="18"/>
  <c r="L473" i="18"/>
  <c r="L468" i="18"/>
  <c r="A21" i="230"/>
  <c r="B22" i="230"/>
  <c r="B100" i="230"/>
  <c r="A99" i="230"/>
  <c r="A74" i="230"/>
  <c r="B76" i="230"/>
  <c r="B75" i="230"/>
  <c r="A33" i="230"/>
  <c r="B34" i="230"/>
  <c r="B48" i="230"/>
  <c r="A47" i="230"/>
  <c r="B62" i="230"/>
  <c r="A61" i="230"/>
  <c r="B63" i="230"/>
  <c r="A137" i="230"/>
  <c r="B138" i="230"/>
  <c r="B126" i="230"/>
  <c r="A125" i="230"/>
  <c r="A86" i="230"/>
  <c r="B87" i="230"/>
  <c r="B113" i="230"/>
  <c r="A112" i="230"/>
  <c r="D9" i="92"/>
  <c r="B127" i="230"/>
  <c r="A126" i="230"/>
  <c r="A138" i="230"/>
  <c r="B139" i="230"/>
  <c r="B49" i="230"/>
  <c r="A48" i="230"/>
  <c r="B50" i="230"/>
  <c r="A113" i="230"/>
  <c r="B115" i="230"/>
  <c r="B114" i="230"/>
  <c r="B88" i="230"/>
  <c r="B89" i="230"/>
  <c r="A87" i="230"/>
  <c r="B35" i="230"/>
  <c r="A34" i="230"/>
  <c r="B36" i="230"/>
  <c r="B102" i="230"/>
  <c r="A100" i="230"/>
  <c r="B101" i="230"/>
  <c r="A76" i="230"/>
  <c r="B77" i="230"/>
  <c r="A63" i="230"/>
  <c r="B23" i="230"/>
  <c r="A22" i="230"/>
  <c r="A62" i="230"/>
  <c r="B64" i="230"/>
  <c r="A75" i="230"/>
  <c r="D11" i="92"/>
  <c r="A89" i="230"/>
  <c r="A102" i="230"/>
  <c r="A88" i="230"/>
  <c r="B90" i="230"/>
  <c r="B51" i="230"/>
  <c r="A49" i="230"/>
  <c r="A77" i="230"/>
  <c r="A36" i="230"/>
  <c r="A114" i="230"/>
  <c r="B116" i="230"/>
  <c r="A64" i="230"/>
  <c r="A115" i="230"/>
  <c r="A139" i="230"/>
  <c r="B140" i="230"/>
  <c r="A35" i="230"/>
  <c r="B37" i="230"/>
  <c r="A101" i="230"/>
  <c r="B103" i="230"/>
  <c r="A23" i="230"/>
  <c r="B24" i="230"/>
  <c r="A50" i="230"/>
  <c r="B128" i="230"/>
  <c r="A127" i="230"/>
  <c r="A103" i="230"/>
  <c r="A90" i="230"/>
  <c r="A140" i="230"/>
  <c r="B141" i="230"/>
  <c r="A51" i="230"/>
  <c r="B129" i="230"/>
  <c r="A128" i="230"/>
  <c r="A37" i="230"/>
  <c r="B38" i="230"/>
  <c r="B25" i="230"/>
  <c r="A24" i="230"/>
  <c r="A116" i="230"/>
  <c r="A141" i="230"/>
  <c r="B142" i="230"/>
  <c r="A25" i="230"/>
  <c r="A38" i="230"/>
  <c r="A129" i="230"/>
  <c r="A142" i="230"/>
  <c r="H522" i="18"/>
  <c r="E505" i="18"/>
  <c r="E506" i="18"/>
  <c r="E507" i="18"/>
  <c r="E508" i="18"/>
  <c r="E509" i="18"/>
  <c r="F511" i="18"/>
  <c r="F517" i="18"/>
  <c r="E511" i="18"/>
  <c r="E512" i="18"/>
  <c r="E513" i="18"/>
  <c r="E514" i="18"/>
  <c r="E515" i="18"/>
  <c r="D511" i="18"/>
  <c r="D517" i="18"/>
  <c r="C511" i="18"/>
  <c r="B511" i="18"/>
  <c r="B517" i="18"/>
  <c r="F475" i="18"/>
  <c r="F482" i="18"/>
  <c r="F467" i="18"/>
  <c r="G467" i="18"/>
  <c r="E517" i="18"/>
  <c r="E518" i="18"/>
  <c r="E519" i="18"/>
  <c r="E520" i="18"/>
  <c r="A522" i="18"/>
  <c r="G522" i="18"/>
  <c r="P466" i="18"/>
  <c r="P537" i="18"/>
  <c r="O466" i="18"/>
  <c r="O537" i="18"/>
  <c r="N466" i="18"/>
  <c r="N531" i="18"/>
  <c r="M466" i="18"/>
  <c r="M531" i="18"/>
  <c r="P456" i="18"/>
  <c r="O456" i="18"/>
  <c r="N456" i="18"/>
  <c r="M456" i="18"/>
  <c r="P450" i="18"/>
  <c r="O450" i="18"/>
  <c r="N450" i="18"/>
  <c r="M450" i="18"/>
  <c r="P443" i="18"/>
  <c r="O443" i="18"/>
  <c r="N443" i="18"/>
  <c r="M443" i="18"/>
  <c r="P436" i="18"/>
  <c r="O436" i="18"/>
  <c r="N436" i="18"/>
  <c r="M436" i="18"/>
  <c r="P428" i="18"/>
  <c r="O428" i="18"/>
  <c r="N428" i="18"/>
  <c r="M428" i="18"/>
  <c r="P421" i="18"/>
  <c r="O421" i="18"/>
  <c r="N421" i="18"/>
  <c r="M421" i="18"/>
  <c r="P413" i="18"/>
  <c r="O413" i="18"/>
  <c r="N413" i="18"/>
  <c r="M413" i="18"/>
  <c r="P409" i="18"/>
  <c r="O409" i="18"/>
  <c r="N409" i="18"/>
  <c r="M409" i="18"/>
  <c r="P404" i="18"/>
  <c r="O404" i="18"/>
  <c r="N404" i="18"/>
  <c r="M404" i="18"/>
  <c r="P399" i="18"/>
  <c r="O399" i="18"/>
  <c r="N399" i="18"/>
  <c r="M399" i="18"/>
  <c r="P392" i="18"/>
  <c r="O392" i="18"/>
  <c r="N392" i="18"/>
  <c r="M392" i="18"/>
  <c r="P385" i="18"/>
  <c r="O385" i="18"/>
  <c r="N385" i="18"/>
  <c r="M385" i="18"/>
  <c r="N379" i="18"/>
  <c r="O379" i="18"/>
  <c r="P379" i="18"/>
  <c r="M379" i="18"/>
  <c r="J537" i="18"/>
  <c r="I537" i="18"/>
  <c r="H537" i="18"/>
  <c r="G537" i="18"/>
  <c r="F537" i="18"/>
  <c r="E537" i="18"/>
  <c r="D537" i="18"/>
  <c r="C537" i="18"/>
  <c r="B537" i="18"/>
  <c r="J531" i="18"/>
  <c r="I531" i="18"/>
  <c r="H531" i="18"/>
  <c r="G531" i="18"/>
  <c r="F531" i="18"/>
  <c r="E531" i="18"/>
  <c r="D531" i="18"/>
  <c r="C531" i="18"/>
  <c r="B531" i="18"/>
  <c r="J521" i="18"/>
  <c r="I521" i="18"/>
  <c r="H521" i="18"/>
  <c r="G521" i="18"/>
  <c r="F521" i="18"/>
  <c r="E521" i="18"/>
  <c r="D521" i="18"/>
  <c r="C521" i="18"/>
  <c r="B521" i="18"/>
  <c r="J516" i="18"/>
  <c r="I516" i="18"/>
  <c r="H516" i="18"/>
  <c r="G516" i="18"/>
  <c r="F516" i="18"/>
  <c r="E516" i="18"/>
  <c r="D516" i="18"/>
  <c r="C516" i="18"/>
  <c r="B516" i="18"/>
  <c r="J510" i="18"/>
  <c r="I510" i="18"/>
  <c r="H510" i="18"/>
  <c r="G510" i="18"/>
  <c r="F510" i="18"/>
  <c r="E510" i="18"/>
  <c r="D510" i="18"/>
  <c r="C510" i="18"/>
  <c r="B510" i="18"/>
  <c r="J503" i="18"/>
  <c r="I503" i="18"/>
  <c r="H503" i="18"/>
  <c r="G503" i="18"/>
  <c r="F503" i="18"/>
  <c r="E503" i="18"/>
  <c r="D503" i="18"/>
  <c r="C503" i="18"/>
  <c r="B503" i="18"/>
  <c r="J496" i="18"/>
  <c r="I496" i="18"/>
  <c r="H496" i="18"/>
  <c r="G496" i="18"/>
  <c r="F496" i="18"/>
  <c r="E496" i="18"/>
  <c r="D496" i="18"/>
  <c r="C496" i="18"/>
  <c r="B496" i="18"/>
  <c r="J488" i="18"/>
  <c r="I488" i="18"/>
  <c r="H488" i="18"/>
  <c r="G488" i="18"/>
  <c r="F488" i="18"/>
  <c r="E488" i="18"/>
  <c r="D488" i="18"/>
  <c r="C488" i="18"/>
  <c r="B488" i="18"/>
  <c r="J481" i="18"/>
  <c r="I481" i="18"/>
  <c r="H481" i="18"/>
  <c r="G481" i="18"/>
  <c r="F481" i="18"/>
  <c r="E481" i="18"/>
  <c r="D481" i="18"/>
  <c r="C481" i="18"/>
  <c r="B481" i="18"/>
  <c r="C474" i="18"/>
  <c r="D474" i="18"/>
  <c r="E474" i="18"/>
  <c r="F474" i="18"/>
  <c r="G474" i="18"/>
  <c r="H474" i="18"/>
  <c r="I474" i="18"/>
  <c r="J474" i="18"/>
  <c r="B474" i="18"/>
  <c r="J456" i="18"/>
  <c r="I456" i="18"/>
  <c r="H456" i="18"/>
  <c r="G456" i="18"/>
  <c r="F456" i="18"/>
  <c r="E456" i="18"/>
  <c r="D456" i="18"/>
  <c r="C456" i="18"/>
  <c r="B456" i="18"/>
  <c r="J450" i="18"/>
  <c r="I450" i="18"/>
  <c r="H450" i="18"/>
  <c r="G450" i="18"/>
  <c r="F450" i="18"/>
  <c r="E450" i="18"/>
  <c r="D450" i="18"/>
  <c r="C450" i="18"/>
  <c r="B450" i="18"/>
  <c r="J443" i="18"/>
  <c r="I443" i="18"/>
  <c r="H443" i="18"/>
  <c r="G443" i="18"/>
  <c r="F443" i="18"/>
  <c r="E443" i="18"/>
  <c r="D443" i="18"/>
  <c r="C443" i="18"/>
  <c r="B443" i="18"/>
  <c r="J436" i="18"/>
  <c r="I436" i="18"/>
  <c r="H436" i="18"/>
  <c r="G436" i="18"/>
  <c r="F436" i="18"/>
  <c r="E436" i="18"/>
  <c r="D436" i="18"/>
  <c r="C436" i="18"/>
  <c r="B436" i="18"/>
  <c r="J428" i="18"/>
  <c r="I428" i="18"/>
  <c r="H428" i="18"/>
  <c r="G428" i="18"/>
  <c r="F428" i="18"/>
  <c r="E428" i="18"/>
  <c r="D428" i="18"/>
  <c r="C428" i="18"/>
  <c r="B428" i="18"/>
  <c r="J421" i="18"/>
  <c r="I421" i="18"/>
  <c r="H421" i="18"/>
  <c r="G421" i="18"/>
  <c r="F421" i="18"/>
  <c r="E421" i="18"/>
  <c r="D421" i="18"/>
  <c r="C421" i="18"/>
  <c r="B421" i="18"/>
  <c r="J413" i="18"/>
  <c r="I413" i="18"/>
  <c r="H413" i="18"/>
  <c r="G413" i="18"/>
  <c r="F413" i="18"/>
  <c r="E413" i="18"/>
  <c r="D413" i="18"/>
  <c r="C413" i="18"/>
  <c r="B413" i="18"/>
  <c r="J409" i="18"/>
  <c r="I409" i="18"/>
  <c r="H409" i="18"/>
  <c r="G409" i="18"/>
  <c r="F409" i="18"/>
  <c r="E409" i="18"/>
  <c r="D409" i="18"/>
  <c r="C409" i="18"/>
  <c r="B409" i="18"/>
  <c r="J404" i="18"/>
  <c r="I404" i="18"/>
  <c r="H404" i="18"/>
  <c r="G404" i="18"/>
  <c r="F404" i="18"/>
  <c r="E404" i="18"/>
  <c r="D404" i="18"/>
  <c r="C404" i="18"/>
  <c r="B404" i="18"/>
  <c r="J399" i="18"/>
  <c r="I399" i="18"/>
  <c r="H399" i="18"/>
  <c r="G399" i="18"/>
  <c r="F399" i="18"/>
  <c r="E399" i="18"/>
  <c r="D399" i="18"/>
  <c r="C399" i="18"/>
  <c r="B399" i="18"/>
  <c r="J392" i="18"/>
  <c r="I392" i="18"/>
  <c r="H392" i="18"/>
  <c r="G392" i="18"/>
  <c r="F392" i="18"/>
  <c r="E392" i="18"/>
  <c r="D392" i="18"/>
  <c r="C392" i="18"/>
  <c r="B392" i="18"/>
  <c r="J385" i="18"/>
  <c r="I385" i="18"/>
  <c r="H385" i="18"/>
  <c r="G385" i="18"/>
  <c r="F385" i="18"/>
  <c r="E385" i="18"/>
  <c r="D385" i="18"/>
  <c r="C385" i="18"/>
  <c r="B385" i="18"/>
  <c r="D379" i="18"/>
  <c r="E379" i="18"/>
  <c r="F379" i="18"/>
  <c r="G379" i="18"/>
  <c r="H379" i="18"/>
  <c r="I379" i="18"/>
  <c r="J379" i="18"/>
  <c r="C379" i="18"/>
  <c r="B379" i="18"/>
  <c r="P474" i="18"/>
  <c r="O503" i="18"/>
  <c r="O474" i="18"/>
  <c r="O488" i="18"/>
  <c r="O516" i="18"/>
  <c r="O531" i="18"/>
  <c r="N474" i="18"/>
  <c r="P488" i="18"/>
  <c r="P503" i="18"/>
  <c r="P516" i="18"/>
  <c r="P531" i="18"/>
  <c r="M481" i="18"/>
  <c r="M496" i="18"/>
  <c r="M510" i="18"/>
  <c r="M521" i="18"/>
  <c r="M537" i="18"/>
  <c r="N481" i="18"/>
  <c r="N496" i="18"/>
  <c r="N510" i="18"/>
  <c r="N521" i="18"/>
  <c r="N537" i="18"/>
  <c r="O481" i="18"/>
  <c r="O496" i="18"/>
  <c r="O510" i="18"/>
  <c r="O521" i="18"/>
  <c r="P481" i="18"/>
  <c r="P496" i="18"/>
  <c r="P510" i="18"/>
  <c r="P521" i="18"/>
  <c r="M474" i="18"/>
  <c r="M488" i="18"/>
  <c r="M503" i="18"/>
  <c r="M516" i="18"/>
  <c r="N488" i="18"/>
  <c r="N503" i="18"/>
  <c r="N516" i="18"/>
  <c r="M462" i="18"/>
  <c r="T462" i="18"/>
  <c r="D462" i="18"/>
  <c r="M461" i="18"/>
  <c r="O461" i="18"/>
  <c r="D461" i="18"/>
  <c r="M460" i="18"/>
  <c r="T460" i="18"/>
  <c r="D460" i="18"/>
  <c r="M459" i="18"/>
  <c r="T459" i="18"/>
  <c r="D459" i="18"/>
  <c r="M458" i="18"/>
  <c r="O458" i="18"/>
  <c r="F458" i="18"/>
  <c r="D458" i="18"/>
  <c r="H457" i="18"/>
  <c r="A457" i="18"/>
  <c r="G457" i="18"/>
  <c r="M455" i="18"/>
  <c r="T455" i="18"/>
  <c r="D455" i="18"/>
  <c r="M454" i="18"/>
  <c r="T454" i="18"/>
  <c r="D454" i="18"/>
  <c r="M453" i="18"/>
  <c r="D453" i="18"/>
  <c r="M452" i="18"/>
  <c r="T452" i="18"/>
  <c r="D452" i="18"/>
  <c r="H451" i="18"/>
  <c r="A451" i="18"/>
  <c r="G451" i="18"/>
  <c r="M449" i="18"/>
  <c r="T449" i="18"/>
  <c r="D449" i="18"/>
  <c r="M448" i="18"/>
  <c r="T448" i="18"/>
  <c r="M447" i="18"/>
  <c r="N446" i="18"/>
  <c r="D446" i="18"/>
  <c r="M446" i="18"/>
  <c r="T446" i="18"/>
  <c r="M445" i="18"/>
  <c r="D445" i="18"/>
  <c r="H444" i="18"/>
  <c r="A444" i="18"/>
  <c r="G444" i="18"/>
  <c r="B442" i="18"/>
  <c r="O462" i="18"/>
  <c r="T458" i="18"/>
  <c r="F461" i="18"/>
  <c r="C461" i="18"/>
  <c r="R461" i="18"/>
  <c r="C458" i="18"/>
  <c r="O459" i="18"/>
  <c r="T461" i="18"/>
  <c r="O460" i="18"/>
  <c r="T453" i="18"/>
  <c r="O454" i="18"/>
  <c r="O452" i="18"/>
  <c r="O455" i="18"/>
  <c r="O453" i="18"/>
  <c r="T445" i="18"/>
  <c r="O446" i="18"/>
  <c r="C446" i="18"/>
  <c r="R446" i="18"/>
  <c r="T447" i="18"/>
  <c r="N447" i="18"/>
  <c r="O447" i="18"/>
  <c r="C447" i="18"/>
  <c r="O449" i="18"/>
  <c r="O445" i="18"/>
  <c r="M544" i="18"/>
  <c r="D544" i="18"/>
  <c r="M543" i="18"/>
  <c r="D543" i="18"/>
  <c r="M542" i="18"/>
  <c r="O542" i="18"/>
  <c r="D542" i="18"/>
  <c r="M541" i="18"/>
  <c r="D541" i="18"/>
  <c r="M540" i="18"/>
  <c r="D540" i="18"/>
  <c r="M539" i="18"/>
  <c r="D539" i="18"/>
  <c r="H538" i="18"/>
  <c r="A538" i="18"/>
  <c r="G538" i="18"/>
  <c r="M536" i="18"/>
  <c r="O536" i="18"/>
  <c r="M535" i="18"/>
  <c r="M534" i="18"/>
  <c r="M533" i="18"/>
  <c r="H532" i="18"/>
  <c r="A532" i="18"/>
  <c r="G532" i="18"/>
  <c r="H530" i="18"/>
  <c r="A530" i="18"/>
  <c r="G530" i="18"/>
  <c r="B529" i="18"/>
  <c r="M528" i="18"/>
  <c r="O528" i="18"/>
  <c r="D528" i="18"/>
  <c r="M527" i="18"/>
  <c r="D527" i="18"/>
  <c r="M526" i="18"/>
  <c r="D526" i="18"/>
  <c r="M525" i="18"/>
  <c r="D525" i="18"/>
  <c r="M524" i="18"/>
  <c r="D524" i="18"/>
  <c r="M523" i="18"/>
  <c r="D523" i="18"/>
  <c r="M520" i="18"/>
  <c r="D520" i="18"/>
  <c r="M519" i="18"/>
  <c r="D519" i="18"/>
  <c r="M518" i="18"/>
  <c r="D518" i="18"/>
  <c r="H517" i="18"/>
  <c r="A517" i="18"/>
  <c r="G517" i="18"/>
  <c r="M515" i="18"/>
  <c r="D515" i="18"/>
  <c r="M514" i="18"/>
  <c r="D514" i="18"/>
  <c r="M513" i="18"/>
  <c r="O513" i="18"/>
  <c r="D513" i="18"/>
  <c r="M512" i="18"/>
  <c r="D512" i="18"/>
  <c r="H511" i="18"/>
  <c r="A511" i="18"/>
  <c r="G511" i="18"/>
  <c r="M509" i="18"/>
  <c r="O509" i="18"/>
  <c r="M508" i="18"/>
  <c r="M507" i="18"/>
  <c r="M506" i="18"/>
  <c r="M505" i="18"/>
  <c r="O505" i="18"/>
  <c r="H504" i="18"/>
  <c r="A504" i="18"/>
  <c r="G504" i="18"/>
  <c r="M502" i="18"/>
  <c r="M501" i="18"/>
  <c r="O501" i="18"/>
  <c r="M500" i="18"/>
  <c r="M499" i="18"/>
  <c r="M498" i="18"/>
  <c r="O498" i="18"/>
  <c r="H497" i="18"/>
  <c r="A497" i="18"/>
  <c r="G497" i="18"/>
  <c r="M495" i="18"/>
  <c r="O495" i="18"/>
  <c r="M494" i="18"/>
  <c r="M493" i="18"/>
  <c r="O493" i="18"/>
  <c r="M492" i="18"/>
  <c r="M491" i="18"/>
  <c r="O491" i="18"/>
  <c r="M490" i="18"/>
  <c r="H489" i="18"/>
  <c r="A489" i="18"/>
  <c r="G489" i="18"/>
  <c r="M487" i="18"/>
  <c r="O487" i="18"/>
  <c r="M486" i="18"/>
  <c r="O486" i="18"/>
  <c r="M485" i="18"/>
  <c r="O485" i="18"/>
  <c r="M484" i="18"/>
  <c r="M483" i="18"/>
  <c r="O483" i="18"/>
  <c r="H482" i="18"/>
  <c r="A482" i="18"/>
  <c r="G482" i="18"/>
  <c r="M480" i="18"/>
  <c r="D480" i="18"/>
  <c r="M479" i="18"/>
  <c r="O479" i="18"/>
  <c r="D479" i="18"/>
  <c r="M478" i="18"/>
  <c r="D478" i="18"/>
  <c r="M477" i="18"/>
  <c r="D477" i="18"/>
  <c r="M476" i="18"/>
  <c r="O476" i="18"/>
  <c r="D476" i="18"/>
  <c r="H475" i="18"/>
  <c r="A475" i="18"/>
  <c r="G475" i="18"/>
  <c r="M473" i="18"/>
  <c r="O473" i="18"/>
  <c r="D473" i="18"/>
  <c r="M472" i="18"/>
  <c r="D472" i="18"/>
  <c r="M471" i="18"/>
  <c r="O471" i="18"/>
  <c r="D471" i="18"/>
  <c r="M470" i="18"/>
  <c r="O470" i="18"/>
  <c r="D470" i="18"/>
  <c r="M469" i="18"/>
  <c r="D469" i="18"/>
  <c r="M468" i="18"/>
  <c r="D468" i="18"/>
  <c r="H467" i="18"/>
  <c r="A467" i="18"/>
  <c r="M441" i="18"/>
  <c r="T441" i="18"/>
  <c r="D441" i="18"/>
  <c r="M440" i="18"/>
  <c r="T440" i="18"/>
  <c r="D440" i="18"/>
  <c r="M439" i="18"/>
  <c r="D439" i="18"/>
  <c r="M438" i="18"/>
  <c r="T438" i="18"/>
  <c r="D438" i="18"/>
  <c r="H437" i="18"/>
  <c r="A437" i="18"/>
  <c r="G437" i="18"/>
  <c r="M435" i="18"/>
  <c r="T435" i="18"/>
  <c r="D435" i="18"/>
  <c r="M434" i="18"/>
  <c r="T434" i="18"/>
  <c r="D434" i="18"/>
  <c r="M433" i="18"/>
  <c r="T433" i="18"/>
  <c r="D433" i="18"/>
  <c r="M432" i="18"/>
  <c r="T432" i="18"/>
  <c r="D432" i="18"/>
  <c r="M431" i="18"/>
  <c r="T431" i="18"/>
  <c r="D431" i="18"/>
  <c r="M430" i="18"/>
  <c r="T430" i="18"/>
  <c r="D430" i="18"/>
  <c r="H429" i="18"/>
  <c r="A429" i="18"/>
  <c r="G429" i="18"/>
  <c r="M427" i="18"/>
  <c r="T427" i="18"/>
  <c r="D427" i="18"/>
  <c r="M426" i="18"/>
  <c r="T426" i="18"/>
  <c r="D426" i="18"/>
  <c r="M425" i="18"/>
  <c r="O425" i="18"/>
  <c r="D425" i="18"/>
  <c r="M424" i="18"/>
  <c r="T424" i="18"/>
  <c r="D424" i="18"/>
  <c r="M423" i="18"/>
  <c r="T423" i="18"/>
  <c r="D423" i="18"/>
  <c r="H422" i="18"/>
  <c r="A422" i="18"/>
  <c r="G422" i="18"/>
  <c r="M420" i="18"/>
  <c r="T420" i="18"/>
  <c r="D420" i="18"/>
  <c r="M419" i="18"/>
  <c r="T419" i="18"/>
  <c r="D419" i="18"/>
  <c r="M418" i="18"/>
  <c r="O418" i="18"/>
  <c r="F418" i="18"/>
  <c r="D418" i="18"/>
  <c r="M417" i="18"/>
  <c r="T417" i="18"/>
  <c r="D417" i="18"/>
  <c r="M416" i="18"/>
  <c r="O416" i="18"/>
  <c r="D416" i="18"/>
  <c r="M415" i="18"/>
  <c r="T415" i="18"/>
  <c r="D415" i="18"/>
  <c r="H414" i="18"/>
  <c r="A414" i="18"/>
  <c r="G414" i="18"/>
  <c r="M412" i="18"/>
  <c r="T412" i="18"/>
  <c r="D412" i="18"/>
  <c r="M411" i="18"/>
  <c r="O411" i="18"/>
  <c r="D411" i="18"/>
  <c r="H410" i="18"/>
  <c r="A410" i="18"/>
  <c r="G410" i="18"/>
  <c r="M408" i="18"/>
  <c r="O408" i="18"/>
  <c r="D408" i="18"/>
  <c r="M407" i="18"/>
  <c r="T407" i="18"/>
  <c r="D407" i="18"/>
  <c r="M406" i="18"/>
  <c r="T406" i="18"/>
  <c r="D406" i="18"/>
  <c r="H405" i="18"/>
  <c r="A405" i="18"/>
  <c r="G405" i="18"/>
  <c r="M403" i="18"/>
  <c r="T403" i="18"/>
  <c r="D403" i="18"/>
  <c r="M402" i="18"/>
  <c r="T402" i="18"/>
  <c r="D402" i="18"/>
  <c r="M401" i="18"/>
  <c r="O401" i="18"/>
  <c r="F401" i="18"/>
  <c r="D401" i="18"/>
  <c r="H400" i="18"/>
  <c r="A400" i="18"/>
  <c r="G400" i="18"/>
  <c r="M398" i="18"/>
  <c r="O398" i="18"/>
  <c r="F398" i="18"/>
  <c r="D398" i="18"/>
  <c r="M397" i="18"/>
  <c r="T397" i="18"/>
  <c r="D397" i="18"/>
  <c r="M396" i="18"/>
  <c r="O396" i="18"/>
  <c r="C396" i="18"/>
  <c r="D396" i="18"/>
  <c r="M395" i="18"/>
  <c r="T395" i="18"/>
  <c r="D395" i="18"/>
  <c r="M394" i="18"/>
  <c r="O394" i="18"/>
  <c r="D394" i="18"/>
  <c r="H393" i="18"/>
  <c r="A393" i="18"/>
  <c r="G393" i="18"/>
  <c r="M391" i="18"/>
  <c r="T391" i="18"/>
  <c r="D391" i="18"/>
  <c r="M390" i="18"/>
  <c r="O390" i="18"/>
  <c r="F390" i="18"/>
  <c r="D390" i="18"/>
  <c r="M389" i="18"/>
  <c r="T389" i="18"/>
  <c r="D389" i="18"/>
  <c r="M388" i="18"/>
  <c r="T388" i="18"/>
  <c r="D388" i="18"/>
  <c r="M387" i="18"/>
  <c r="T387" i="18"/>
  <c r="D387" i="18"/>
  <c r="H386" i="18"/>
  <c r="A386" i="18"/>
  <c r="G386" i="18"/>
  <c r="M384" i="18"/>
  <c r="T384" i="18"/>
  <c r="D384" i="18"/>
  <c r="M383" i="18"/>
  <c r="T383" i="18"/>
  <c r="D383" i="18"/>
  <c r="M382" i="18"/>
  <c r="D382" i="18"/>
  <c r="M381" i="18"/>
  <c r="O381" i="18"/>
  <c r="F381" i="18"/>
  <c r="D381" i="18"/>
  <c r="H380" i="18"/>
  <c r="A380" i="18"/>
  <c r="G380" i="18"/>
  <c r="N378" i="18"/>
  <c r="M378" i="18"/>
  <c r="T378" i="18"/>
  <c r="H377" i="18"/>
  <c r="A377" i="18"/>
  <c r="G377" i="18"/>
  <c r="M376" i="18"/>
  <c r="T376" i="18"/>
  <c r="D376" i="18"/>
  <c r="M375" i="18"/>
  <c r="T375" i="18"/>
  <c r="M374" i="18"/>
  <c r="T374" i="18"/>
  <c r="N373" i="18"/>
  <c r="N374" i="18"/>
  <c r="N375" i="18"/>
  <c r="M373" i="18"/>
  <c r="T373" i="18"/>
  <c r="M372" i="18"/>
  <c r="T372" i="18"/>
  <c r="D372" i="18"/>
  <c r="H371" i="18"/>
  <c r="A371" i="18"/>
  <c r="G371" i="18"/>
  <c r="S461" i="18"/>
  <c r="O403" i="18"/>
  <c r="F403" i="18"/>
  <c r="C462" i="18"/>
  <c r="F462" i="18"/>
  <c r="H458" i="18"/>
  <c r="R458" i="18"/>
  <c r="S458" i="18"/>
  <c r="A458" i="18"/>
  <c r="C460" i="18"/>
  <c r="F460" i="18"/>
  <c r="H461" i="18"/>
  <c r="A461" i="18"/>
  <c r="G461" i="18"/>
  <c r="F459" i="18"/>
  <c r="C459" i="18"/>
  <c r="G458" i="18"/>
  <c r="C455" i="18"/>
  <c r="F455" i="18"/>
  <c r="F452" i="18"/>
  <c r="C452" i="18"/>
  <c r="F454" i="18"/>
  <c r="C454" i="18"/>
  <c r="F453" i="18"/>
  <c r="C453" i="18"/>
  <c r="A447" i="18"/>
  <c r="R447" i="18"/>
  <c r="F445" i="18"/>
  <c r="C445" i="18"/>
  <c r="H446" i="18"/>
  <c r="A446" i="18"/>
  <c r="C449" i="18"/>
  <c r="F449" i="18"/>
  <c r="F447" i="18"/>
  <c r="G447" i="18"/>
  <c r="N448" i="18"/>
  <c r="D447" i="18"/>
  <c r="H447" i="18"/>
  <c r="F446" i="18"/>
  <c r="G446" i="18"/>
  <c r="T494" i="18"/>
  <c r="O494" i="18"/>
  <c r="T520" i="18"/>
  <c r="O520" i="18"/>
  <c r="C520" i="18"/>
  <c r="Q520" i="18"/>
  <c r="P520" i="18"/>
  <c r="T480" i="18"/>
  <c r="O480" i="18"/>
  <c r="T512" i="18"/>
  <c r="O512" i="18"/>
  <c r="T523" i="18"/>
  <c r="O523" i="18"/>
  <c r="T527" i="18"/>
  <c r="O527" i="18"/>
  <c r="C527" i="18"/>
  <c r="Q527" i="18"/>
  <c r="P527" i="18"/>
  <c r="O515" i="18"/>
  <c r="T472" i="18"/>
  <c r="O472" i="18"/>
  <c r="C472" i="18"/>
  <c r="T490" i="18"/>
  <c r="O490" i="18"/>
  <c r="T506" i="18"/>
  <c r="O506" i="18"/>
  <c r="T533" i="18"/>
  <c r="O533" i="18"/>
  <c r="T539" i="18"/>
  <c r="O539" i="18"/>
  <c r="T541" i="18"/>
  <c r="O541" i="18"/>
  <c r="T468" i="18"/>
  <c r="O468" i="18"/>
  <c r="T477" i="18"/>
  <c r="O477" i="18"/>
  <c r="T499" i="18"/>
  <c r="O499" i="18"/>
  <c r="T507" i="18"/>
  <c r="O507" i="18"/>
  <c r="T518" i="18"/>
  <c r="O518" i="18"/>
  <c r="T524" i="18"/>
  <c r="O524" i="18"/>
  <c r="T534" i="18"/>
  <c r="O534" i="18"/>
  <c r="T543" i="18"/>
  <c r="O543" i="18"/>
  <c r="T502" i="18"/>
  <c r="O502" i="18"/>
  <c r="O469" i="18"/>
  <c r="O478" i="18"/>
  <c r="T484" i="18"/>
  <c r="O484" i="18"/>
  <c r="T492" i="18"/>
  <c r="O492" i="18"/>
  <c r="T500" i="18"/>
  <c r="O500" i="18"/>
  <c r="T508" i="18"/>
  <c r="O508" i="18"/>
  <c r="T535" i="18"/>
  <c r="O535" i="18"/>
  <c r="T540" i="18"/>
  <c r="O540" i="18"/>
  <c r="T526" i="18"/>
  <c r="O526" i="18"/>
  <c r="T398" i="18"/>
  <c r="T514" i="18"/>
  <c r="O514" i="18"/>
  <c r="C514" i="18"/>
  <c r="Q514" i="18"/>
  <c r="P514" i="18"/>
  <c r="T519" i="18"/>
  <c r="O519" i="18"/>
  <c r="T525" i="18"/>
  <c r="O525" i="18"/>
  <c r="T544" i="18"/>
  <c r="O544" i="18"/>
  <c r="T498" i="18"/>
  <c r="T513" i="18"/>
  <c r="T487" i="18"/>
  <c r="D373" i="18"/>
  <c r="T390" i="18"/>
  <c r="O397" i="18"/>
  <c r="F397" i="18"/>
  <c r="O420" i="18"/>
  <c r="F420" i="18"/>
  <c r="T473" i="18"/>
  <c r="T495" i="18"/>
  <c r="T491" i="18"/>
  <c r="T396" i="18"/>
  <c r="T483" i="18"/>
  <c r="T486" i="18"/>
  <c r="C505" i="18"/>
  <c r="Q505" i="18"/>
  <c r="P505" i="18"/>
  <c r="F505" i="18"/>
  <c r="C513" i="18"/>
  <c r="C493" i="18"/>
  <c r="Q493" i="18"/>
  <c r="P493" i="18"/>
  <c r="F493" i="18"/>
  <c r="C501" i="18"/>
  <c r="Q501" i="18"/>
  <c r="P501" i="18"/>
  <c r="F501" i="18"/>
  <c r="T471" i="18"/>
  <c r="T479" i="18"/>
  <c r="C487" i="18"/>
  <c r="Q487" i="18"/>
  <c r="P487" i="18"/>
  <c r="C491" i="18"/>
  <c r="Q491" i="18"/>
  <c r="P491" i="18"/>
  <c r="F491" i="18"/>
  <c r="T476" i="18"/>
  <c r="C485" i="18"/>
  <c r="Q485" i="18"/>
  <c r="P485" i="18"/>
  <c r="C498" i="18"/>
  <c r="C476" i="18"/>
  <c r="Q476" i="18"/>
  <c r="P476" i="18"/>
  <c r="F476" i="18"/>
  <c r="C483" i="18"/>
  <c r="Q483" i="18"/>
  <c r="P483" i="18"/>
  <c r="F483" i="18"/>
  <c r="C509" i="18"/>
  <c r="Q509" i="18"/>
  <c r="P509" i="18"/>
  <c r="F509" i="18"/>
  <c r="T470" i="18"/>
  <c r="C473" i="18"/>
  <c r="Q473" i="18"/>
  <c r="P473" i="18"/>
  <c r="F473" i="18"/>
  <c r="C495" i="18"/>
  <c r="Q495" i="18"/>
  <c r="P495" i="18"/>
  <c r="F495" i="18"/>
  <c r="T469" i="18"/>
  <c r="T478" i="18"/>
  <c r="T485" i="18"/>
  <c r="T493" i="18"/>
  <c r="T501" i="18"/>
  <c r="T505" i="18"/>
  <c r="T509" i="18"/>
  <c r="T515" i="18"/>
  <c r="T528" i="18"/>
  <c r="T536" i="18"/>
  <c r="T542" i="18"/>
  <c r="T381" i="18"/>
  <c r="O384" i="18"/>
  <c r="F384" i="18"/>
  <c r="O388" i="18"/>
  <c r="C388" i="18"/>
  <c r="R388" i="18"/>
  <c r="O376" i="18"/>
  <c r="T401" i="18"/>
  <c r="T418" i="18"/>
  <c r="O431" i="18"/>
  <c r="F431" i="18"/>
  <c r="O434" i="18"/>
  <c r="F434" i="18"/>
  <c r="T416" i="18"/>
  <c r="C416" i="18"/>
  <c r="H416" i="18"/>
  <c r="F416" i="18"/>
  <c r="O389" i="18"/>
  <c r="F389" i="18"/>
  <c r="O406" i="18"/>
  <c r="F406" i="18"/>
  <c r="O417" i="18"/>
  <c r="F417" i="18"/>
  <c r="O423" i="18"/>
  <c r="F423" i="18"/>
  <c r="C390" i="18"/>
  <c r="R390" i="18"/>
  <c r="S390" i="18"/>
  <c r="O373" i="18"/>
  <c r="O382" i="18"/>
  <c r="O427" i="18"/>
  <c r="O430" i="18"/>
  <c r="O432" i="18"/>
  <c r="F432" i="18"/>
  <c r="F396" i="18"/>
  <c r="G396" i="18"/>
  <c r="T382" i="18"/>
  <c r="F394" i="18"/>
  <c r="C394" i="18"/>
  <c r="F411" i="18"/>
  <c r="C411" i="18"/>
  <c r="R396" i="18"/>
  <c r="A396" i="18"/>
  <c r="H396" i="18"/>
  <c r="O375" i="18"/>
  <c r="C375" i="18"/>
  <c r="D375" i="18"/>
  <c r="F408" i="18"/>
  <c r="C408" i="18"/>
  <c r="C425" i="18"/>
  <c r="F425" i="18"/>
  <c r="O378" i="18"/>
  <c r="C378" i="18"/>
  <c r="R378" i="18"/>
  <c r="C381" i="18"/>
  <c r="G381" i="18"/>
  <c r="O387" i="18"/>
  <c r="T394" i="18"/>
  <c r="O395" i="18"/>
  <c r="T408" i="18"/>
  <c r="T411" i="18"/>
  <c r="O412" i="18"/>
  <c r="O415" i="18"/>
  <c r="T425" i="18"/>
  <c r="O426" i="18"/>
  <c r="T439" i="18"/>
  <c r="O440" i="18"/>
  <c r="O372" i="18"/>
  <c r="O374" i="18"/>
  <c r="C374" i="18"/>
  <c r="D378" i="18"/>
  <c r="O407" i="18"/>
  <c r="O424" i="18"/>
  <c r="O435" i="18"/>
  <c r="O438" i="18"/>
  <c r="C398" i="18"/>
  <c r="G398" i="18"/>
  <c r="C401" i="18"/>
  <c r="C418" i="18"/>
  <c r="G418" i="18"/>
  <c r="O441" i="18"/>
  <c r="O383" i="18"/>
  <c r="O391" i="18"/>
  <c r="O402" i="18"/>
  <c r="O419" i="18"/>
  <c r="O433" i="18"/>
  <c r="D374" i="18"/>
  <c r="O439" i="18"/>
  <c r="J1" i="92"/>
  <c r="R498" i="18"/>
  <c r="Q498" i="18"/>
  <c r="P498" i="18"/>
  <c r="F498" i="18"/>
  <c r="G498" i="18"/>
  <c r="H472" i="18"/>
  <c r="Q472" i="18"/>
  <c r="P472" i="18"/>
  <c r="F472" i="18"/>
  <c r="G472" i="18"/>
  <c r="R513" i="18"/>
  <c r="Q513" i="18"/>
  <c r="P513" i="18"/>
  <c r="F513" i="18"/>
  <c r="G513" i="18"/>
  <c r="F520" i="18"/>
  <c r="G520" i="18"/>
  <c r="C525" i="18"/>
  <c r="R525" i="18"/>
  <c r="C523" i="18"/>
  <c r="C468" i="18"/>
  <c r="H468" i="18"/>
  <c r="C494" i="18"/>
  <c r="C403" i="18"/>
  <c r="G403" i="18"/>
  <c r="C397" i="18"/>
  <c r="R397" i="18"/>
  <c r="S397" i="18"/>
  <c r="C420" i="18"/>
  <c r="G420" i="18"/>
  <c r="C533" i="18"/>
  <c r="C502" i="18"/>
  <c r="C506" i="18"/>
  <c r="C469" i="18"/>
  <c r="G452" i="18"/>
  <c r="C515" i="18"/>
  <c r="R515" i="18"/>
  <c r="C431" i="18"/>
  <c r="H431" i="18"/>
  <c r="G462" i="18"/>
  <c r="G460" i="18"/>
  <c r="G454" i="18"/>
  <c r="R462" i="18"/>
  <c r="S462" i="18"/>
  <c r="A462" i="18"/>
  <c r="H462" i="18"/>
  <c r="G445" i="18"/>
  <c r="A460" i="18"/>
  <c r="H460" i="18"/>
  <c r="R460" i="18"/>
  <c r="S460" i="18"/>
  <c r="A459" i="18"/>
  <c r="H459" i="18"/>
  <c r="R459" i="18"/>
  <c r="S459" i="18"/>
  <c r="A416" i="18"/>
  <c r="G459" i="18"/>
  <c r="A453" i="18"/>
  <c r="H453" i="18"/>
  <c r="R453" i="18"/>
  <c r="S453" i="18"/>
  <c r="G453" i="18"/>
  <c r="H454" i="18"/>
  <c r="A454" i="18"/>
  <c r="R454" i="18"/>
  <c r="S454" i="18"/>
  <c r="A452" i="18"/>
  <c r="H452" i="18"/>
  <c r="R452" i="18"/>
  <c r="S452" i="18"/>
  <c r="G455" i="18"/>
  <c r="A455" i="18"/>
  <c r="H455" i="18"/>
  <c r="R455" i="18"/>
  <c r="S455" i="18"/>
  <c r="A445" i="18"/>
  <c r="H445" i="18"/>
  <c r="R445" i="18"/>
  <c r="S445" i="18"/>
  <c r="D448" i="18"/>
  <c r="O448" i="18"/>
  <c r="C448" i="18"/>
  <c r="S446" i="18"/>
  <c r="S447" i="18"/>
  <c r="G449" i="18"/>
  <c r="A449" i="18"/>
  <c r="H449" i="18"/>
  <c r="R449" i="18"/>
  <c r="S449" i="18"/>
  <c r="F514" i="18"/>
  <c r="G514" i="18"/>
  <c r="C540" i="18"/>
  <c r="C432" i="18"/>
  <c r="G432" i="18"/>
  <c r="C417" i="18"/>
  <c r="R417" i="18"/>
  <c r="S417" i="18"/>
  <c r="C406" i="18"/>
  <c r="R406" i="18"/>
  <c r="S406" i="18"/>
  <c r="F375" i="18"/>
  <c r="G375" i="18"/>
  <c r="H388" i="18"/>
  <c r="A388" i="18"/>
  <c r="F388" i="18"/>
  <c r="G388" i="18"/>
  <c r="C478" i="18"/>
  <c r="Q478" i="18"/>
  <c r="P478" i="18"/>
  <c r="F478" i="18"/>
  <c r="C389" i="18"/>
  <c r="G389" i="18"/>
  <c r="S396" i="18"/>
  <c r="G406" i="18"/>
  <c r="G505" i="18"/>
  <c r="G501" i="18"/>
  <c r="A472" i="18"/>
  <c r="C499" i="18"/>
  <c r="C507" i="18"/>
  <c r="C526" i="18"/>
  <c r="C534" i="18"/>
  <c r="C519" i="18"/>
  <c r="C524" i="18"/>
  <c r="G476" i="18"/>
  <c r="C490" i="18"/>
  <c r="G425" i="18"/>
  <c r="C541" i="18"/>
  <c r="R416" i="18"/>
  <c r="S416" i="18"/>
  <c r="C384" i="18"/>
  <c r="G495" i="18"/>
  <c r="G493" i="18"/>
  <c r="R472" i="18"/>
  <c r="C477" i="18"/>
  <c r="Q477" i="18"/>
  <c r="P477" i="18"/>
  <c r="F477" i="18"/>
  <c r="G509" i="18"/>
  <c r="A527" i="18"/>
  <c r="H527" i="18"/>
  <c r="C484" i="18"/>
  <c r="Q484" i="18"/>
  <c r="P484" i="18"/>
  <c r="G483" i="18"/>
  <c r="R505" i="18"/>
  <c r="S505" i="18"/>
  <c r="H505" i="18"/>
  <c r="A505" i="18"/>
  <c r="C492" i="18"/>
  <c r="Q492" i="18"/>
  <c r="P492" i="18"/>
  <c r="F492" i="18"/>
  <c r="C542" i="18"/>
  <c r="Q542" i="18"/>
  <c r="P542" i="18"/>
  <c r="F542" i="18"/>
  <c r="A520" i="18"/>
  <c r="H520" i="18"/>
  <c r="C535" i="18"/>
  <c r="Q535" i="18"/>
  <c r="P535" i="18"/>
  <c r="F535" i="18"/>
  <c r="C480" i="18"/>
  <c r="Q480" i="18"/>
  <c r="P480" i="18"/>
  <c r="F480" i="18"/>
  <c r="H476" i="18"/>
  <c r="A476" i="18"/>
  <c r="C486" i="18"/>
  <c r="Q486" i="18"/>
  <c r="P486" i="18"/>
  <c r="A483" i="18"/>
  <c r="R483" i="18"/>
  <c r="S483" i="18"/>
  <c r="H483" i="18"/>
  <c r="C479" i="18"/>
  <c r="Q479" i="18"/>
  <c r="P479" i="18"/>
  <c r="F479" i="18"/>
  <c r="H485" i="18"/>
  <c r="R485" i="18"/>
  <c r="A485" i="18"/>
  <c r="C471" i="18"/>
  <c r="Q471" i="18"/>
  <c r="P471" i="18"/>
  <c r="F471" i="18"/>
  <c r="C518" i="18"/>
  <c r="Q518" i="18"/>
  <c r="P518" i="18"/>
  <c r="F518" i="18"/>
  <c r="G518" i="18"/>
  <c r="A514" i="18"/>
  <c r="H514" i="18"/>
  <c r="H473" i="18"/>
  <c r="A473" i="18"/>
  <c r="R473" i="18"/>
  <c r="S473" i="18"/>
  <c r="A491" i="18"/>
  <c r="R491" i="18"/>
  <c r="S491" i="18"/>
  <c r="H491" i="18"/>
  <c r="C528" i="18"/>
  <c r="Q528" i="18"/>
  <c r="P528" i="18"/>
  <c r="R520" i="18"/>
  <c r="C512" i="18"/>
  <c r="Q512" i="18"/>
  <c r="P512" i="18"/>
  <c r="F512" i="18"/>
  <c r="R514" i="18"/>
  <c r="G473" i="18"/>
  <c r="G491" i="18"/>
  <c r="C536" i="18"/>
  <c r="Q536" i="18"/>
  <c r="P536" i="18"/>
  <c r="F536" i="18"/>
  <c r="R527" i="18"/>
  <c r="C508" i="18"/>
  <c r="Q508" i="18"/>
  <c r="P508" i="18"/>
  <c r="F508" i="18"/>
  <c r="C470" i="18"/>
  <c r="Q470" i="18"/>
  <c r="P470" i="18"/>
  <c r="F470" i="18"/>
  <c r="R509" i="18"/>
  <c r="S509" i="18"/>
  <c r="H509" i="18"/>
  <c r="A509" i="18"/>
  <c r="R476" i="18"/>
  <c r="S476" i="18"/>
  <c r="A487" i="18"/>
  <c r="R487" i="18"/>
  <c r="H487" i="18"/>
  <c r="R493" i="18"/>
  <c r="S493" i="18"/>
  <c r="H493" i="18"/>
  <c r="A493" i="18"/>
  <c r="C544" i="18"/>
  <c r="Q544" i="18"/>
  <c r="P544" i="18"/>
  <c r="F544" i="18"/>
  <c r="C539" i="18"/>
  <c r="Q539" i="18"/>
  <c r="P539" i="18"/>
  <c r="F539" i="18"/>
  <c r="C500" i="18"/>
  <c r="Q500" i="18"/>
  <c r="P500" i="18"/>
  <c r="F500" i="18"/>
  <c r="C543" i="18"/>
  <c r="Q543" i="18"/>
  <c r="P543" i="18"/>
  <c r="F543" i="18"/>
  <c r="A495" i="18"/>
  <c r="R495" i="18"/>
  <c r="S495" i="18"/>
  <c r="H495" i="18"/>
  <c r="H498" i="18"/>
  <c r="A498" i="18"/>
  <c r="R501" i="18"/>
  <c r="S501" i="18"/>
  <c r="H501" i="18"/>
  <c r="A501" i="18"/>
  <c r="H513" i="18"/>
  <c r="A513" i="18"/>
  <c r="C434" i="18"/>
  <c r="H434" i="18"/>
  <c r="F376" i="18"/>
  <c r="C376" i="18"/>
  <c r="G408" i="18"/>
  <c r="G416" i="18"/>
  <c r="G394" i="18"/>
  <c r="C427" i="18"/>
  <c r="F427" i="18"/>
  <c r="G390" i="18"/>
  <c r="F382" i="18"/>
  <c r="C382" i="18"/>
  <c r="C430" i="18"/>
  <c r="F430" i="18"/>
  <c r="C423" i="18"/>
  <c r="A423" i="18"/>
  <c r="F374" i="18"/>
  <c r="G374" i="18"/>
  <c r="F373" i="18"/>
  <c r="C373" i="18"/>
  <c r="A390" i="18"/>
  <c r="H390" i="18"/>
  <c r="F387" i="18"/>
  <c r="C387" i="18"/>
  <c r="C419" i="18"/>
  <c r="F419" i="18"/>
  <c r="F424" i="18"/>
  <c r="C424" i="18"/>
  <c r="F426" i="18"/>
  <c r="C426" i="18"/>
  <c r="F435" i="18"/>
  <c r="C435" i="18"/>
  <c r="R411" i="18"/>
  <c r="S411" i="18"/>
  <c r="A411" i="18"/>
  <c r="H411" i="18"/>
  <c r="C433" i="18"/>
  <c r="F433" i="18"/>
  <c r="F407" i="18"/>
  <c r="C407" i="18"/>
  <c r="H381" i="18"/>
  <c r="R381" i="18"/>
  <c r="S381" i="18"/>
  <c r="A381" i="18"/>
  <c r="C439" i="18"/>
  <c r="F439" i="18"/>
  <c r="C391" i="18"/>
  <c r="F391" i="18"/>
  <c r="H378" i="18"/>
  <c r="A378" i="18"/>
  <c r="R408" i="18"/>
  <c r="S408" i="18"/>
  <c r="A408" i="18"/>
  <c r="H408" i="18"/>
  <c r="A375" i="18"/>
  <c r="H375" i="18"/>
  <c r="R375" i="18"/>
  <c r="G411" i="18"/>
  <c r="R394" i="18"/>
  <c r="S394" i="18"/>
  <c r="A394" i="18"/>
  <c r="H394" i="18"/>
  <c r="H401" i="18"/>
  <c r="R401" i="18"/>
  <c r="S401" i="18"/>
  <c r="A401" i="18"/>
  <c r="H397" i="18"/>
  <c r="C402" i="18"/>
  <c r="F402" i="18"/>
  <c r="R374" i="18"/>
  <c r="H374" i="18"/>
  <c r="A374" i="18"/>
  <c r="F395" i="18"/>
  <c r="C395" i="18"/>
  <c r="G401" i="18"/>
  <c r="A398" i="18"/>
  <c r="H398" i="18"/>
  <c r="F372" i="18"/>
  <c r="C372" i="18"/>
  <c r="F415" i="18"/>
  <c r="C415" i="18"/>
  <c r="R398" i="18"/>
  <c r="S398" i="18"/>
  <c r="F378" i="18"/>
  <c r="G378" i="18"/>
  <c r="R418" i="18"/>
  <c r="S418" i="18"/>
  <c r="A418" i="18"/>
  <c r="H418" i="18"/>
  <c r="C383" i="18"/>
  <c r="F383" i="18"/>
  <c r="C441" i="18"/>
  <c r="F441" i="18"/>
  <c r="F440" i="18"/>
  <c r="C440" i="18"/>
  <c r="F438" i="18"/>
  <c r="C438" i="18"/>
  <c r="F412" i="18"/>
  <c r="C412" i="18"/>
  <c r="R425" i="18"/>
  <c r="S425" i="18"/>
  <c r="A425" i="18"/>
  <c r="H425" i="18"/>
  <c r="H403" i="18"/>
  <c r="G397" i="18"/>
  <c r="A397" i="18"/>
  <c r="A406" i="18"/>
  <c r="A403" i="18"/>
  <c r="H417" i="18"/>
  <c r="S498" i="18"/>
  <c r="S513" i="18"/>
  <c r="Q540" i="18"/>
  <c r="P540" i="18"/>
  <c r="F540" i="18"/>
  <c r="G540" i="18"/>
  <c r="R533" i="18"/>
  <c r="Q533" i="18"/>
  <c r="P533" i="18"/>
  <c r="F533" i="18"/>
  <c r="G533" i="18"/>
  <c r="H523" i="18"/>
  <c r="Q523" i="18"/>
  <c r="P523" i="18"/>
  <c r="F523" i="18"/>
  <c r="G523" i="18"/>
  <c r="H541" i="18"/>
  <c r="Q541" i="18"/>
  <c r="P541" i="18"/>
  <c r="F541" i="18"/>
  <c r="G541" i="18"/>
  <c r="R526" i="18"/>
  <c r="Q526" i="18"/>
  <c r="P526" i="18"/>
  <c r="F526" i="18"/>
  <c r="G526" i="18"/>
  <c r="A525" i="18"/>
  <c r="Q525" i="18"/>
  <c r="P525" i="18"/>
  <c r="F525" i="18"/>
  <c r="S525" i="18"/>
  <c r="R523" i="18"/>
  <c r="A515" i="18"/>
  <c r="Q515" i="18"/>
  <c r="P515" i="18"/>
  <c r="F515" i="18"/>
  <c r="G515" i="18"/>
  <c r="A523" i="18"/>
  <c r="R494" i="18"/>
  <c r="Q494" i="18"/>
  <c r="P494" i="18"/>
  <c r="F494" i="18"/>
  <c r="G494" i="18"/>
  <c r="R519" i="18"/>
  <c r="Q519" i="18"/>
  <c r="P519" i="18"/>
  <c r="F519" i="18"/>
  <c r="R490" i="18"/>
  <c r="Q490" i="18"/>
  <c r="P490" i="18"/>
  <c r="F490" i="18"/>
  <c r="G490" i="18"/>
  <c r="Q507" i="18"/>
  <c r="P507" i="18"/>
  <c r="F507" i="18"/>
  <c r="G507" i="18"/>
  <c r="H469" i="18"/>
  <c r="Q469" i="18"/>
  <c r="P469" i="18"/>
  <c r="F469" i="18"/>
  <c r="G469" i="18"/>
  <c r="A468" i="18"/>
  <c r="Q468" i="18"/>
  <c r="P468" i="18"/>
  <c r="F468" i="18"/>
  <c r="G468" i="18"/>
  <c r="A499" i="18"/>
  <c r="Q499" i="18"/>
  <c r="P499" i="18"/>
  <c r="F499" i="18"/>
  <c r="G499" i="18"/>
  <c r="A506" i="18"/>
  <c r="Q506" i="18"/>
  <c r="P506" i="18"/>
  <c r="F506" i="18"/>
  <c r="G506" i="18"/>
  <c r="A524" i="18"/>
  <c r="Q524" i="18"/>
  <c r="P524" i="18"/>
  <c r="F524" i="18"/>
  <c r="G524" i="18"/>
  <c r="H502" i="18"/>
  <c r="Q502" i="18"/>
  <c r="P502" i="18"/>
  <c r="F502" i="18"/>
  <c r="G502" i="18"/>
  <c r="R534" i="18"/>
  <c r="Q534" i="18"/>
  <c r="P534" i="18"/>
  <c r="F534" i="18"/>
  <c r="G534" i="18"/>
  <c r="R468" i="18"/>
  <c r="G478" i="18"/>
  <c r="F484" i="18"/>
  <c r="G484" i="18"/>
  <c r="H525" i="18"/>
  <c r="S520" i="18"/>
  <c r="F485" i="18"/>
  <c r="G485" i="18"/>
  <c r="R403" i="18"/>
  <c r="S403" i="18"/>
  <c r="R420" i="18"/>
  <c r="S420" i="18"/>
  <c r="H420" i="18"/>
  <c r="H515" i="18"/>
  <c r="A420" i="18"/>
  <c r="A533" i="18"/>
  <c r="A494" i="18"/>
  <c r="S514" i="18"/>
  <c r="H494" i="18"/>
  <c r="R502" i="18"/>
  <c r="H506" i="18"/>
  <c r="A502" i="18"/>
  <c r="A540" i="18"/>
  <c r="H533" i="18"/>
  <c r="R506" i="18"/>
  <c r="R469" i="18"/>
  <c r="R389" i="18"/>
  <c r="S389" i="18"/>
  <c r="A469" i="18"/>
  <c r="R432" i="18"/>
  <c r="S432" i="18"/>
  <c r="H507" i="18"/>
  <c r="A431" i="18"/>
  <c r="R431" i="18"/>
  <c r="S431" i="18"/>
  <c r="G431" i="18"/>
  <c r="H406" i="18"/>
  <c r="A389" i="18"/>
  <c r="G384" i="18"/>
  <c r="S375" i="18"/>
  <c r="A432" i="18"/>
  <c r="R384" i="18"/>
  <c r="S384" i="18"/>
  <c r="H389" i="18"/>
  <c r="H432" i="18"/>
  <c r="H448" i="18"/>
  <c r="A448" i="18"/>
  <c r="R448" i="18"/>
  <c r="F448" i="18"/>
  <c r="G448" i="18"/>
  <c r="A417" i="18"/>
  <c r="G417" i="18"/>
  <c r="G423" i="18"/>
  <c r="A384" i="18"/>
  <c r="H384" i="18"/>
  <c r="H423" i="18"/>
  <c r="H499" i="18"/>
  <c r="R499" i="18"/>
  <c r="G434" i="18"/>
  <c r="R434" i="18"/>
  <c r="S434" i="18"/>
  <c r="S374" i="18"/>
  <c r="S388" i="18"/>
  <c r="R423" i="18"/>
  <c r="S423" i="18"/>
  <c r="H540" i="18"/>
  <c r="R540" i="18"/>
  <c r="A534" i="18"/>
  <c r="A434" i="18"/>
  <c r="A478" i="18"/>
  <c r="H478" i="18"/>
  <c r="R478" i="18"/>
  <c r="S478" i="18"/>
  <c r="G477" i="18"/>
  <c r="A541" i="18"/>
  <c r="G535" i="18"/>
  <c r="H534" i="18"/>
  <c r="A507" i="18"/>
  <c r="A490" i="18"/>
  <c r="S472" i="18"/>
  <c r="H490" i="18"/>
  <c r="G500" i="18"/>
  <c r="R507" i="18"/>
  <c r="A519" i="18"/>
  <c r="H519" i="18"/>
  <c r="A526" i="18"/>
  <c r="H526" i="18"/>
  <c r="R524" i="18"/>
  <c r="H524" i="18"/>
  <c r="G543" i="18"/>
  <c r="G376" i="18"/>
  <c r="R541" i="18"/>
  <c r="G430" i="18"/>
  <c r="G424" i="18"/>
  <c r="H477" i="18"/>
  <c r="R477" i="18"/>
  <c r="S477" i="18"/>
  <c r="A477" i="18"/>
  <c r="G383" i="18"/>
  <c r="G419" i="18"/>
  <c r="A544" i="18"/>
  <c r="H544" i="18"/>
  <c r="R544" i="18"/>
  <c r="S544" i="18"/>
  <c r="H543" i="18"/>
  <c r="A543" i="18"/>
  <c r="R543" i="18"/>
  <c r="S543" i="18"/>
  <c r="G536" i="18"/>
  <c r="A518" i="18"/>
  <c r="H518" i="18"/>
  <c r="R518" i="18"/>
  <c r="S518" i="18"/>
  <c r="H486" i="18"/>
  <c r="A486" i="18"/>
  <c r="R486" i="18"/>
  <c r="G542" i="18"/>
  <c r="H536" i="18"/>
  <c r="A536" i="18"/>
  <c r="R536" i="18"/>
  <c r="S536" i="18"/>
  <c r="A542" i="18"/>
  <c r="H542" i="18"/>
  <c r="R542" i="18"/>
  <c r="S542" i="18"/>
  <c r="G512" i="18"/>
  <c r="G480" i="18"/>
  <c r="G492" i="18"/>
  <c r="G508" i="18"/>
  <c r="A512" i="18"/>
  <c r="H512" i="18"/>
  <c r="R512" i="18"/>
  <c r="S512" i="18"/>
  <c r="G471" i="18"/>
  <c r="A480" i="18"/>
  <c r="H480" i="18"/>
  <c r="R480" i="18"/>
  <c r="S480" i="18"/>
  <c r="A492" i="18"/>
  <c r="H492" i="18"/>
  <c r="R492" i="18"/>
  <c r="S492" i="18"/>
  <c r="A500" i="18"/>
  <c r="H500" i="18"/>
  <c r="R500" i="18"/>
  <c r="S500" i="18"/>
  <c r="A508" i="18"/>
  <c r="H508" i="18"/>
  <c r="R508" i="18"/>
  <c r="S508" i="18"/>
  <c r="A471" i="18"/>
  <c r="H471" i="18"/>
  <c r="R471" i="18"/>
  <c r="S471" i="18"/>
  <c r="A479" i="18"/>
  <c r="H479" i="18"/>
  <c r="R479" i="18"/>
  <c r="S479" i="18"/>
  <c r="G539" i="18"/>
  <c r="A528" i="18"/>
  <c r="H528" i="18"/>
  <c r="R528" i="18"/>
  <c r="G479" i="18"/>
  <c r="A535" i="18"/>
  <c r="H535" i="18"/>
  <c r="R535" i="18"/>
  <c r="S535" i="18"/>
  <c r="A484" i="18"/>
  <c r="H484" i="18"/>
  <c r="R484" i="18"/>
  <c r="A539" i="18"/>
  <c r="H539" i="18"/>
  <c r="R539" i="18"/>
  <c r="S539" i="18"/>
  <c r="A470" i="18"/>
  <c r="H470" i="18"/>
  <c r="R470" i="18"/>
  <c r="S470" i="18"/>
  <c r="G544" i="18"/>
  <c r="G470" i="18"/>
  <c r="G391" i="18"/>
  <c r="G373" i="18"/>
  <c r="G427" i="18"/>
  <c r="A376" i="18"/>
  <c r="R376" i="18"/>
  <c r="S376" i="18"/>
  <c r="H376" i="18"/>
  <c r="G439" i="18"/>
  <c r="G382" i="18"/>
  <c r="A373" i="18"/>
  <c r="H373" i="18"/>
  <c r="R373" i="18"/>
  <c r="S373" i="18"/>
  <c r="G412" i="18"/>
  <c r="G438" i="18"/>
  <c r="R427" i="18"/>
  <c r="S427" i="18"/>
  <c r="A427" i="18"/>
  <c r="H427" i="18"/>
  <c r="A382" i="18"/>
  <c r="H382" i="18"/>
  <c r="R382" i="18"/>
  <c r="S382" i="18"/>
  <c r="G440" i="18"/>
  <c r="G402" i="18"/>
  <c r="R430" i="18"/>
  <c r="S430" i="18"/>
  <c r="A430" i="18"/>
  <c r="H430" i="18"/>
  <c r="H412" i="18"/>
  <c r="A412" i="18"/>
  <c r="R412" i="18"/>
  <c r="S412" i="18"/>
  <c r="A438" i="18"/>
  <c r="H438" i="18"/>
  <c r="R438" i="18"/>
  <c r="S438" i="18"/>
  <c r="A407" i="18"/>
  <c r="H407" i="18"/>
  <c r="R407" i="18"/>
  <c r="S407" i="18"/>
  <c r="G435" i="18"/>
  <c r="A419" i="18"/>
  <c r="H419" i="18"/>
  <c r="R419" i="18"/>
  <c r="S419" i="18"/>
  <c r="H415" i="18"/>
  <c r="A415" i="18"/>
  <c r="R415" i="18"/>
  <c r="S415" i="18"/>
  <c r="G407" i="18"/>
  <c r="H426" i="18"/>
  <c r="A426" i="18"/>
  <c r="R426" i="18"/>
  <c r="S426" i="18"/>
  <c r="H387" i="18"/>
  <c r="A387" i="18"/>
  <c r="R387" i="18"/>
  <c r="S387" i="18"/>
  <c r="A383" i="18"/>
  <c r="H383" i="18"/>
  <c r="R383" i="18"/>
  <c r="S383" i="18"/>
  <c r="H440" i="18"/>
  <c r="A440" i="18"/>
  <c r="R440" i="18"/>
  <c r="S440" i="18"/>
  <c r="G415" i="18"/>
  <c r="A391" i="18"/>
  <c r="H391" i="18"/>
  <c r="R391" i="18"/>
  <c r="S391" i="18"/>
  <c r="G433" i="18"/>
  <c r="G426" i="18"/>
  <c r="G387" i="18"/>
  <c r="S378" i="18"/>
  <c r="A435" i="18"/>
  <c r="H435" i="18"/>
  <c r="R435" i="18"/>
  <c r="S435" i="18"/>
  <c r="A372" i="18"/>
  <c r="H372" i="18"/>
  <c r="R372" i="18"/>
  <c r="S372" i="18"/>
  <c r="H395" i="18"/>
  <c r="A395" i="18"/>
  <c r="R395" i="18"/>
  <c r="S395" i="18"/>
  <c r="A433" i="18"/>
  <c r="H433" i="18"/>
  <c r="R433" i="18"/>
  <c r="S433" i="18"/>
  <c r="G441" i="18"/>
  <c r="G372" i="18"/>
  <c r="G395" i="18"/>
  <c r="A402" i="18"/>
  <c r="H402" i="18"/>
  <c r="R402" i="18"/>
  <c r="S402" i="18"/>
  <c r="A439" i="18"/>
  <c r="H439" i="18"/>
  <c r="R439" i="18"/>
  <c r="S439" i="18"/>
  <c r="A441" i="18"/>
  <c r="H441" i="18"/>
  <c r="R441" i="18"/>
  <c r="S441" i="18"/>
  <c r="A424" i="18"/>
  <c r="H424" i="18"/>
  <c r="R424" i="18"/>
  <c r="S424" i="18"/>
  <c r="S499" i="18"/>
  <c r="S519" i="18"/>
  <c r="S540" i="18"/>
  <c r="S524" i="18"/>
  <c r="S484" i="18"/>
  <c r="S468" i="18"/>
  <c r="G525" i="18"/>
  <c r="S507" i="18"/>
  <c r="S523" i="18"/>
  <c r="S541" i="18"/>
  <c r="S502" i="18"/>
  <c r="S526" i="18"/>
  <c r="S490" i="18"/>
  <c r="S469" i="18"/>
  <c r="S515" i="18"/>
  <c r="S506" i="18"/>
  <c r="S533" i="18"/>
  <c r="S494" i="18"/>
  <c r="S534" i="18"/>
  <c r="G519" i="18"/>
  <c r="F528" i="18"/>
  <c r="G528" i="18"/>
  <c r="F527" i="18"/>
  <c r="F487" i="18"/>
  <c r="F486" i="18"/>
  <c r="G486" i="18"/>
  <c r="S485" i="18"/>
  <c r="S448" i="18"/>
  <c r="S528" i="18"/>
  <c r="G527" i="18"/>
  <c r="S527" i="18"/>
  <c r="S486" i="18"/>
  <c r="G487" i="18"/>
  <c r="S487" i="18"/>
  <c r="B89" i="350"/>
  <c r="H365" i="18"/>
  <c r="A365" i="18"/>
  <c r="G365" i="18"/>
  <c r="H364" i="18"/>
  <c r="A364" i="18"/>
  <c r="G364" i="18"/>
  <c r="H363" i="18"/>
  <c r="A363" i="18"/>
  <c r="G363" i="18"/>
  <c r="H366" i="18"/>
  <c r="A366" i="18"/>
  <c r="G366" i="18"/>
  <c r="B362" i="18"/>
  <c r="H359" i="18"/>
  <c r="A359" i="18"/>
  <c r="G359" i="18"/>
  <c r="H357" i="18"/>
  <c r="A357" i="18"/>
  <c r="G357" i="18"/>
  <c r="H358" i="18"/>
  <c r="A358" i="18"/>
  <c r="G358" i="18"/>
  <c r="H356" i="18"/>
  <c r="A356" i="18"/>
  <c r="G356" i="18"/>
  <c r="B354" i="18"/>
  <c r="N31" i="350"/>
  <c r="N27" i="350"/>
  <c r="S67" i="350"/>
  <c r="S25" i="350"/>
  <c r="GZ7" i="350"/>
  <c r="GY7" i="350"/>
  <c r="GX7" i="350"/>
  <c r="GR7" i="350"/>
  <c r="GL7" i="350"/>
  <c r="GF7" i="350"/>
  <c r="FZ7" i="350"/>
  <c r="FT7" i="350"/>
  <c r="FN7" i="350"/>
  <c r="FH7" i="350"/>
  <c r="FB7" i="350"/>
  <c r="EV7" i="350"/>
  <c r="EP7" i="350"/>
  <c r="EJ7" i="350"/>
  <c r="ED7" i="350"/>
  <c r="DX7" i="350"/>
  <c r="DR7" i="350"/>
  <c r="DL7" i="350"/>
  <c r="CZ7" i="350"/>
  <c r="CU7" i="350"/>
  <c r="CT7" i="350"/>
  <c r="A7" i="350"/>
  <c r="GZ6" i="350"/>
  <c r="GY6" i="350"/>
  <c r="GX6" i="350"/>
  <c r="GR6" i="350"/>
  <c r="GL6" i="350"/>
  <c r="GF6" i="350"/>
  <c r="FZ6" i="350"/>
  <c r="FT6" i="350"/>
  <c r="FN6" i="350"/>
  <c r="FH6" i="350"/>
  <c r="FB6" i="350"/>
  <c r="EV6" i="350"/>
  <c r="EP6" i="350"/>
  <c r="EJ6" i="350"/>
  <c r="ED6" i="350"/>
  <c r="DX6" i="350"/>
  <c r="DR6" i="350"/>
  <c r="DL6" i="350"/>
  <c r="CZ6" i="350"/>
  <c r="CU6" i="350"/>
  <c r="CT6" i="350"/>
  <c r="A6" i="350"/>
  <c r="S75" i="350"/>
  <c r="B92" i="350"/>
  <c r="H360" i="18"/>
  <c r="A360" i="18"/>
  <c r="G360" i="18"/>
  <c r="H159" i="18"/>
  <c r="A159" i="18"/>
  <c r="G159" i="18"/>
  <c r="H355" i="18"/>
  <c r="A355" i="18"/>
  <c r="G355" i="18"/>
  <c r="H140" i="18"/>
  <c r="A140" i="18"/>
  <c r="G140" i="18"/>
  <c r="H361" i="18"/>
  <c r="A361" i="18"/>
  <c r="G361" i="18"/>
  <c r="H125" i="18"/>
  <c r="A125" i="18"/>
  <c r="G125" i="18"/>
  <c r="S24" i="350"/>
  <c r="H141" i="18"/>
  <c r="A141" i="18"/>
  <c r="G141" i="18"/>
  <c r="I74" i="350"/>
  <c r="I78" i="350"/>
  <c r="B29" i="350"/>
  <c r="S29" i="350"/>
  <c r="S28" i="350"/>
  <c r="B33" i="350"/>
  <c r="S33" i="350"/>
  <c r="S32" i="350"/>
  <c r="B37" i="350"/>
  <c r="S37" i="350"/>
  <c r="S36" i="350"/>
  <c r="B41" i="350"/>
  <c r="S41" i="350"/>
  <c r="S40" i="350"/>
  <c r="B50" i="350"/>
  <c r="B46" i="350"/>
  <c r="S50" i="350"/>
  <c r="S49" i="350"/>
  <c r="S46" i="350"/>
  <c r="S45" i="350"/>
  <c r="B54" i="350"/>
  <c r="K92" i="350"/>
  <c r="S54" i="350"/>
  <c r="S53" i="350"/>
  <c r="B58" i="350"/>
  <c r="S58" i="350"/>
  <c r="S57" i="350"/>
  <c r="B62" i="350"/>
  <c r="B95" i="350"/>
  <c r="S93" i="350"/>
  <c r="S90" i="350"/>
  <c r="S62" i="350"/>
  <c r="S61" i="350"/>
  <c r="S96" i="350"/>
  <c r="B98" i="350"/>
  <c r="B71" i="350"/>
  <c r="B101" i="350"/>
  <c r="S102" i="350"/>
  <c r="S99" i="350"/>
  <c r="S71" i="350"/>
  <c r="S70" i="350"/>
  <c r="B79" i="350"/>
  <c r="S74" i="350"/>
  <c r="G659" i="374"/>
  <c r="A658" i="374"/>
  <c r="F659" i="374"/>
  <c r="B656" i="374"/>
  <c r="B653" i="374"/>
  <c r="B650" i="374"/>
  <c r="B647" i="374"/>
  <c r="B643" i="374"/>
  <c r="F634" i="374"/>
  <c r="E634" i="374"/>
  <c r="F633" i="374"/>
  <c r="E633" i="374"/>
  <c r="F632" i="374"/>
  <c r="E632" i="374"/>
  <c r="F631" i="374"/>
  <c r="E631" i="374"/>
  <c r="E630" i="374"/>
  <c r="F629" i="374"/>
  <c r="E629" i="374"/>
  <c r="B562" i="374"/>
  <c r="AE553" i="374"/>
  <c r="AC553" i="374"/>
  <c r="B553" i="374"/>
  <c r="AD553" i="374"/>
  <c r="AB553" i="374"/>
  <c r="W553" i="374"/>
  <c r="V553" i="374"/>
  <c r="H553" i="374"/>
  <c r="AE552" i="374"/>
  <c r="AD552" i="374"/>
  <c r="AC552" i="374"/>
  <c r="AB552" i="374"/>
  <c r="W552" i="374"/>
  <c r="V552" i="374"/>
  <c r="H552" i="374"/>
  <c r="AE551" i="374"/>
  <c r="AD551" i="374"/>
  <c r="AB551" i="374"/>
  <c r="W551" i="374"/>
  <c r="V551" i="374"/>
  <c r="H551" i="374"/>
  <c r="AE550" i="374"/>
  <c r="AD550" i="374"/>
  <c r="AC550" i="374"/>
  <c r="B550" i="374"/>
  <c r="AB550" i="374"/>
  <c r="W550" i="374"/>
  <c r="V550" i="374"/>
  <c r="H550" i="374"/>
  <c r="AE549" i="374"/>
  <c r="AD549" i="374"/>
  <c r="AB549" i="374"/>
  <c r="W549" i="374"/>
  <c r="V549" i="374"/>
  <c r="H549" i="374"/>
  <c r="H545" i="374"/>
  <c r="H537" i="374"/>
  <c r="A537" i="374"/>
  <c r="G537" i="374"/>
  <c r="H536" i="374"/>
  <c r="A536" i="374"/>
  <c r="G536" i="374"/>
  <c r="H535" i="374"/>
  <c r="A535" i="374"/>
  <c r="G535" i="374"/>
  <c r="H534" i="374"/>
  <c r="A534" i="374"/>
  <c r="G534" i="374"/>
  <c r="H533" i="374"/>
  <c r="A533" i="374"/>
  <c r="G533" i="374"/>
  <c r="H532" i="374"/>
  <c r="A532" i="374"/>
  <c r="J531" i="374"/>
  <c r="H531" i="374"/>
  <c r="A531" i="374"/>
  <c r="F531" i="374"/>
  <c r="J530" i="374"/>
  <c r="H530" i="374"/>
  <c r="A530" i="374"/>
  <c r="F530" i="374"/>
  <c r="J529" i="374"/>
  <c r="H529" i="374"/>
  <c r="A529" i="374"/>
  <c r="F529" i="374"/>
  <c r="J528" i="374"/>
  <c r="H528" i="374"/>
  <c r="F528" i="374"/>
  <c r="A528" i="374"/>
  <c r="J527" i="374"/>
  <c r="H527" i="374"/>
  <c r="A527" i="374"/>
  <c r="F527" i="374"/>
  <c r="J526" i="374"/>
  <c r="H526" i="374"/>
  <c r="A526" i="374"/>
  <c r="F526" i="374"/>
  <c r="H525" i="374"/>
  <c r="A525" i="374"/>
  <c r="F525" i="374"/>
  <c r="H524" i="374"/>
  <c r="A524" i="374"/>
  <c r="F524" i="374"/>
  <c r="B523" i="374"/>
  <c r="H522" i="374"/>
  <c r="G522" i="374"/>
  <c r="A522" i="374"/>
  <c r="H521" i="374"/>
  <c r="A521" i="374"/>
  <c r="G521" i="374"/>
  <c r="H520" i="374"/>
  <c r="A520" i="374"/>
  <c r="G520" i="374"/>
  <c r="B519" i="374"/>
  <c r="H518" i="374"/>
  <c r="A518" i="374"/>
  <c r="G518" i="374"/>
  <c r="H517" i="374"/>
  <c r="A517" i="374"/>
  <c r="G517" i="374"/>
  <c r="H516" i="374"/>
  <c r="A516" i="374"/>
  <c r="G516" i="374"/>
  <c r="H515" i="374"/>
  <c r="A515" i="374"/>
  <c r="G515" i="374"/>
  <c r="H514" i="374"/>
  <c r="A514" i="374"/>
  <c r="G514" i="374"/>
  <c r="H513" i="374"/>
  <c r="A513" i="374"/>
  <c r="G513" i="374"/>
  <c r="H512" i="374"/>
  <c r="A512" i="374"/>
  <c r="G512" i="374"/>
  <c r="H511" i="374"/>
  <c r="A511" i="374"/>
  <c r="G511" i="374"/>
  <c r="B510" i="374"/>
  <c r="H509" i="374"/>
  <c r="A509" i="374"/>
  <c r="G509" i="374"/>
  <c r="H508" i="374"/>
  <c r="G508" i="374"/>
  <c r="A508" i="374"/>
  <c r="H507" i="374"/>
  <c r="A507" i="374"/>
  <c r="G507" i="374"/>
  <c r="H506" i="374"/>
  <c r="A506" i="374"/>
  <c r="G506" i="374"/>
  <c r="H505" i="374"/>
  <c r="A505" i="374"/>
  <c r="G505" i="374"/>
  <c r="H504" i="374"/>
  <c r="A504" i="374"/>
  <c r="G504" i="374"/>
  <c r="H503" i="374"/>
  <c r="A503" i="374"/>
  <c r="G503" i="374"/>
  <c r="H502" i="374"/>
  <c r="A502" i="374"/>
  <c r="G502" i="374"/>
  <c r="H501" i="374"/>
  <c r="A501" i="374"/>
  <c r="G501" i="374"/>
  <c r="H500" i="374"/>
  <c r="G500" i="374"/>
  <c r="A500" i="374"/>
  <c r="B499" i="374"/>
  <c r="H498" i="374"/>
  <c r="A498" i="374"/>
  <c r="G498" i="374"/>
  <c r="H497" i="374"/>
  <c r="A497" i="374"/>
  <c r="G497" i="374"/>
  <c r="H496" i="374"/>
  <c r="G496" i="374"/>
  <c r="A496" i="374"/>
  <c r="H495" i="374"/>
  <c r="A495" i="374"/>
  <c r="G495" i="374"/>
  <c r="B494" i="374"/>
  <c r="B493" i="374"/>
  <c r="H491" i="374"/>
  <c r="G491" i="374"/>
  <c r="A491" i="374"/>
  <c r="H490" i="374"/>
  <c r="A490" i="374"/>
  <c r="G490" i="374"/>
  <c r="H489" i="374"/>
  <c r="A489" i="374"/>
  <c r="G489" i="374"/>
  <c r="H488" i="374"/>
  <c r="A488" i="374"/>
  <c r="G488" i="374"/>
  <c r="H487" i="374"/>
  <c r="A487" i="374"/>
  <c r="G487" i="374"/>
  <c r="H486" i="374"/>
  <c r="A486" i="374"/>
  <c r="G486" i="374"/>
  <c r="H485" i="374"/>
  <c r="A485" i="374"/>
  <c r="G485" i="374"/>
  <c r="H484" i="374"/>
  <c r="A484" i="374"/>
  <c r="G484" i="374"/>
  <c r="H483" i="374"/>
  <c r="A483" i="374"/>
  <c r="G483" i="374"/>
  <c r="H482" i="374"/>
  <c r="A482" i="374"/>
  <c r="G482" i="374"/>
  <c r="H481" i="374"/>
  <c r="A481" i="374"/>
  <c r="G481" i="374"/>
  <c r="H480" i="374"/>
  <c r="A480" i="374"/>
  <c r="G480" i="374"/>
  <c r="H479" i="374"/>
  <c r="A479" i="374"/>
  <c r="G479" i="374"/>
  <c r="H478" i="374"/>
  <c r="A478" i="374"/>
  <c r="G478" i="374"/>
  <c r="H477" i="374"/>
  <c r="G477" i="374"/>
  <c r="A477" i="374"/>
  <c r="B476" i="374"/>
  <c r="B475" i="374"/>
  <c r="H474" i="374"/>
  <c r="A474" i="374"/>
  <c r="G474" i="374"/>
  <c r="H473" i="374"/>
  <c r="A473" i="374"/>
  <c r="G473" i="374"/>
  <c r="H472" i="374"/>
  <c r="A472" i="374"/>
  <c r="G472" i="374"/>
  <c r="C471" i="374"/>
  <c r="H470" i="374"/>
  <c r="A470" i="374"/>
  <c r="G470" i="374"/>
  <c r="H469" i="374"/>
  <c r="A469" i="374"/>
  <c r="G469" i="374"/>
  <c r="H468" i="374"/>
  <c r="G468" i="374"/>
  <c r="A468" i="374"/>
  <c r="H467" i="374"/>
  <c r="A467" i="374"/>
  <c r="G467" i="374"/>
  <c r="H466" i="374"/>
  <c r="A466" i="374"/>
  <c r="G466" i="374"/>
  <c r="H465" i="374"/>
  <c r="G465" i="374"/>
  <c r="A465" i="374"/>
  <c r="B464" i="374"/>
  <c r="H462" i="374"/>
  <c r="A462" i="374"/>
  <c r="G462" i="374"/>
  <c r="H461" i="374"/>
  <c r="A461" i="374"/>
  <c r="G461" i="374"/>
  <c r="H460" i="374"/>
  <c r="A460" i="374"/>
  <c r="G460" i="374"/>
  <c r="B459" i="374"/>
  <c r="B458" i="374"/>
  <c r="B457" i="374"/>
  <c r="M455" i="374"/>
  <c r="Q455" i="374"/>
  <c r="R455" i="374"/>
  <c r="H455" i="374"/>
  <c r="G455" i="374"/>
  <c r="A455" i="374"/>
  <c r="M454" i="374"/>
  <c r="S454" i="374"/>
  <c r="H454" i="374"/>
  <c r="G454" i="374"/>
  <c r="A454" i="374"/>
  <c r="M453" i="374"/>
  <c r="H453" i="374"/>
  <c r="G453" i="374"/>
  <c r="A453" i="374"/>
  <c r="M452" i="374"/>
  <c r="S452" i="374"/>
  <c r="H452" i="374"/>
  <c r="G452" i="374"/>
  <c r="A452" i="374"/>
  <c r="M451" i="374"/>
  <c r="H451" i="374"/>
  <c r="G451" i="374"/>
  <c r="A451" i="374"/>
  <c r="M450" i="374"/>
  <c r="S450" i="374"/>
  <c r="H450" i="374"/>
  <c r="G450" i="374"/>
  <c r="A450" i="374"/>
  <c r="M448" i="374"/>
  <c r="Q448" i="374"/>
  <c r="R448" i="374"/>
  <c r="H448" i="374"/>
  <c r="G448" i="374"/>
  <c r="A448" i="374"/>
  <c r="M447" i="374"/>
  <c r="Q447" i="374"/>
  <c r="R447" i="374"/>
  <c r="H447" i="374"/>
  <c r="G447" i="374"/>
  <c r="A447" i="374"/>
  <c r="M446" i="374"/>
  <c r="S446" i="374"/>
  <c r="H446" i="374"/>
  <c r="G446" i="374"/>
  <c r="A446" i="374"/>
  <c r="M445" i="374"/>
  <c r="S445" i="374"/>
  <c r="H445" i="374"/>
  <c r="G445" i="374"/>
  <c r="A445" i="374"/>
  <c r="B443" i="374"/>
  <c r="M442" i="374"/>
  <c r="S442" i="374"/>
  <c r="H442" i="374"/>
  <c r="G442" i="374"/>
  <c r="A442" i="374"/>
  <c r="M441" i="374"/>
  <c r="H441" i="374"/>
  <c r="G441" i="374"/>
  <c r="A441" i="374"/>
  <c r="M440" i="374"/>
  <c r="S440" i="374"/>
  <c r="H440" i="374"/>
  <c r="G440" i="374"/>
  <c r="A440" i="374"/>
  <c r="M439" i="374"/>
  <c r="H439" i="374"/>
  <c r="G439" i="374"/>
  <c r="A439" i="374"/>
  <c r="Q438" i="374"/>
  <c r="R438" i="374"/>
  <c r="M438" i="374"/>
  <c r="S438" i="374"/>
  <c r="H438" i="374"/>
  <c r="G438" i="374"/>
  <c r="A438" i="374"/>
  <c r="M437" i="374"/>
  <c r="Q437" i="374"/>
  <c r="R437" i="374"/>
  <c r="H437" i="374"/>
  <c r="G437" i="374"/>
  <c r="A437" i="374"/>
  <c r="M435" i="374"/>
  <c r="Q435" i="374"/>
  <c r="R435" i="374"/>
  <c r="H435" i="374"/>
  <c r="G435" i="374"/>
  <c r="A435" i="374"/>
  <c r="M434" i="374"/>
  <c r="Q434" i="374"/>
  <c r="R434" i="374"/>
  <c r="H434" i="374"/>
  <c r="G434" i="374"/>
  <c r="A434" i="374"/>
  <c r="M433" i="374"/>
  <c r="Q433" i="374"/>
  <c r="R433" i="374"/>
  <c r="H433" i="374"/>
  <c r="G433" i="374"/>
  <c r="A433" i="374"/>
  <c r="M432" i="374"/>
  <c r="H432" i="374"/>
  <c r="G432" i="374"/>
  <c r="A432" i="374"/>
  <c r="M431" i="374"/>
  <c r="S431" i="374"/>
  <c r="H431" i="374"/>
  <c r="G431" i="374"/>
  <c r="A431" i="374"/>
  <c r="M430" i="374"/>
  <c r="H430" i="374"/>
  <c r="G430" i="374"/>
  <c r="A430" i="374"/>
  <c r="Q429" i="374"/>
  <c r="R429" i="374"/>
  <c r="M429" i="374"/>
  <c r="S429" i="374"/>
  <c r="H429" i="374"/>
  <c r="G429" i="374"/>
  <c r="A429" i="374"/>
  <c r="M427" i="374"/>
  <c r="Q427" i="374"/>
  <c r="R427" i="374"/>
  <c r="H427" i="374"/>
  <c r="G427" i="374"/>
  <c r="A427" i="374"/>
  <c r="M426" i="374"/>
  <c r="Q426" i="374"/>
  <c r="R426" i="374"/>
  <c r="H426" i="374"/>
  <c r="G426" i="374"/>
  <c r="A426" i="374"/>
  <c r="S425" i="374"/>
  <c r="Q425" i="374"/>
  <c r="R425" i="374"/>
  <c r="M425" i="374"/>
  <c r="H425" i="374"/>
  <c r="G425" i="374"/>
  <c r="A425" i="374"/>
  <c r="M424" i="374"/>
  <c r="S424" i="374"/>
  <c r="H424" i="374"/>
  <c r="G424" i="374"/>
  <c r="A424" i="374"/>
  <c r="M423" i="374"/>
  <c r="H423" i="374"/>
  <c r="G423" i="374"/>
  <c r="A423" i="374"/>
  <c r="M421" i="374"/>
  <c r="S421" i="374"/>
  <c r="H421" i="374"/>
  <c r="G421" i="374"/>
  <c r="A421" i="374"/>
  <c r="M420" i="374"/>
  <c r="H420" i="374"/>
  <c r="G420" i="374"/>
  <c r="A420" i="374"/>
  <c r="M419" i="374"/>
  <c r="Q419" i="374"/>
  <c r="R419" i="374"/>
  <c r="H419" i="374"/>
  <c r="G419" i="374"/>
  <c r="A419" i="374"/>
  <c r="M418" i="374"/>
  <c r="Q418" i="374"/>
  <c r="R418" i="374"/>
  <c r="H418" i="374"/>
  <c r="G418" i="374"/>
  <c r="A418" i="374"/>
  <c r="R417" i="374"/>
  <c r="M417" i="374"/>
  <c r="Q417" i="374"/>
  <c r="H417" i="374"/>
  <c r="G417" i="374"/>
  <c r="A417" i="374"/>
  <c r="M416" i="374"/>
  <c r="S416" i="374"/>
  <c r="H416" i="374"/>
  <c r="G416" i="374"/>
  <c r="A416" i="374"/>
  <c r="S415" i="374"/>
  <c r="Q415" i="374"/>
  <c r="R415" i="374"/>
  <c r="M415" i="374"/>
  <c r="H415" i="374"/>
  <c r="G415" i="374"/>
  <c r="A415" i="374"/>
  <c r="M414" i="374"/>
  <c r="H414" i="374"/>
  <c r="G414" i="374"/>
  <c r="A414" i="374"/>
  <c r="M413" i="374"/>
  <c r="S413" i="374"/>
  <c r="H413" i="374"/>
  <c r="G413" i="374"/>
  <c r="A413" i="374"/>
  <c r="M412" i="374"/>
  <c r="H412" i="374"/>
  <c r="G412" i="374"/>
  <c r="A412" i="374"/>
  <c r="M411" i="374"/>
  <c r="S411" i="374"/>
  <c r="H411" i="374"/>
  <c r="G411" i="374"/>
  <c r="A411" i="374"/>
  <c r="S409" i="374"/>
  <c r="M409" i="374"/>
  <c r="Q409" i="374"/>
  <c r="R409" i="374"/>
  <c r="H409" i="374"/>
  <c r="G409" i="374"/>
  <c r="A409" i="374"/>
  <c r="M408" i="374"/>
  <c r="Q408" i="374"/>
  <c r="R408" i="374"/>
  <c r="H408" i="374"/>
  <c r="G408" i="374"/>
  <c r="A408" i="374"/>
  <c r="M407" i="374"/>
  <c r="S407" i="374"/>
  <c r="H407" i="374"/>
  <c r="G407" i="374"/>
  <c r="A407" i="374"/>
  <c r="M406" i="374"/>
  <c r="S406" i="374"/>
  <c r="H406" i="374"/>
  <c r="G406" i="374"/>
  <c r="A406" i="374"/>
  <c r="M405" i="374"/>
  <c r="H405" i="374"/>
  <c r="G405" i="374"/>
  <c r="A405" i="374"/>
  <c r="M403" i="374"/>
  <c r="S403" i="374"/>
  <c r="H403" i="374"/>
  <c r="G403" i="374"/>
  <c r="A403" i="374"/>
  <c r="M402" i="374"/>
  <c r="H402" i="374"/>
  <c r="G402" i="374"/>
  <c r="A402" i="374"/>
  <c r="Q401" i="374"/>
  <c r="R401" i="374"/>
  <c r="M401" i="374"/>
  <c r="S401" i="374"/>
  <c r="H401" i="374"/>
  <c r="G401" i="374"/>
  <c r="A401" i="374"/>
  <c r="M400" i="374"/>
  <c r="Q400" i="374"/>
  <c r="R400" i="374"/>
  <c r="H400" i="374"/>
  <c r="G400" i="374"/>
  <c r="A400" i="374"/>
  <c r="M399" i="374"/>
  <c r="Q399" i="374"/>
  <c r="R399" i="374"/>
  <c r="H399" i="374"/>
  <c r="G399" i="374"/>
  <c r="A399" i="374"/>
  <c r="M398" i="374"/>
  <c r="S398" i="374"/>
  <c r="H398" i="374"/>
  <c r="G398" i="374"/>
  <c r="D398" i="374"/>
  <c r="A398" i="374"/>
  <c r="Q397" i="374"/>
  <c r="R397" i="374"/>
  <c r="M397" i="374"/>
  <c r="S397" i="374"/>
  <c r="G397" i="374"/>
  <c r="D397" i="374"/>
  <c r="H397" i="374"/>
  <c r="A397" i="374"/>
  <c r="M396" i="374"/>
  <c r="S396" i="374"/>
  <c r="G396" i="374"/>
  <c r="D396" i="374"/>
  <c r="H396" i="374"/>
  <c r="A396" i="374"/>
  <c r="M395" i="374"/>
  <c r="Q395" i="374"/>
  <c r="R395" i="374"/>
  <c r="H395" i="374"/>
  <c r="G395" i="374"/>
  <c r="D395" i="374"/>
  <c r="A395" i="374"/>
  <c r="M394" i="374"/>
  <c r="Q394" i="374"/>
  <c r="R394" i="374"/>
  <c r="G394" i="374"/>
  <c r="D394" i="374"/>
  <c r="H394" i="374"/>
  <c r="A394" i="374"/>
  <c r="M393" i="374"/>
  <c r="Q393" i="374"/>
  <c r="R393" i="374"/>
  <c r="G393" i="374"/>
  <c r="D393" i="374"/>
  <c r="H393" i="374"/>
  <c r="A393" i="374"/>
  <c r="B391" i="374"/>
  <c r="B390" i="374"/>
  <c r="M388" i="374"/>
  <c r="Q388" i="374"/>
  <c r="R388" i="374"/>
  <c r="G388" i="374"/>
  <c r="D388" i="374"/>
  <c r="H388" i="374"/>
  <c r="A388" i="374"/>
  <c r="M387" i="374"/>
  <c r="Q387" i="374"/>
  <c r="R387" i="374"/>
  <c r="G387" i="374"/>
  <c r="D387" i="374"/>
  <c r="H387" i="374"/>
  <c r="A387" i="374"/>
  <c r="S386" i="374"/>
  <c r="M386" i="374"/>
  <c r="Q386" i="374"/>
  <c r="R386" i="374"/>
  <c r="G386" i="374"/>
  <c r="D386" i="374"/>
  <c r="H386" i="374"/>
  <c r="A386" i="374"/>
  <c r="M385" i="374"/>
  <c r="Q385" i="374"/>
  <c r="R385" i="374"/>
  <c r="G385" i="374"/>
  <c r="D385" i="374"/>
  <c r="H385" i="374"/>
  <c r="A385" i="374"/>
  <c r="M384" i="374"/>
  <c r="Q384" i="374"/>
  <c r="R384" i="374"/>
  <c r="G384" i="374"/>
  <c r="D384" i="374"/>
  <c r="H384" i="374"/>
  <c r="A384" i="374"/>
  <c r="M383" i="374"/>
  <c r="Q383" i="374"/>
  <c r="R383" i="374"/>
  <c r="G383" i="374"/>
  <c r="D383" i="374"/>
  <c r="H383" i="374"/>
  <c r="A383" i="374"/>
  <c r="M382" i="374"/>
  <c r="Q382" i="374"/>
  <c r="R382" i="374"/>
  <c r="G382" i="374"/>
  <c r="D382" i="374"/>
  <c r="H382" i="374"/>
  <c r="A382" i="374"/>
  <c r="M381" i="374"/>
  <c r="Q381" i="374"/>
  <c r="R381" i="374"/>
  <c r="G381" i="374"/>
  <c r="D381" i="374"/>
  <c r="H381" i="374"/>
  <c r="A381" i="374"/>
  <c r="M380" i="374"/>
  <c r="Q380" i="374"/>
  <c r="R380" i="374"/>
  <c r="G380" i="374"/>
  <c r="D380" i="374"/>
  <c r="H380" i="374"/>
  <c r="A380" i="374"/>
  <c r="M379" i="374"/>
  <c r="Q379" i="374"/>
  <c r="R379" i="374"/>
  <c r="G379" i="374"/>
  <c r="D379" i="374"/>
  <c r="H379" i="374"/>
  <c r="A379" i="374"/>
  <c r="M377" i="374"/>
  <c r="Q377" i="374"/>
  <c r="R377" i="374"/>
  <c r="G377" i="374"/>
  <c r="D377" i="374"/>
  <c r="H377" i="374"/>
  <c r="A377" i="374"/>
  <c r="M376" i="374"/>
  <c r="Q376" i="374"/>
  <c r="R376" i="374"/>
  <c r="G376" i="374"/>
  <c r="D376" i="374"/>
  <c r="H376" i="374"/>
  <c r="A376" i="374"/>
  <c r="M375" i="374"/>
  <c r="Q375" i="374"/>
  <c r="R375" i="374"/>
  <c r="G375" i="374"/>
  <c r="D375" i="374"/>
  <c r="H375" i="374"/>
  <c r="A375" i="374"/>
  <c r="M374" i="374"/>
  <c r="Q374" i="374"/>
  <c r="R374" i="374"/>
  <c r="G374" i="374"/>
  <c r="D374" i="374"/>
  <c r="H374" i="374"/>
  <c r="A374" i="374"/>
  <c r="M373" i="374"/>
  <c r="Q373" i="374"/>
  <c r="R373" i="374"/>
  <c r="G373" i="374"/>
  <c r="D373" i="374"/>
  <c r="H373" i="374"/>
  <c r="A373" i="374"/>
  <c r="M372" i="374"/>
  <c r="Q372" i="374"/>
  <c r="R372" i="374"/>
  <c r="G372" i="374"/>
  <c r="D372" i="374"/>
  <c r="H372" i="374"/>
  <c r="A372" i="374"/>
  <c r="M371" i="374"/>
  <c r="Q371" i="374"/>
  <c r="R371" i="374"/>
  <c r="G371" i="374"/>
  <c r="D371" i="374"/>
  <c r="H371" i="374"/>
  <c r="A371" i="374"/>
  <c r="M370" i="374"/>
  <c r="Q370" i="374"/>
  <c r="R370" i="374"/>
  <c r="G370" i="374"/>
  <c r="D370" i="374"/>
  <c r="H370" i="374"/>
  <c r="A370" i="374"/>
  <c r="M369" i="374"/>
  <c r="Q369" i="374"/>
  <c r="R369" i="374"/>
  <c r="G369" i="374"/>
  <c r="D369" i="374"/>
  <c r="H369" i="374"/>
  <c r="A369" i="374"/>
  <c r="M368" i="374"/>
  <c r="Q368" i="374"/>
  <c r="R368" i="374"/>
  <c r="G368" i="374"/>
  <c r="D368" i="374"/>
  <c r="H368" i="374"/>
  <c r="A368" i="374"/>
  <c r="M367" i="374"/>
  <c r="Q367" i="374"/>
  <c r="R367" i="374"/>
  <c r="G367" i="374"/>
  <c r="D367" i="374"/>
  <c r="H367" i="374"/>
  <c r="A367" i="374"/>
  <c r="M365" i="374"/>
  <c r="Q365" i="374"/>
  <c r="R365" i="374"/>
  <c r="G365" i="374"/>
  <c r="D365" i="374"/>
  <c r="H365" i="374"/>
  <c r="A365" i="374"/>
  <c r="M364" i="374"/>
  <c r="Q364" i="374"/>
  <c r="R364" i="374"/>
  <c r="G364" i="374"/>
  <c r="D364" i="374"/>
  <c r="H364" i="374"/>
  <c r="A364" i="374"/>
  <c r="M362" i="374"/>
  <c r="S362" i="374"/>
  <c r="M361" i="374"/>
  <c r="S361" i="374"/>
  <c r="C361" i="374"/>
  <c r="A361" i="374"/>
  <c r="M360" i="374"/>
  <c r="G360" i="374"/>
  <c r="D360" i="374"/>
  <c r="H360" i="374"/>
  <c r="A360" i="374"/>
  <c r="M358" i="374"/>
  <c r="G358" i="374"/>
  <c r="D358" i="374"/>
  <c r="H358" i="374"/>
  <c r="A358" i="374"/>
  <c r="M357" i="374"/>
  <c r="G357" i="374"/>
  <c r="D357" i="374"/>
  <c r="H357" i="374"/>
  <c r="A357" i="374"/>
  <c r="M356" i="374"/>
  <c r="G356" i="374"/>
  <c r="D356" i="374"/>
  <c r="H356" i="374"/>
  <c r="A356" i="374"/>
  <c r="M354" i="374"/>
  <c r="H354" i="374"/>
  <c r="G354" i="374"/>
  <c r="A354" i="374"/>
  <c r="M353" i="374"/>
  <c r="S353" i="374"/>
  <c r="H353" i="374"/>
  <c r="G353" i="374"/>
  <c r="A353" i="374"/>
  <c r="M352" i="374"/>
  <c r="Q352" i="374"/>
  <c r="R352" i="374"/>
  <c r="H352" i="374"/>
  <c r="G352" i="374"/>
  <c r="A352" i="374"/>
  <c r="M351" i="374"/>
  <c r="Q351" i="374"/>
  <c r="R351" i="374"/>
  <c r="H351" i="374"/>
  <c r="G351" i="374"/>
  <c r="A351" i="374"/>
  <c r="M350" i="374"/>
  <c r="S350" i="374"/>
  <c r="H350" i="374"/>
  <c r="G350" i="374"/>
  <c r="A350" i="374"/>
  <c r="M349" i="374"/>
  <c r="S349" i="374"/>
  <c r="H349" i="374"/>
  <c r="G349" i="374"/>
  <c r="A349" i="374"/>
  <c r="M348" i="374"/>
  <c r="S348" i="374"/>
  <c r="H348" i="374"/>
  <c r="G348" i="374"/>
  <c r="A348" i="374"/>
  <c r="Q347" i="374"/>
  <c r="R347" i="374"/>
  <c r="M347" i="374"/>
  <c r="S347" i="374"/>
  <c r="H347" i="374"/>
  <c r="G347" i="374"/>
  <c r="A347" i="374"/>
  <c r="M346" i="374"/>
  <c r="H346" i="374"/>
  <c r="G346" i="374"/>
  <c r="A346" i="374"/>
  <c r="M345" i="374"/>
  <c r="S345" i="374"/>
  <c r="H345" i="374"/>
  <c r="G345" i="374"/>
  <c r="A345" i="374"/>
  <c r="O343" i="374"/>
  <c r="M343" i="374"/>
  <c r="S343" i="374"/>
  <c r="M342" i="374"/>
  <c r="S342" i="374"/>
  <c r="F342" i="374"/>
  <c r="F343" i="374"/>
  <c r="C342" i="374"/>
  <c r="A342" i="374"/>
  <c r="S341" i="374"/>
  <c r="Q341" i="374"/>
  <c r="R341" i="374"/>
  <c r="O341" i="374"/>
  <c r="M341" i="374"/>
  <c r="H341" i="374"/>
  <c r="G341" i="374"/>
  <c r="A341" i="374"/>
  <c r="M340" i="374"/>
  <c r="S340" i="374"/>
  <c r="H340" i="374"/>
  <c r="G340" i="374"/>
  <c r="A340" i="374"/>
  <c r="M339" i="374"/>
  <c r="S339" i="374"/>
  <c r="G339" i="374"/>
  <c r="D339" i="374"/>
  <c r="H339" i="374"/>
  <c r="A339" i="374"/>
  <c r="M338" i="374"/>
  <c r="Q338" i="374"/>
  <c r="R338" i="374"/>
  <c r="G338" i="374"/>
  <c r="D338" i="374"/>
  <c r="H338" i="374"/>
  <c r="A338" i="374"/>
  <c r="M337" i="374"/>
  <c r="Q337" i="374"/>
  <c r="R337" i="374"/>
  <c r="G337" i="374"/>
  <c r="D337" i="374"/>
  <c r="H337" i="374"/>
  <c r="A337" i="374"/>
  <c r="S336" i="374"/>
  <c r="M336" i="374"/>
  <c r="Q336" i="374"/>
  <c r="R336" i="374"/>
  <c r="H336" i="374"/>
  <c r="G336" i="374"/>
  <c r="D336" i="374"/>
  <c r="A336" i="374"/>
  <c r="M335" i="374"/>
  <c r="Q335" i="374"/>
  <c r="R335" i="374"/>
  <c r="G335" i="374"/>
  <c r="D335" i="374"/>
  <c r="H335" i="374"/>
  <c r="A335" i="374"/>
  <c r="M334" i="374"/>
  <c r="Q334" i="374"/>
  <c r="R334" i="374"/>
  <c r="G334" i="374"/>
  <c r="D334" i="374"/>
  <c r="H334" i="374"/>
  <c r="A334" i="374"/>
  <c r="B332" i="374"/>
  <c r="B331" i="374"/>
  <c r="H329" i="374"/>
  <c r="A329" i="374"/>
  <c r="G329" i="374"/>
  <c r="H328" i="374"/>
  <c r="A328" i="374"/>
  <c r="G328" i="374"/>
  <c r="H327" i="374"/>
  <c r="A327" i="374"/>
  <c r="G327" i="374"/>
  <c r="H326" i="374"/>
  <c r="A326" i="374"/>
  <c r="G326" i="374"/>
  <c r="H325" i="374"/>
  <c r="G325" i="374"/>
  <c r="A325" i="374"/>
  <c r="H324" i="374"/>
  <c r="G324" i="374"/>
  <c r="A324" i="374"/>
  <c r="H323" i="374"/>
  <c r="A323" i="374"/>
  <c r="G323" i="374"/>
  <c r="H322" i="374"/>
  <c r="A322" i="374"/>
  <c r="G322" i="374"/>
  <c r="H321" i="374"/>
  <c r="A321" i="374"/>
  <c r="G321" i="374"/>
  <c r="H320" i="374"/>
  <c r="A320" i="374"/>
  <c r="G320" i="374"/>
  <c r="H319" i="374"/>
  <c r="A319" i="374"/>
  <c r="G319" i="374"/>
  <c r="H318" i="374"/>
  <c r="A318" i="374"/>
  <c r="G318" i="374"/>
  <c r="H317" i="374"/>
  <c r="A317" i="374"/>
  <c r="G317" i="374"/>
  <c r="H316" i="374"/>
  <c r="G316" i="374"/>
  <c r="A316" i="374"/>
  <c r="H315" i="374"/>
  <c r="A315" i="374"/>
  <c r="G315" i="374"/>
  <c r="B314" i="374"/>
  <c r="H313" i="374"/>
  <c r="A313" i="374"/>
  <c r="G313" i="374"/>
  <c r="H312" i="374"/>
  <c r="G312" i="374"/>
  <c r="A312" i="374"/>
  <c r="H311" i="374"/>
  <c r="G311" i="374"/>
  <c r="A311" i="374"/>
  <c r="H310" i="374"/>
  <c r="A310" i="374"/>
  <c r="G310" i="374"/>
  <c r="H309" i="374"/>
  <c r="A309" i="374"/>
  <c r="G309" i="374"/>
  <c r="H308" i="374"/>
  <c r="A308" i="374"/>
  <c r="G308" i="374"/>
  <c r="H307" i="374"/>
  <c r="A307" i="374"/>
  <c r="G307" i="374"/>
  <c r="H306" i="374"/>
  <c r="G306" i="374"/>
  <c r="A306" i="374"/>
  <c r="B305" i="374"/>
  <c r="H304" i="374"/>
  <c r="A304" i="374"/>
  <c r="G304" i="374"/>
  <c r="H303" i="374"/>
  <c r="A303" i="374"/>
  <c r="G303" i="374"/>
  <c r="H302" i="374"/>
  <c r="A302" i="374"/>
  <c r="G302" i="374"/>
  <c r="H301" i="374"/>
  <c r="A301" i="374"/>
  <c r="G301" i="374"/>
  <c r="H300" i="374"/>
  <c r="G300" i="374"/>
  <c r="A300" i="374"/>
  <c r="H299" i="374"/>
  <c r="A299" i="374"/>
  <c r="G299" i="374"/>
  <c r="H298" i="374"/>
  <c r="A298" i="374"/>
  <c r="G298" i="374"/>
  <c r="B297" i="374"/>
  <c r="H296" i="374"/>
  <c r="A296" i="374"/>
  <c r="G296" i="374"/>
  <c r="H295" i="374"/>
  <c r="A295" i="374"/>
  <c r="G295" i="374"/>
  <c r="H294" i="374"/>
  <c r="A294" i="374"/>
  <c r="G294" i="374"/>
  <c r="H293" i="374"/>
  <c r="A293" i="374"/>
  <c r="G293" i="374"/>
  <c r="H292" i="374"/>
  <c r="A292" i="374"/>
  <c r="G292" i="374"/>
  <c r="H291" i="374"/>
  <c r="A291" i="374"/>
  <c r="G291" i="374"/>
  <c r="H290" i="374"/>
  <c r="G290" i="374"/>
  <c r="A290" i="374"/>
  <c r="H289" i="374"/>
  <c r="A289" i="374"/>
  <c r="G289" i="374"/>
  <c r="B288" i="374"/>
  <c r="H287" i="374"/>
  <c r="A287" i="374"/>
  <c r="G287" i="374"/>
  <c r="H286" i="374"/>
  <c r="G286" i="374"/>
  <c r="A286" i="374"/>
  <c r="H285" i="374"/>
  <c r="A285" i="374"/>
  <c r="G285" i="374"/>
  <c r="H284" i="374"/>
  <c r="A284" i="374"/>
  <c r="G284" i="374"/>
  <c r="B283" i="374"/>
  <c r="B282" i="374"/>
  <c r="H281" i="374"/>
  <c r="A281" i="374"/>
  <c r="G281" i="374"/>
  <c r="H280" i="374"/>
  <c r="A280" i="374"/>
  <c r="G280" i="374"/>
  <c r="H279" i="374"/>
  <c r="A279" i="374"/>
  <c r="G279" i="374"/>
  <c r="H278" i="374"/>
  <c r="A278" i="374"/>
  <c r="G278" i="374"/>
  <c r="H277" i="374"/>
  <c r="A277" i="374"/>
  <c r="G277" i="374"/>
  <c r="H276" i="374"/>
  <c r="G276" i="374"/>
  <c r="A276" i="374"/>
  <c r="H275" i="374"/>
  <c r="A275" i="374"/>
  <c r="G275" i="374"/>
  <c r="H274" i="374"/>
  <c r="A274" i="374"/>
  <c r="G274" i="374"/>
  <c r="H273" i="374"/>
  <c r="G273" i="374"/>
  <c r="A273" i="374"/>
  <c r="H272" i="374"/>
  <c r="A272" i="374"/>
  <c r="G272" i="374"/>
  <c r="H271" i="374"/>
  <c r="A271" i="374"/>
  <c r="G271" i="374"/>
  <c r="H270" i="374"/>
  <c r="A270" i="374"/>
  <c r="G270" i="374"/>
  <c r="H269" i="374"/>
  <c r="A269" i="374"/>
  <c r="G269" i="374"/>
  <c r="H268" i="374"/>
  <c r="G268" i="374"/>
  <c r="A268" i="374"/>
  <c r="H267" i="374"/>
  <c r="A267" i="374"/>
  <c r="G267" i="374"/>
  <c r="H266" i="374"/>
  <c r="G266" i="374"/>
  <c r="A266" i="374"/>
  <c r="H265" i="374"/>
  <c r="G265" i="374"/>
  <c r="A265" i="374"/>
  <c r="H264" i="374"/>
  <c r="A264" i="374"/>
  <c r="G264" i="374"/>
  <c r="H263" i="374"/>
  <c r="A263" i="374"/>
  <c r="G263" i="374"/>
  <c r="H262" i="374"/>
  <c r="A262" i="374"/>
  <c r="G262" i="374"/>
  <c r="H261" i="374"/>
  <c r="A261" i="374"/>
  <c r="G261" i="374"/>
  <c r="H260" i="374"/>
  <c r="A260" i="374"/>
  <c r="G260" i="374"/>
  <c r="H259" i="374"/>
  <c r="A259" i="374"/>
  <c r="G259" i="374"/>
  <c r="B258" i="374"/>
  <c r="H257" i="374"/>
  <c r="A257" i="374"/>
  <c r="G257" i="374"/>
  <c r="H256" i="374"/>
  <c r="A256" i="374"/>
  <c r="G256" i="374"/>
  <c r="H255" i="374"/>
  <c r="A255" i="374"/>
  <c r="G255" i="374"/>
  <c r="H254" i="374"/>
  <c r="G254" i="374"/>
  <c r="A254" i="374"/>
  <c r="H253" i="374"/>
  <c r="A253" i="374"/>
  <c r="G253" i="374"/>
  <c r="H252" i="374"/>
  <c r="G252" i="374"/>
  <c r="A252" i="374"/>
  <c r="H251" i="374"/>
  <c r="G251" i="374"/>
  <c r="A251" i="374"/>
  <c r="H250" i="374"/>
  <c r="A250" i="374"/>
  <c r="G250" i="374"/>
  <c r="H249" i="374"/>
  <c r="A249" i="374"/>
  <c r="G249" i="374"/>
  <c r="H248" i="374"/>
  <c r="A248" i="374"/>
  <c r="G248" i="374"/>
  <c r="H247" i="374"/>
  <c r="A247" i="374"/>
  <c r="G247" i="374"/>
  <c r="H246" i="374"/>
  <c r="A246" i="374"/>
  <c r="G246" i="374"/>
  <c r="H245" i="374"/>
  <c r="A245" i="374"/>
  <c r="G245" i="374"/>
  <c r="H244" i="374"/>
  <c r="G244" i="374"/>
  <c r="A244" i="374"/>
  <c r="H243" i="374"/>
  <c r="A243" i="374"/>
  <c r="G243" i="374"/>
  <c r="H242" i="374"/>
  <c r="A242" i="374"/>
  <c r="G242" i="374"/>
  <c r="H241" i="374"/>
  <c r="A241" i="374"/>
  <c r="G241" i="374"/>
  <c r="H240" i="374"/>
  <c r="A240" i="374"/>
  <c r="G240" i="374"/>
  <c r="B239" i="374"/>
  <c r="H238" i="374"/>
  <c r="A238" i="374"/>
  <c r="G238" i="374"/>
  <c r="H237" i="374"/>
  <c r="A237" i="374"/>
  <c r="G237" i="374"/>
  <c r="H236" i="374"/>
  <c r="G236" i="374"/>
  <c r="A236" i="374"/>
  <c r="H235" i="374"/>
  <c r="A235" i="374"/>
  <c r="G235" i="374"/>
  <c r="H234" i="374"/>
  <c r="A234" i="374"/>
  <c r="G234" i="374"/>
  <c r="H233" i="374"/>
  <c r="A233" i="374"/>
  <c r="G233" i="374"/>
  <c r="H232" i="374"/>
  <c r="A232" i="374"/>
  <c r="G232" i="374"/>
  <c r="H231" i="374"/>
  <c r="A231" i="374"/>
  <c r="G231" i="374"/>
  <c r="H230" i="374"/>
  <c r="A230" i="374"/>
  <c r="G230" i="374"/>
  <c r="H229" i="374"/>
  <c r="A229" i="374"/>
  <c r="G229" i="374"/>
  <c r="H228" i="374"/>
  <c r="G228" i="374"/>
  <c r="A228" i="374"/>
  <c r="H227" i="374"/>
  <c r="A227" i="374"/>
  <c r="G227" i="374"/>
  <c r="H226" i="374"/>
  <c r="A226" i="374"/>
  <c r="G226" i="374"/>
  <c r="H225" i="374"/>
  <c r="A225" i="374"/>
  <c r="G225" i="374"/>
  <c r="H224" i="374"/>
  <c r="A224" i="374"/>
  <c r="G224" i="374"/>
  <c r="H223" i="374"/>
  <c r="A223" i="374"/>
  <c r="G223" i="374"/>
  <c r="B222" i="374"/>
  <c r="H221" i="374"/>
  <c r="A221" i="374"/>
  <c r="G221" i="374"/>
  <c r="H220" i="374"/>
  <c r="A220" i="374"/>
  <c r="G220" i="374"/>
  <c r="H219" i="374"/>
  <c r="A219" i="374"/>
  <c r="G219" i="374"/>
  <c r="H218" i="374"/>
  <c r="A218" i="374"/>
  <c r="G218" i="374"/>
  <c r="H217" i="374"/>
  <c r="A217" i="374"/>
  <c r="G217" i="374"/>
  <c r="H216" i="374"/>
  <c r="A216" i="374"/>
  <c r="G216" i="374"/>
  <c r="H215" i="374"/>
  <c r="A215" i="374"/>
  <c r="G215" i="374"/>
  <c r="H214" i="374"/>
  <c r="G214" i="374"/>
  <c r="A214" i="374"/>
  <c r="H213" i="374"/>
  <c r="A213" i="374"/>
  <c r="G213" i="374"/>
  <c r="H212" i="374"/>
  <c r="A212" i="374"/>
  <c r="G212" i="374"/>
  <c r="H211" i="374"/>
  <c r="A211" i="374"/>
  <c r="G211" i="374"/>
  <c r="H210" i="374"/>
  <c r="A210" i="374"/>
  <c r="G210" i="374"/>
  <c r="H209" i="374"/>
  <c r="A209" i="374"/>
  <c r="G209" i="374"/>
  <c r="H208" i="374"/>
  <c r="A208" i="374"/>
  <c r="G208" i="374"/>
  <c r="H207" i="374"/>
  <c r="A207" i="374"/>
  <c r="G207" i="374"/>
  <c r="H206" i="374"/>
  <c r="A206" i="374"/>
  <c r="G206" i="374"/>
  <c r="B205" i="374"/>
  <c r="H204" i="374"/>
  <c r="A204" i="374"/>
  <c r="G204" i="374"/>
  <c r="H203" i="374"/>
  <c r="A203" i="374"/>
  <c r="G203" i="374"/>
  <c r="H202" i="374"/>
  <c r="A202" i="374"/>
  <c r="G202" i="374"/>
  <c r="H201" i="374"/>
  <c r="G201" i="374"/>
  <c r="A201" i="374"/>
  <c r="H200" i="374"/>
  <c r="G200" i="374"/>
  <c r="A200" i="374"/>
  <c r="H199" i="374"/>
  <c r="A199" i="374"/>
  <c r="G199" i="374"/>
  <c r="H198" i="374"/>
  <c r="A198" i="374"/>
  <c r="G198" i="374"/>
  <c r="H197" i="374"/>
  <c r="A197" i="374"/>
  <c r="G197" i="374"/>
  <c r="H196" i="374"/>
  <c r="G196" i="374"/>
  <c r="A196" i="374"/>
  <c r="H195" i="374"/>
  <c r="A195" i="374"/>
  <c r="G195" i="374"/>
  <c r="H194" i="374"/>
  <c r="A194" i="374"/>
  <c r="G194" i="374"/>
  <c r="H193" i="374"/>
  <c r="G193" i="374"/>
  <c r="A193" i="374"/>
  <c r="H192" i="374"/>
  <c r="G192" i="374"/>
  <c r="A192" i="374"/>
  <c r="H191" i="374"/>
  <c r="A191" i="374"/>
  <c r="G191" i="374"/>
  <c r="H190" i="374"/>
  <c r="A190" i="374"/>
  <c r="G190" i="374"/>
  <c r="H189" i="374"/>
  <c r="A189" i="374"/>
  <c r="G189" i="374"/>
  <c r="H188" i="374"/>
  <c r="G188" i="374"/>
  <c r="A188" i="374"/>
  <c r="H187" i="374"/>
  <c r="A187" i="374"/>
  <c r="G187" i="374"/>
  <c r="H186" i="374"/>
  <c r="A186" i="374"/>
  <c r="G186" i="374"/>
  <c r="H185" i="374"/>
  <c r="G185" i="374"/>
  <c r="A185" i="374"/>
  <c r="H184" i="374"/>
  <c r="A184" i="374"/>
  <c r="G184" i="374"/>
  <c r="H183" i="374"/>
  <c r="A183" i="374"/>
  <c r="G183" i="374"/>
  <c r="H182" i="374"/>
  <c r="A182" i="374"/>
  <c r="G182" i="374"/>
  <c r="H181" i="374"/>
  <c r="A181" i="374"/>
  <c r="G181" i="374"/>
  <c r="H180" i="374"/>
  <c r="A180" i="374"/>
  <c r="G180" i="374"/>
  <c r="H179" i="374"/>
  <c r="A179" i="374"/>
  <c r="G179" i="374"/>
  <c r="H178" i="374"/>
  <c r="A178" i="374"/>
  <c r="G178" i="374"/>
  <c r="H177" i="374"/>
  <c r="A177" i="374"/>
  <c r="G177" i="374"/>
  <c r="H176" i="374"/>
  <c r="G176" i="374"/>
  <c r="A176" i="374"/>
  <c r="H175" i="374"/>
  <c r="A175" i="374"/>
  <c r="G175" i="374"/>
  <c r="H174" i="374"/>
  <c r="A174" i="374"/>
  <c r="G174" i="374"/>
  <c r="H173" i="374"/>
  <c r="A173" i="374"/>
  <c r="G173" i="374"/>
  <c r="H172" i="374"/>
  <c r="A172" i="374"/>
  <c r="G172" i="374"/>
  <c r="H171" i="374"/>
  <c r="A171" i="374"/>
  <c r="G171" i="374"/>
  <c r="H170" i="374"/>
  <c r="A170" i="374"/>
  <c r="G170" i="374"/>
  <c r="H169" i="374"/>
  <c r="G169" i="374"/>
  <c r="A169" i="374"/>
  <c r="H168" i="374"/>
  <c r="G168" i="374"/>
  <c r="A168" i="374"/>
  <c r="H167" i="374"/>
  <c r="A167" i="374"/>
  <c r="G167" i="374"/>
  <c r="H166" i="374"/>
  <c r="A166" i="374"/>
  <c r="G166" i="374"/>
  <c r="H165" i="374"/>
  <c r="A165" i="374"/>
  <c r="G165" i="374"/>
  <c r="H164" i="374"/>
  <c r="G164" i="374"/>
  <c r="A164" i="374"/>
  <c r="H163" i="374"/>
  <c r="A163" i="374"/>
  <c r="G163" i="374"/>
  <c r="H162" i="374"/>
  <c r="A162" i="374"/>
  <c r="G162" i="374"/>
  <c r="H161" i="374"/>
  <c r="G161" i="374"/>
  <c r="A161" i="374"/>
  <c r="H160" i="374"/>
  <c r="A160" i="374"/>
  <c r="G160" i="374"/>
  <c r="H159" i="374"/>
  <c r="A159" i="374"/>
  <c r="G159" i="374"/>
  <c r="B158" i="374"/>
  <c r="H157" i="374"/>
  <c r="A157" i="374"/>
  <c r="G157" i="374"/>
  <c r="H156" i="374"/>
  <c r="A156" i="374"/>
  <c r="G156" i="374"/>
  <c r="H155" i="374"/>
  <c r="A155" i="374"/>
  <c r="G155" i="374"/>
  <c r="H154" i="374"/>
  <c r="A154" i="374"/>
  <c r="G154" i="374"/>
  <c r="H153" i="374"/>
  <c r="A153" i="374"/>
  <c r="G153" i="374"/>
  <c r="H152" i="374"/>
  <c r="A152" i="374"/>
  <c r="G152" i="374"/>
  <c r="H151" i="374"/>
  <c r="A151" i="374"/>
  <c r="G151" i="374"/>
  <c r="H150" i="374"/>
  <c r="A150" i="374"/>
  <c r="G150" i="374"/>
  <c r="H149" i="374"/>
  <c r="A149" i="374"/>
  <c r="G149" i="374"/>
  <c r="H148" i="374"/>
  <c r="G148" i="374"/>
  <c r="A148" i="374"/>
  <c r="H147" i="374"/>
  <c r="A147" i="374"/>
  <c r="G147" i="374"/>
  <c r="B146" i="374"/>
  <c r="H145" i="374"/>
  <c r="A145" i="374"/>
  <c r="G145" i="374"/>
  <c r="H144" i="374"/>
  <c r="G144" i="374"/>
  <c r="A144" i="374"/>
  <c r="H143" i="374"/>
  <c r="A143" i="374"/>
  <c r="G143" i="374"/>
  <c r="H142" i="374"/>
  <c r="A142" i="374"/>
  <c r="G142" i="374"/>
  <c r="H141" i="374"/>
  <c r="A141" i="374"/>
  <c r="G141" i="374"/>
  <c r="B140" i="374"/>
  <c r="H139" i="374"/>
  <c r="A139" i="374"/>
  <c r="G139" i="374"/>
  <c r="H138" i="374"/>
  <c r="A138" i="374"/>
  <c r="G138" i="374"/>
  <c r="H137" i="374"/>
  <c r="A137" i="374"/>
  <c r="G137" i="374"/>
  <c r="H136" i="374"/>
  <c r="G136" i="374"/>
  <c r="A136" i="374"/>
  <c r="H135" i="374"/>
  <c r="A135" i="374"/>
  <c r="G135" i="374"/>
  <c r="H134" i="374"/>
  <c r="A134" i="374"/>
  <c r="G134" i="374"/>
  <c r="H133" i="374"/>
  <c r="A133" i="374"/>
  <c r="G133" i="374"/>
  <c r="H132" i="374"/>
  <c r="A132" i="374"/>
  <c r="G132" i="374"/>
  <c r="B131" i="374"/>
  <c r="H130" i="374"/>
  <c r="A130" i="374"/>
  <c r="G130" i="374"/>
  <c r="H129" i="374"/>
  <c r="A129" i="374"/>
  <c r="G129" i="374"/>
  <c r="H128" i="374"/>
  <c r="A128" i="374"/>
  <c r="G128" i="374"/>
  <c r="H127" i="374"/>
  <c r="A127" i="374"/>
  <c r="G127" i="374"/>
  <c r="H126" i="374"/>
  <c r="A126" i="374"/>
  <c r="G126" i="374"/>
  <c r="H125" i="374"/>
  <c r="A125" i="374"/>
  <c r="G125" i="374"/>
  <c r="H124" i="374"/>
  <c r="G124" i="374"/>
  <c r="A124" i="374"/>
  <c r="H123" i="374"/>
  <c r="A123" i="374"/>
  <c r="G123" i="374"/>
  <c r="H122" i="374"/>
  <c r="A122" i="374"/>
  <c r="G122" i="374"/>
  <c r="H121" i="374"/>
  <c r="A121" i="374"/>
  <c r="G121" i="374"/>
  <c r="H120" i="374"/>
  <c r="G120" i="374"/>
  <c r="A120" i="374"/>
  <c r="H119" i="374"/>
  <c r="A119" i="374"/>
  <c r="G119" i="374"/>
  <c r="H118" i="374"/>
  <c r="A118" i="374"/>
  <c r="G118" i="374"/>
  <c r="H117" i="374"/>
  <c r="A117" i="374"/>
  <c r="G117" i="374"/>
  <c r="H116" i="374"/>
  <c r="A116" i="374"/>
  <c r="G116" i="374"/>
  <c r="H115" i="374"/>
  <c r="A115" i="374"/>
  <c r="G115" i="374"/>
  <c r="H114" i="374"/>
  <c r="A114" i="374"/>
  <c r="G114" i="374"/>
  <c r="H113" i="374"/>
  <c r="G113" i="374"/>
  <c r="A113" i="374"/>
  <c r="H112" i="374"/>
  <c r="G112" i="374"/>
  <c r="A112" i="374"/>
  <c r="H111" i="374"/>
  <c r="A111" i="374"/>
  <c r="G111" i="374"/>
  <c r="H110" i="374"/>
  <c r="A110" i="374"/>
  <c r="G110" i="374"/>
  <c r="H109" i="374"/>
  <c r="A109" i="374"/>
  <c r="G109" i="374"/>
  <c r="H108" i="374"/>
  <c r="G108" i="374"/>
  <c r="A108" i="374"/>
  <c r="B107" i="374"/>
  <c r="H106" i="374"/>
  <c r="G106" i="374"/>
  <c r="A106" i="374"/>
  <c r="H105" i="374"/>
  <c r="A105" i="374"/>
  <c r="G105" i="374"/>
  <c r="H104" i="374"/>
  <c r="A104" i="374"/>
  <c r="G104" i="374"/>
  <c r="H103" i="374"/>
  <c r="A103" i="374"/>
  <c r="G103" i="374"/>
  <c r="H102" i="374"/>
  <c r="A102" i="374"/>
  <c r="G102" i="374"/>
  <c r="H101" i="374"/>
  <c r="A101" i="374"/>
  <c r="G101" i="374"/>
  <c r="H100" i="374"/>
  <c r="A100" i="374"/>
  <c r="G100" i="374"/>
  <c r="H99" i="374"/>
  <c r="A99" i="374"/>
  <c r="G99" i="374"/>
  <c r="H98" i="374"/>
  <c r="A98" i="374"/>
  <c r="G98" i="374"/>
  <c r="H97" i="374"/>
  <c r="A97" i="374"/>
  <c r="G97" i="374"/>
  <c r="H96" i="374"/>
  <c r="A96" i="374"/>
  <c r="G96" i="374"/>
  <c r="H95" i="374"/>
  <c r="A95" i="374"/>
  <c r="G95" i="374"/>
  <c r="B94" i="374"/>
  <c r="H93" i="374"/>
  <c r="A93" i="374"/>
  <c r="G93" i="374"/>
  <c r="H92" i="374"/>
  <c r="A92" i="374"/>
  <c r="G92" i="374"/>
  <c r="H91" i="374"/>
  <c r="A91" i="374"/>
  <c r="G91" i="374"/>
  <c r="H90" i="374"/>
  <c r="A90" i="374"/>
  <c r="G90" i="374"/>
  <c r="H89" i="374"/>
  <c r="A89" i="374"/>
  <c r="G89" i="374"/>
  <c r="H88" i="374"/>
  <c r="A88" i="374"/>
  <c r="G88" i="374"/>
  <c r="H87" i="374"/>
  <c r="A87" i="374"/>
  <c r="G87" i="374"/>
  <c r="H86" i="374"/>
  <c r="A86" i="374"/>
  <c r="G86" i="374"/>
  <c r="H85" i="374"/>
  <c r="A85" i="374"/>
  <c r="G85" i="374"/>
  <c r="H84" i="374"/>
  <c r="A84" i="374"/>
  <c r="G84" i="374"/>
  <c r="H83" i="374"/>
  <c r="A83" i="374"/>
  <c r="G83" i="374"/>
  <c r="H82" i="374"/>
  <c r="A82" i="374"/>
  <c r="G82" i="374"/>
  <c r="H81" i="374"/>
  <c r="A81" i="374"/>
  <c r="G81" i="374"/>
  <c r="H80" i="374"/>
  <c r="A80" i="374"/>
  <c r="G80" i="374"/>
  <c r="H79" i="374"/>
  <c r="A79" i="374"/>
  <c r="G79" i="374"/>
  <c r="H78" i="374"/>
  <c r="A78" i="374"/>
  <c r="G78" i="374"/>
  <c r="H77" i="374"/>
  <c r="A77" i="374"/>
  <c r="G77" i="374"/>
  <c r="H76" i="374"/>
  <c r="A76" i="374"/>
  <c r="G76" i="374"/>
  <c r="H75" i="374"/>
  <c r="A75" i="374"/>
  <c r="G75" i="374"/>
  <c r="H74" i="374"/>
  <c r="A74" i="374"/>
  <c r="G74" i="374"/>
  <c r="H73" i="374"/>
  <c r="A73" i="374"/>
  <c r="G73" i="374"/>
  <c r="B72" i="374"/>
  <c r="B71" i="374"/>
  <c r="H69" i="374"/>
  <c r="A69" i="374"/>
  <c r="G69" i="374"/>
  <c r="H68" i="374"/>
  <c r="A68" i="374"/>
  <c r="G68" i="374"/>
  <c r="H67" i="374"/>
  <c r="A67" i="374"/>
  <c r="G67" i="374"/>
  <c r="H66" i="374"/>
  <c r="A66" i="374"/>
  <c r="G66" i="374"/>
  <c r="H65" i="374"/>
  <c r="A65" i="374"/>
  <c r="G65" i="374"/>
  <c r="H64" i="374"/>
  <c r="G64" i="374"/>
  <c r="A64" i="374"/>
  <c r="H63" i="374"/>
  <c r="G63" i="374"/>
  <c r="A63" i="374"/>
  <c r="H62" i="374"/>
  <c r="A62" i="374"/>
  <c r="G62" i="374"/>
  <c r="H61" i="374"/>
  <c r="A61" i="374"/>
  <c r="G61" i="374"/>
  <c r="H60" i="374"/>
  <c r="A60" i="374"/>
  <c r="G60" i="374"/>
  <c r="H59" i="374"/>
  <c r="G59" i="374"/>
  <c r="A59" i="374"/>
  <c r="H56" i="374"/>
  <c r="A56" i="374"/>
  <c r="G56" i="374"/>
  <c r="H55" i="374"/>
  <c r="A55" i="374"/>
  <c r="G55" i="374"/>
  <c r="H54" i="374"/>
  <c r="G54" i="374"/>
  <c r="A54" i="374"/>
  <c r="H53" i="374"/>
  <c r="A53" i="374"/>
  <c r="G53" i="374"/>
  <c r="H52" i="374"/>
  <c r="A52" i="374"/>
  <c r="G52" i="374"/>
  <c r="H51" i="374"/>
  <c r="A51" i="374"/>
  <c r="G51" i="374"/>
  <c r="H50" i="374"/>
  <c r="A50" i="374"/>
  <c r="G50" i="374"/>
  <c r="H49" i="374"/>
  <c r="G49" i="374"/>
  <c r="A49" i="374"/>
  <c r="H48" i="374"/>
  <c r="A48" i="374"/>
  <c r="G48" i="374"/>
  <c r="H47" i="374"/>
  <c r="A47" i="374"/>
  <c r="G47" i="374"/>
  <c r="H46" i="374"/>
  <c r="A46" i="374"/>
  <c r="G46" i="374"/>
  <c r="H45" i="374"/>
  <c r="A45" i="374"/>
  <c r="G45" i="374"/>
  <c r="H44" i="374"/>
  <c r="A44" i="374"/>
  <c r="G44" i="374"/>
  <c r="H43" i="374"/>
  <c r="A43" i="374"/>
  <c r="G43" i="374"/>
  <c r="H42" i="374"/>
  <c r="A42" i="374"/>
  <c r="G42" i="374"/>
  <c r="H41" i="374"/>
  <c r="A41" i="374"/>
  <c r="G41" i="374"/>
  <c r="H40" i="374"/>
  <c r="A40" i="374"/>
  <c r="G40" i="374"/>
  <c r="H39" i="374"/>
  <c r="A39" i="374"/>
  <c r="G39" i="374"/>
  <c r="B38" i="374"/>
  <c r="H37" i="374"/>
  <c r="A37" i="374"/>
  <c r="G37" i="374"/>
  <c r="H36" i="374"/>
  <c r="A36" i="374"/>
  <c r="G36" i="374"/>
  <c r="H35" i="374"/>
  <c r="A35" i="374"/>
  <c r="G35" i="374"/>
  <c r="H34" i="374"/>
  <c r="A34" i="374"/>
  <c r="G34" i="374"/>
  <c r="H33" i="374"/>
  <c r="A33" i="374"/>
  <c r="G33" i="374"/>
  <c r="B32" i="374"/>
  <c r="H31" i="374"/>
  <c r="A31" i="374"/>
  <c r="G31" i="374"/>
  <c r="B30" i="374"/>
  <c r="H29" i="374"/>
  <c r="A29" i="374"/>
  <c r="G29" i="374"/>
  <c r="H28" i="374"/>
  <c r="A28" i="374"/>
  <c r="G28" i="374"/>
  <c r="H27" i="374"/>
  <c r="A27" i="374"/>
  <c r="G27" i="374"/>
  <c r="B26" i="374"/>
  <c r="H25" i="374"/>
  <c r="A25" i="374"/>
  <c r="G25" i="374"/>
  <c r="H24" i="374"/>
  <c r="A24" i="374"/>
  <c r="G24" i="374"/>
  <c r="H23" i="374"/>
  <c r="A23" i="374"/>
  <c r="G23" i="374"/>
  <c r="B22" i="374"/>
  <c r="H21" i="374"/>
  <c r="A21" i="374"/>
  <c r="G21" i="374"/>
  <c r="H20" i="374"/>
  <c r="A20" i="374"/>
  <c r="G20" i="374"/>
  <c r="B19" i="374"/>
  <c r="H18" i="374"/>
  <c r="A18" i="374"/>
  <c r="G18" i="374"/>
  <c r="B17" i="374"/>
  <c r="H16" i="374"/>
  <c r="A16" i="374"/>
  <c r="G16" i="374"/>
  <c r="H15" i="374"/>
  <c r="G15" i="374"/>
  <c r="A15" i="374"/>
  <c r="H14" i="374"/>
  <c r="A14" i="374"/>
  <c r="G14" i="374"/>
  <c r="H13" i="374"/>
  <c r="A13" i="374"/>
  <c r="G13" i="374"/>
  <c r="H12" i="374"/>
  <c r="G12" i="374"/>
  <c r="A12" i="374"/>
  <c r="B11" i="374"/>
  <c r="B10" i="374"/>
  <c r="J7" i="374"/>
  <c r="I7" i="374"/>
  <c r="H7" i="374"/>
  <c r="G7" i="374"/>
  <c r="F7" i="374"/>
  <c r="E7" i="374"/>
  <c r="D7" i="374"/>
  <c r="C7" i="374"/>
  <c r="B7" i="374"/>
  <c r="A7" i="374"/>
  <c r="L4" i="374"/>
  <c r="P3" i="374"/>
  <c r="I3" i="374"/>
  <c r="S351" i="374"/>
  <c r="S379" i="374"/>
  <c r="S388" i="374"/>
  <c r="S393" i="374"/>
  <c r="Q407" i="374"/>
  <c r="R407" i="374"/>
  <c r="O340" i="374"/>
  <c r="Q440" i="374"/>
  <c r="R440" i="374"/>
  <c r="S455" i="374"/>
  <c r="J534" i="374"/>
  <c r="S387" i="374"/>
  <c r="Q340" i="374"/>
  <c r="R340" i="374"/>
  <c r="S395" i="374"/>
  <c r="Q398" i="374"/>
  <c r="R398" i="374"/>
  <c r="Q450" i="374"/>
  <c r="R450" i="374"/>
  <c r="Q403" i="374"/>
  <c r="R403" i="374"/>
  <c r="S382" i="374"/>
  <c r="S394" i="374"/>
  <c r="Q416" i="374"/>
  <c r="R416" i="374"/>
  <c r="S434" i="374"/>
  <c r="Q446" i="374"/>
  <c r="R446" i="374"/>
  <c r="J535" i="374"/>
  <c r="S427" i="374"/>
  <c r="S419" i="374"/>
  <c r="E6" i="374"/>
  <c r="S334" i="374"/>
  <c r="S338" i="374"/>
  <c r="Q342" i="374"/>
  <c r="R342" i="374"/>
  <c r="S381" i="374"/>
  <c r="S400" i="374"/>
  <c r="Q413" i="374"/>
  <c r="R413" i="374"/>
  <c r="S448" i="374"/>
  <c r="AC549" i="374"/>
  <c r="B549" i="374"/>
  <c r="S337" i="374"/>
  <c r="C343" i="374"/>
  <c r="A343" i="374"/>
  <c r="Q353" i="374"/>
  <c r="R353" i="374"/>
  <c r="S383" i="374"/>
  <c r="Q421" i="374"/>
  <c r="R421" i="374"/>
  <c r="Q431" i="374"/>
  <c r="R431" i="374"/>
  <c r="Q345" i="374"/>
  <c r="R345" i="374"/>
  <c r="G361" i="374"/>
  <c r="S399" i="374"/>
  <c r="S418" i="374"/>
  <c r="S433" i="374"/>
  <c r="S437" i="374"/>
  <c r="S447" i="374"/>
  <c r="S408" i="374"/>
  <c r="AC551" i="374"/>
  <c r="B551" i="374"/>
  <c r="S335" i="374"/>
  <c r="D342" i="374"/>
  <c r="Q349" i="374"/>
  <c r="R349" i="374"/>
  <c r="S374" i="374"/>
  <c r="Q396" i="374"/>
  <c r="R396" i="374"/>
  <c r="Q411" i="374"/>
  <c r="R411" i="374"/>
  <c r="S417" i="374"/>
  <c r="S435" i="374"/>
  <c r="Q452" i="374"/>
  <c r="R452" i="374"/>
  <c r="S426" i="374"/>
  <c r="Q445" i="374"/>
  <c r="R445" i="374"/>
  <c r="S79" i="350"/>
  <c r="S78" i="350"/>
  <c r="B83" i="350"/>
  <c r="Q361" i="374"/>
  <c r="R361" i="374"/>
  <c r="D361" i="374"/>
  <c r="H361" i="374"/>
  <c r="S373" i="374"/>
  <c r="S370" i="374"/>
  <c r="S372" i="374"/>
  <c r="S365" i="374"/>
  <c r="S364" i="374"/>
  <c r="S430" i="374"/>
  <c r="Q430" i="374"/>
  <c r="R430" i="374"/>
  <c r="B552" i="374"/>
  <c r="C644" i="374"/>
  <c r="D644" i="374"/>
  <c r="E644" i="374"/>
  <c r="I6" i="374"/>
  <c r="S357" i="374"/>
  <c r="Q357" i="374"/>
  <c r="R357" i="374"/>
  <c r="S412" i="374"/>
  <c r="Q412" i="374"/>
  <c r="R412" i="374"/>
  <c r="S432" i="374"/>
  <c r="Q432" i="374"/>
  <c r="R432" i="374"/>
  <c r="C645" i="374"/>
  <c r="D645" i="374"/>
  <c r="E645" i="374"/>
  <c r="F649" i="374"/>
  <c r="B3" i="374"/>
  <c r="C4" i="374"/>
  <c r="J6" i="374"/>
  <c r="D343" i="374"/>
  <c r="S367" i="374"/>
  <c r="S375" i="374"/>
  <c r="S384" i="374"/>
  <c r="S414" i="374"/>
  <c r="Q414" i="374"/>
  <c r="R414" i="374"/>
  <c r="Q442" i="374"/>
  <c r="R442" i="374"/>
  <c r="C640" i="374"/>
  <c r="D640" i="374"/>
  <c r="E640" i="374"/>
  <c r="S346" i="374"/>
  <c r="Q346" i="374"/>
  <c r="R346" i="374"/>
  <c r="S439" i="374"/>
  <c r="Q439" i="374"/>
  <c r="R439" i="374"/>
  <c r="F545" i="374"/>
  <c r="H541" i="374"/>
  <c r="C641" i="374"/>
  <c r="D641" i="374"/>
  <c r="E641" i="374"/>
  <c r="F645" i="374"/>
  <c r="Q339" i="374"/>
  <c r="R339" i="374"/>
  <c r="H342" i="374"/>
  <c r="Q350" i="374"/>
  <c r="R350" i="374"/>
  <c r="S369" i="374"/>
  <c r="S377" i="374"/>
  <c r="Q406" i="374"/>
  <c r="R406" i="374"/>
  <c r="Q424" i="374"/>
  <c r="R424" i="374"/>
  <c r="S441" i="374"/>
  <c r="Q441" i="374"/>
  <c r="R441" i="374"/>
  <c r="Q454" i="374"/>
  <c r="R454" i="374"/>
  <c r="F646" i="374"/>
  <c r="B649" i="374"/>
  <c r="B645" i="374"/>
  <c r="B641" i="374"/>
  <c r="F648" i="374"/>
  <c r="F644" i="374"/>
  <c r="F640" i="374"/>
  <c r="B546" i="374"/>
  <c r="B543" i="374"/>
  <c r="C646" i="374"/>
  <c r="D646" i="374"/>
  <c r="E646" i="374"/>
  <c r="C642" i="374"/>
  <c r="D642" i="374"/>
  <c r="E642" i="374"/>
  <c r="B646" i="374"/>
  <c r="B642" i="374"/>
  <c r="B648" i="374"/>
  <c r="B644" i="374"/>
  <c r="B640" i="374"/>
  <c r="C3" i="374"/>
  <c r="G342" i="374"/>
  <c r="S356" i="374"/>
  <c r="Q356" i="374"/>
  <c r="R356" i="374"/>
  <c r="D6" i="374"/>
  <c r="H6" i="374"/>
  <c r="A6" i="374"/>
  <c r="H343" i="374"/>
  <c r="S354" i="374"/>
  <c r="Q354" i="374"/>
  <c r="R354" i="374"/>
  <c r="S360" i="374"/>
  <c r="Q360" i="374"/>
  <c r="R360" i="374"/>
  <c r="S402" i="374"/>
  <c r="Q402" i="374"/>
  <c r="R402" i="374"/>
  <c r="S420" i="374"/>
  <c r="Q420" i="374"/>
  <c r="R420" i="374"/>
  <c r="S451" i="374"/>
  <c r="Q451" i="374"/>
  <c r="R451" i="374"/>
  <c r="J536" i="374"/>
  <c r="F641" i="374"/>
  <c r="B4" i="374"/>
  <c r="D4" i="374"/>
  <c r="K6" i="374"/>
  <c r="F6" i="374"/>
  <c r="G6" i="374"/>
  <c r="S352" i="374"/>
  <c r="D3" i="374"/>
  <c r="O342" i="374"/>
  <c r="Q343" i="374"/>
  <c r="R343" i="374"/>
  <c r="S371" i="374"/>
  <c r="S380" i="374"/>
  <c r="S405" i="374"/>
  <c r="Q405" i="374"/>
  <c r="R405" i="374"/>
  <c r="S423" i="374"/>
  <c r="Q423" i="374"/>
  <c r="R423" i="374"/>
  <c r="S453" i="374"/>
  <c r="Q453" i="374"/>
  <c r="R453" i="374"/>
  <c r="F642" i="374"/>
  <c r="C648" i="374"/>
  <c r="D648" i="374"/>
  <c r="E648" i="374"/>
  <c r="Q348" i="374"/>
  <c r="R348" i="374"/>
  <c r="S358" i="374"/>
  <c r="Q358" i="374"/>
  <c r="R358" i="374"/>
  <c r="C362" i="374"/>
  <c r="Q362" i="374"/>
  <c r="R362" i="374"/>
  <c r="S368" i="374"/>
  <c r="S376" i="374"/>
  <c r="S385" i="374"/>
  <c r="H471" i="374"/>
  <c r="A471" i="374"/>
  <c r="G471" i="374"/>
  <c r="C649" i="374"/>
  <c r="D649" i="374"/>
  <c r="E649" i="374"/>
  <c r="G343" i="374"/>
  <c r="S83" i="350"/>
  <c r="S82" i="350"/>
  <c r="A362" i="374"/>
  <c r="G362" i="374"/>
  <c r="D362" i="374"/>
  <c r="H362" i="374"/>
  <c r="E4" i="374"/>
  <c r="F4" i="374"/>
  <c r="H3" i="374"/>
  <c r="H4" i="374"/>
  <c r="I4" i="374"/>
  <c r="J4" i="374"/>
  <c r="F3" i="374"/>
  <c r="B23" i="350"/>
  <c r="G4" i="374"/>
  <c r="F655" i="374"/>
  <c r="B655" i="374"/>
  <c r="C655" i="374"/>
  <c r="D655" i="374"/>
  <c r="E655" i="374"/>
  <c r="B651" i="374"/>
  <c r="B652" i="374"/>
  <c r="F651" i="374"/>
  <c r="F652" i="374"/>
  <c r="C651" i="374"/>
  <c r="D651" i="374"/>
  <c r="E651" i="374"/>
  <c r="C652" i="374"/>
  <c r="D652" i="374"/>
  <c r="E652" i="374"/>
  <c r="F654" i="374"/>
  <c r="B654" i="374"/>
  <c r="C654" i="374"/>
  <c r="D654" i="374"/>
  <c r="E654" i="374"/>
  <c r="A426" i="82"/>
  <c r="A429" i="82"/>
  <c r="A430" i="82"/>
  <c r="A431" i="82"/>
  <c r="A432" i="82"/>
  <c r="A421" i="82"/>
  <c r="A417" i="82"/>
  <c r="A418" i="82"/>
  <c r="A419" i="82"/>
  <c r="A420" i="82"/>
  <c r="C81" i="350"/>
  <c r="J70" i="350"/>
  <c r="J66" i="350"/>
  <c r="J61" i="350"/>
  <c r="J57" i="350"/>
  <c r="J53" i="350"/>
  <c r="J49" i="350"/>
  <c r="J45" i="350"/>
  <c r="J40" i="350"/>
  <c r="J36" i="350"/>
  <c r="J32" i="350"/>
  <c r="C69" i="350"/>
  <c r="C31" i="350"/>
  <c r="J28" i="350"/>
  <c r="C27" i="350"/>
  <c r="S66" i="350"/>
  <c r="J82" i="350"/>
  <c r="J78" i="350"/>
  <c r="B465" i="18"/>
  <c r="B464" i="18"/>
  <c r="H106" i="18"/>
  <c r="A106" i="18"/>
  <c r="G106" i="18"/>
  <c r="H112" i="18"/>
  <c r="A112" i="18"/>
  <c r="G112" i="18"/>
  <c r="H111" i="18"/>
  <c r="A111" i="18"/>
  <c r="G111" i="18"/>
  <c r="H110" i="18"/>
  <c r="A110" i="18"/>
  <c r="G110" i="18"/>
  <c r="H109" i="18"/>
  <c r="A109" i="18"/>
  <c r="G109" i="18"/>
  <c r="H108" i="18"/>
  <c r="A108" i="18"/>
  <c r="G108" i="18"/>
  <c r="H107" i="18"/>
  <c r="A107" i="18"/>
  <c r="G107" i="18"/>
  <c r="H105" i="18"/>
  <c r="A105" i="18"/>
  <c r="G105" i="18"/>
  <c r="H104" i="18"/>
  <c r="A104" i="18"/>
  <c r="G104" i="18"/>
  <c r="H103" i="18"/>
  <c r="A103" i="18"/>
  <c r="G103" i="18"/>
  <c r="A6" i="86"/>
  <c r="W34" i="92"/>
  <c r="H77" i="18"/>
  <c r="A77" i="18"/>
  <c r="G77" i="18"/>
  <c r="U30" i="92"/>
  <c r="T23" i="92"/>
  <c r="H127" i="18"/>
  <c r="A127" i="18"/>
  <c r="G127" i="18"/>
  <c r="H87" i="18"/>
  <c r="A87" i="18"/>
  <c r="G87" i="18"/>
  <c r="V13" i="92"/>
  <c r="W13" i="92"/>
  <c r="V14" i="92"/>
  <c r="W14" i="92"/>
  <c r="V12" i="92"/>
  <c r="V30" i="92"/>
  <c r="AF102" i="350"/>
  <c r="AF99" i="350"/>
  <c r="AF96" i="350"/>
  <c r="AF93" i="350"/>
  <c r="AF90" i="350"/>
  <c r="C1" i="90"/>
  <c r="D1" i="90"/>
  <c r="E1" i="90"/>
  <c r="F1" i="90"/>
  <c r="G1" i="90"/>
  <c r="H1" i="90"/>
  <c r="I1" i="90"/>
  <c r="J1" i="90"/>
  <c r="K1" i="90"/>
  <c r="L1" i="90"/>
  <c r="M1" i="90"/>
  <c r="N1" i="90"/>
  <c r="O1" i="90"/>
  <c r="P1" i="90"/>
  <c r="BM8" i="407"/>
  <c r="BM10" i="407"/>
  <c r="BM6" i="407"/>
  <c r="BM11" i="407"/>
  <c r="BM14" i="407"/>
  <c r="BM7" i="407"/>
  <c r="BM12" i="407"/>
  <c r="CW14" i="407"/>
  <c r="CW7" i="407"/>
  <c r="CW8" i="407"/>
  <c r="CW6" i="407"/>
  <c r="CW10" i="407"/>
  <c r="CW11" i="407"/>
  <c r="CW12" i="407"/>
  <c r="BI12" i="407"/>
  <c r="BI6" i="407"/>
  <c r="BI14" i="407"/>
  <c r="BI7" i="407"/>
  <c r="BI11" i="407"/>
  <c r="BI8" i="407"/>
  <c r="BI10" i="407"/>
  <c r="BL8" i="407"/>
  <c r="BL6" i="407"/>
  <c r="BL10" i="407"/>
  <c r="BL14" i="407"/>
  <c r="BL11" i="407"/>
  <c r="BL7" i="407"/>
  <c r="BL12" i="407"/>
  <c r="BN7" i="407"/>
  <c r="CG7" i="407"/>
  <c r="BN10" i="407"/>
  <c r="CG10" i="407"/>
  <c r="BN8" i="407"/>
  <c r="CG8" i="407"/>
  <c r="BN11" i="407"/>
  <c r="CG11" i="407"/>
  <c r="BN12" i="407"/>
  <c r="CG12" i="407"/>
  <c r="BN6" i="407"/>
  <c r="CG6" i="407"/>
  <c r="BN14" i="407"/>
  <c r="CG14" i="407"/>
  <c r="BK14" i="407"/>
  <c r="BK7" i="407"/>
  <c r="BK8" i="407"/>
  <c r="BK6" i="407"/>
  <c r="BK12" i="407"/>
  <c r="BK11" i="407"/>
  <c r="BK10" i="407"/>
  <c r="BJ6" i="407"/>
  <c r="BJ11" i="407"/>
  <c r="BJ14" i="407"/>
  <c r="BJ7" i="407"/>
  <c r="BJ8" i="407"/>
  <c r="BJ10" i="407"/>
  <c r="BJ12" i="407"/>
  <c r="CQ10" i="407"/>
  <c r="X10" i="407"/>
  <c r="CQ12" i="407"/>
  <c r="X12" i="407"/>
  <c r="E12" i="407"/>
  <c r="F12" i="407"/>
  <c r="CQ14" i="407"/>
  <c r="X14" i="407"/>
  <c r="E14" i="407"/>
  <c r="F14" i="407"/>
  <c r="CQ7" i="407"/>
  <c r="X7" i="407"/>
  <c r="CQ11" i="407"/>
  <c r="X11" i="407"/>
  <c r="CQ8" i="407"/>
  <c r="X8" i="407"/>
  <c r="CQ6" i="407"/>
  <c r="X6" i="407"/>
  <c r="CP11" i="407"/>
  <c r="T11" i="407"/>
  <c r="CP12" i="407"/>
  <c r="T12" i="407"/>
  <c r="CP10" i="407"/>
  <c r="T10" i="407"/>
  <c r="E10" i="407"/>
  <c r="F10" i="407"/>
  <c r="CP6" i="407"/>
  <c r="T6" i="407"/>
  <c r="CP14" i="407"/>
  <c r="T14" i="407"/>
  <c r="CP7" i="407"/>
  <c r="T7" i="407"/>
  <c r="CP8" i="407"/>
  <c r="T8" i="407"/>
  <c r="BO10" i="407"/>
  <c r="BO11" i="407"/>
  <c r="BO8" i="407"/>
  <c r="BO12" i="407"/>
  <c r="BO6" i="407"/>
  <c r="BO14" i="407"/>
  <c r="BO7" i="407"/>
  <c r="BN6" i="350"/>
  <c r="CG6" i="350"/>
  <c r="BN7" i="350"/>
  <c r="CG7" i="350"/>
  <c r="BM6" i="350"/>
  <c r="BM7" i="350"/>
  <c r="BL7" i="350"/>
  <c r="BL6" i="350"/>
  <c r="BO7" i="350"/>
  <c r="BO6" i="350"/>
  <c r="CW6" i="350"/>
  <c r="CW7" i="350"/>
  <c r="BK7" i="350"/>
  <c r="BJ7" i="350"/>
  <c r="BJ6" i="350"/>
  <c r="BI6" i="350"/>
  <c r="BI7" i="350"/>
  <c r="CP7" i="350"/>
  <c r="T7" i="350"/>
  <c r="CP6" i="350"/>
  <c r="T6" i="350"/>
  <c r="R190" i="350"/>
  <c r="R185" i="350"/>
  <c r="R186" i="350"/>
  <c r="R187" i="350"/>
  <c r="R188" i="350"/>
  <c r="R189" i="350"/>
  <c r="Q190" i="350"/>
  <c r="E6" i="407"/>
  <c r="F6" i="407"/>
  <c r="E8" i="407"/>
  <c r="F8" i="407"/>
  <c r="CV8" i="407"/>
  <c r="E11" i="407"/>
  <c r="F11" i="407"/>
  <c r="CV11" i="407"/>
  <c r="P8" i="407"/>
  <c r="CE8" i="407"/>
  <c r="GM8" i="407"/>
  <c r="CX12" i="407"/>
  <c r="BH12" i="407"/>
  <c r="CY12" i="407"/>
  <c r="BG12" i="407"/>
  <c r="I12" i="407"/>
  <c r="G12" i="407"/>
  <c r="CX11" i="407"/>
  <c r="BH11" i="407"/>
  <c r="BG11" i="407"/>
  <c r="I11" i="407"/>
  <c r="CY11" i="407"/>
  <c r="P10" i="407"/>
  <c r="CD10" i="407"/>
  <c r="GG10" i="407"/>
  <c r="CV6" i="407"/>
  <c r="H6" i="407"/>
  <c r="BH14" i="407"/>
  <c r="BG14" i="407"/>
  <c r="CY14" i="407"/>
  <c r="CX14" i="407"/>
  <c r="P6" i="407"/>
  <c r="CE6" i="407"/>
  <c r="E7" i="407"/>
  <c r="F7" i="407"/>
  <c r="H10" i="407"/>
  <c r="CV10" i="407"/>
  <c r="CV12" i="407"/>
  <c r="H12" i="407"/>
  <c r="P7" i="407"/>
  <c r="CB7" i="407"/>
  <c r="FU7" i="407"/>
  <c r="BG6" i="407"/>
  <c r="CY6" i="407"/>
  <c r="BH6" i="407"/>
  <c r="CX6" i="407"/>
  <c r="H14" i="407"/>
  <c r="CV14" i="407"/>
  <c r="BG10" i="407"/>
  <c r="CX10" i="407"/>
  <c r="CY10" i="407"/>
  <c r="BH10" i="407"/>
  <c r="P11" i="407"/>
  <c r="CE11" i="407"/>
  <c r="GM11" i="407"/>
  <c r="CX8" i="407"/>
  <c r="BG8" i="407"/>
  <c r="I8" i="407"/>
  <c r="G8" i="407"/>
  <c r="BH8" i="407"/>
  <c r="CY8" i="407"/>
  <c r="P12" i="407"/>
  <c r="CB12" i="407"/>
  <c r="FU12" i="407"/>
  <c r="P14" i="407"/>
  <c r="CD14" i="407"/>
  <c r="GG14" i="407"/>
  <c r="CY7" i="407"/>
  <c r="BH7" i="407"/>
  <c r="CX7" i="407"/>
  <c r="BG7" i="407"/>
  <c r="I7" i="407"/>
  <c r="P6" i="350"/>
  <c r="CY6" i="350"/>
  <c r="BG6" i="350"/>
  <c r="I6" i="350"/>
  <c r="CX6" i="350"/>
  <c r="BH6" i="350"/>
  <c r="P7" i="350"/>
  <c r="CY7" i="350"/>
  <c r="BH7" i="350"/>
  <c r="BP7" i="350"/>
  <c r="CX7" i="350"/>
  <c r="BG7" i="350"/>
  <c r="I7" i="350"/>
  <c r="AF26" i="350"/>
  <c r="AF24" i="350"/>
  <c r="G169" i="350"/>
  <c r="I82" i="350"/>
  <c r="C85" i="350"/>
  <c r="CE14" i="407"/>
  <c r="GM14" i="407"/>
  <c r="CB11" i="407"/>
  <c r="FU11" i="407"/>
  <c r="CB10" i="407"/>
  <c r="FU10" i="407"/>
  <c r="H8" i="407"/>
  <c r="CD6" i="407"/>
  <c r="CB14" i="407"/>
  <c r="FU14" i="407"/>
  <c r="FV14" i="407"/>
  <c r="FY14" i="407"/>
  <c r="CD12" i="407"/>
  <c r="GG12" i="407"/>
  <c r="GI12" i="407"/>
  <c r="GJ12" i="407"/>
  <c r="H11" i="407"/>
  <c r="CE12" i="407"/>
  <c r="GM12" i="407"/>
  <c r="GO12" i="407"/>
  <c r="GP12" i="407"/>
  <c r="CB6" i="407"/>
  <c r="FU6" i="407"/>
  <c r="CE7" i="407"/>
  <c r="GM7" i="407"/>
  <c r="FX7" i="407"/>
  <c r="FV7" i="407"/>
  <c r="FY7" i="407"/>
  <c r="FW7" i="407"/>
  <c r="I14" i="407"/>
  <c r="E13" i="407"/>
  <c r="BS11" i="407"/>
  <c r="DS11" i="407"/>
  <c r="BX11" i="407"/>
  <c r="EW11" i="407"/>
  <c r="EZ11" i="407"/>
  <c r="BW11" i="407"/>
  <c r="EQ11" i="407"/>
  <c r="BT11" i="407"/>
  <c r="DY11" i="407"/>
  <c r="EB11" i="407"/>
  <c r="BR11" i="407"/>
  <c r="DM11" i="407"/>
  <c r="DP11" i="407"/>
  <c r="CF11" i="407"/>
  <c r="GS11" i="407"/>
  <c r="GT11" i="407"/>
  <c r="GW11" i="407"/>
  <c r="CC11" i="407"/>
  <c r="GA11" i="407"/>
  <c r="GD11" i="407"/>
  <c r="CA11" i="407"/>
  <c r="FO11" i="407"/>
  <c r="FR11" i="407"/>
  <c r="BU11" i="407"/>
  <c r="EE11" i="407"/>
  <c r="BV11" i="407"/>
  <c r="EK11" i="407"/>
  <c r="BY11" i="407"/>
  <c r="FC11" i="407"/>
  <c r="BZ11" i="407"/>
  <c r="FI11" i="407"/>
  <c r="FL11" i="407"/>
  <c r="GN8" i="407"/>
  <c r="GQ8" i="407"/>
  <c r="GO8" i="407"/>
  <c r="GP8" i="407"/>
  <c r="BP8" i="407"/>
  <c r="BQ8" i="407"/>
  <c r="DH8" i="407"/>
  <c r="BP7" i="407"/>
  <c r="BQ7" i="407"/>
  <c r="DH7" i="407"/>
  <c r="FV10" i="407"/>
  <c r="FY10" i="407"/>
  <c r="I6" i="407"/>
  <c r="E5" i="407"/>
  <c r="CA10" i="407"/>
  <c r="FO10" i="407"/>
  <c r="BV10" i="407"/>
  <c r="EK10" i="407"/>
  <c r="BW10" i="407"/>
  <c r="EQ10" i="407"/>
  <c r="CF10" i="407"/>
  <c r="GS10" i="407"/>
  <c r="GT10" i="407"/>
  <c r="GW10" i="407"/>
  <c r="CC10" i="407"/>
  <c r="GA10" i="407"/>
  <c r="BX10" i="407"/>
  <c r="EW10" i="407"/>
  <c r="BZ10" i="407"/>
  <c r="FI10" i="407"/>
  <c r="BR10" i="407"/>
  <c r="DM10" i="407"/>
  <c r="BU10" i="407"/>
  <c r="EE10" i="407"/>
  <c r="BT10" i="407"/>
  <c r="DY10" i="407"/>
  <c r="BS10" i="407"/>
  <c r="DS10" i="407"/>
  <c r="BY10" i="407"/>
  <c r="FC10" i="407"/>
  <c r="BQ12" i="407"/>
  <c r="DH12" i="407"/>
  <c r="DI12" i="407"/>
  <c r="DK12" i="407"/>
  <c r="BP12" i="407"/>
  <c r="BQ10" i="407"/>
  <c r="DH10" i="407"/>
  <c r="BP10" i="407"/>
  <c r="FV12" i="407"/>
  <c r="FY12" i="407"/>
  <c r="FW12" i="407"/>
  <c r="CC7" i="407"/>
  <c r="GA7" i="407"/>
  <c r="GD7" i="407"/>
  <c r="BZ7" i="407"/>
  <c r="FI7" i="407"/>
  <c r="FL7" i="407"/>
  <c r="BU7" i="407"/>
  <c r="EE7" i="407"/>
  <c r="BX7" i="407"/>
  <c r="EW7" i="407"/>
  <c r="BV7" i="407"/>
  <c r="EK7" i="407"/>
  <c r="BT7" i="407"/>
  <c r="DY7" i="407"/>
  <c r="CF7" i="407"/>
  <c r="GS7" i="407"/>
  <c r="GT7" i="407"/>
  <c r="GW7" i="407"/>
  <c r="BS7" i="407"/>
  <c r="DS7" i="407"/>
  <c r="CA7" i="407"/>
  <c r="FO7" i="407"/>
  <c r="FR7" i="407"/>
  <c r="BR7" i="407"/>
  <c r="DM7" i="407"/>
  <c r="BY7" i="407"/>
  <c r="FC7" i="407"/>
  <c r="BW7" i="407"/>
  <c r="EQ7" i="407"/>
  <c r="ET7" i="407"/>
  <c r="CD11" i="407"/>
  <c r="GG11" i="407"/>
  <c r="BP11" i="407"/>
  <c r="BQ11" i="407"/>
  <c r="DH11" i="407"/>
  <c r="BS8" i="407"/>
  <c r="DS8" i="407"/>
  <c r="DV8" i="407"/>
  <c r="CA8" i="407"/>
  <c r="FO8" i="407"/>
  <c r="FR8" i="407"/>
  <c r="BX8" i="407"/>
  <c r="EW8" i="407"/>
  <c r="EZ8" i="407"/>
  <c r="BU8" i="407"/>
  <c r="EE8" i="407"/>
  <c r="BV8" i="407"/>
  <c r="EK8" i="407"/>
  <c r="EN8" i="407"/>
  <c r="BY8" i="407"/>
  <c r="FC8" i="407"/>
  <c r="CC8" i="407"/>
  <c r="GA8" i="407"/>
  <c r="CF8" i="407"/>
  <c r="GS8" i="407"/>
  <c r="GT8" i="407"/>
  <c r="GW8" i="407"/>
  <c r="BR8" i="407"/>
  <c r="DM8" i="407"/>
  <c r="DP8" i="407"/>
  <c r="BW8" i="407"/>
  <c r="EQ8" i="407"/>
  <c r="ET8" i="407"/>
  <c r="BT8" i="407"/>
  <c r="DY8" i="407"/>
  <c r="EB8" i="407"/>
  <c r="BZ8" i="407"/>
  <c r="FI8" i="407"/>
  <c r="FL8" i="407"/>
  <c r="GN7" i="407"/>
  <c r="GQ7" i="407"/>
  <c r="GO7" i="407"/>
  <c r="GN14" i="407"/>
  <c r="GQ14" i="407"/>
  <c r="CA14" i="407"/>
  <c r="FO14" i="407"/>
  <c r="BU14" i="407"/>
  <c r="EE14" i="407"/>
  <c r="BW14" i="407"/>
  <c r="EQ14" i="407"/>
  <c r="BY14" i="407"/>
  <c r="FC14" i="407"/>
  <c r="BX14" i="407"/>
  <c r="EW14" i="407"/>
  <c r="CC14" i="407"/>
  <c r="GA14" i="407"/>
  <c r="BR14" i="407"/>
  <c r="DM14" i="407"/>
  <c r="BZ14" i="407"/>
  <c r="FI14" i="407"/>
  <c r="CF14" i="407"/>
  <c r="GS14" i="407"/>
  <c r="GT14" i="407"/>
  <c r="GW14" i="407"/>
  <c r="BV14" i="407"/>
  <c r="EK14" i="407"/>
  <c r="BT14" i="407"/>
  <c r="DY14" i="407"/>
  <c r="BS14" i="407"/>
  <c r="DS14" i="407"/>
  <c r="GI10" i="407"/>
  <c r="GH10" i="407"/>
  <c r="GK10" i="407"/>
  <c r="GG6" i="407"/>
  <c r="G7" i="407"/>
  <c r="H7" i="407"/>
  <c r="CV7" i="407"/>
  <c r="CD7" i="407"/>
  <c r="GG7" i="407"/>
  <c r="GJ7" i="407"/>
  <c r="GN11" i="407"/>
  <c r="GQ11" i="407"/>
  <c r="GO11" i="407"/>
  <c r="BQ14" i="407"/>
  <c r="DH14" i="407"/>
  <c r="BP14" i="407"/>
  <c r="FV11" i="407"/>
  <c r="FY11" i="407"/>
  <c r="GH14" i="407"/>
  <c r="GK14" i="407"/>
  <c r="G11" i="407"/>
  <c r="FW11" i="407"/>
  <c r="FX11" i="407"/>
  <c r="GP11" i="407"/>
  <c r="ET11" i="407"/>
  <c r="FF11" i="407"/>
  <c r="GN12" i="407"/>
  <c r="GQ12" i="407"/>
  <c r="I10" i="407"/>
  <c r="E9" i="407"/>
  <c r="BZ6" i="407"/>
  <c r="CC6" i="407"/>
  <c r="BT6" i="407"/>
  <c r="BX6" i="407"/>
  <c r="CA6" i="407"/>
  <c r="CF6" i="407"/>
  <c r="BV6" i="407"/>
  <c r="BU6" i="407"/>
  <c r="BW6" i="407"/>
  <c r="EQ6" i="407"/>
  <c r="BY6" i="407"/>
  <c r="BS6" i="407"/>
  <c r="BR6" i="407"/>
  <c r="CB8" i="407"/>
  <c r="FU8" i="407"/>
  <c r="FX8" i="407"/>
  <c r="FX12" i="407"/>
  <c r="GM6" i="407"/>
  <c r="GP7" i="407"/>
  <c r="EH8" i="407"/>
  <c r="BP6" i="407"/>
  <c r="BQ6" i="407"/>
  <c r="BU12" i="407"/>
  <c r="EE12" i="407"/>
  <c r="CA12" i="407"/>
  <c r="FO12" i="407"/>
  <c r="FR12" i="407"/>
  <c r="CF12" i="407"/>
  <c r="GS12" i="407"/>
  <c r="GT12" i="407"/>
  <c r="GW12" i="407"/>
  <c r="BS12" i="407"/>
  <c r="DS12" i="407"/>
  <c r="DV12" i="407"/>
  <c r="BR12" i="407"/>
  <c r="DM12" i="407"/>
  <c r="DP12" i="407"/>
  <c r="BY12" i="407"/>
  <c r="FC12" i="407"/>
  <c r="BZ12" i="407"/>
  <c r="FI12" i="407"/>
  <c r="FL12" i="407"/>
  <c r="BW12" i="407"/>
  <c r="EQ12" i="407"/>
  <c r="CC12" i="407"/>
  <c r="GA12" i="407"/>
  <c r="GD12" i="407"/>
  <c r="BX12" i="407"/>
  <c r="EW12" i="407"/>
  <c r="EZ12" i="407"/>
  <c r="BV12" i="407"/>
  <c r="EK12" i="407"/>
  <c r="EN12" i="407"/>
  <c r="BT12" i="407"/>
  <c r="DY12" i="407"/>
  <c r="EB12" i="407"/>
  <c r="CE10" i="407"/>
  <c r="GM10" i="407"/>
  <c r="CD8" i="407"/>
  <c r="GG8" i="407"/>
  <c r="HC14" i="350"/>
  <c r="HC19" i="350"/>
  <c r="HC15" i="350"/>
  <c r="HB19" i="350"/>
  <c r="HB15" i="350"/>
  <c r="HB14" i="350"/>
  <c r="HC10" i="350"/>
  <c r="HB10" i="350"/>
  <c r="HB9" i="350"/>
  <c r="FW14" i="407"/>
  <c r="GH12" i="407"/>
  <c r="GK12" i="407"/>
  <c r="GU8" i="407"/>
  <c r="GU7" i="407"/>
  <c r="FX14" i="407"/>
  <c r="GU12" i="407"/>
  <c r="GU11" i="407"/>
  <c r="DJ12" i="407"/>
  <c r="DI14" i="407"/>
  <c r="DK14" i="407"/>
  <c r="GG18" i="407"/>
  <c r="GI6" i="407"/>
  <c r="GH6" i="407"/>
  <c r="EM11" i="407"/>
  <c r="EL11" i="407"/>
  <c r="EO11" i="407"/>
  <c r="FO6" i="407"/>
  <c r="FR6" i="407"/>
  <c r="EM7" i="407"/>
  <c r="EL7" i="407"/>
  <c r="EO7" i="407"/>
  <c r="EG11" i="407"/>
  <c r="EF11" i="407"/>
  <c r="EI11" i="407"/>
  <c r="DU11" i="407"/>
  <c r="DT11" i="407"/>
  <c r="DW11" i="407"/>
  <c r="FJ12" i="407"/>
  <c r="FM12" i="407"/>
  <c r="FK12" i="407"/>
  <c r="DM6" i="407"/>
  <c r="EW6" i="407"/>
  <c r="EX14" i="407"/>
  <c r="FA14" i="407"/>
  <c r="EY14" i="407"/>
  <c r="EL8" i="407"/>
  <c r="EO8" i="407"/>
  <c r="EM8" i="407"/>
  <c r="ES7" i="407"/>
  <c r="ER7" i="407"/>
  <c r="EU7" i="407"/>
  <c r="EZ7" i="407"/>
  <c r="EY7" i="407"/>
  <c r="EX7" i="407"/>
  <c r="FA7" i="407"/>
  <c r="DO10" i="407"/>
  <c r="DN10" i="407"/>
  <c r="DQ10" i="407"/>
  <c r="DJ8" i="407"/>
  <c r="DI8" i="407"/>
  <c r="DK8" i="407"/>
  <c r="FQ11" i="407"/>
  <c r="FP11" i="407"/>
  <c r="FS11" i="407"/>
  <c r="EG12" i="407"/>
  <c r="EF12" i="407"/>
  <c r="EI12" i="407"/>
  <c r="EB10" i="407"/>
  <c r="GP10" i="407"/>
  <c r="FR10" i="407"/>
  <c r="FL10" i="407"/>
  <c r="DP10" i="407"/>
  <c r="EN10" i="407"/>
  <c r="DV10" i="407"/>
  <c r="FF10" i="407"/>
  <c r="EZ10" i="407"/>
  <c r="EH10" i="407"/>
  <c r="ET10" i="407"/>
  <c r="GD10" i="407"/>
  <c r="GJ10" i="407"/>
  <c r="G10" i="407"/>
  <c r="DJ10" i="407"/>
  <c r="EA10" i="407"/>
  <c r="DZ10" i="407"/>
  <c r="EC10" i="407"/>
  <c r="ES12" i="407"/>
  <c r="ER12" i="407"/>
  <c r="EU12" i="407"/>
  <c r="FX6" i="407"/>
  <c r="FV6" i="407"/>
  <c r="FU18" i="407"/>
  <c r="FW6" i="407"/>
  <c r="GI11" i="407"/>
  <c r="GJ11" i="407"/>
  <c r="GH11" i="407"/>
  <c r="GK11" i="407"/>
  <c r="GH8" i="407"/>
  <c r="GK8" i="407"/>
  <c r="GI8" i="407"/>
  <c r="GJ8" i="407"/>
  <c r="FE12" i="407"/>
  <c r="FD12" i="407"/>
  <c r="FG12" i="407"/>
  <c r="GP6" i="407"/>
  <c r="GM18" i="407"/>
  <c r="GO6" i="407"/>
  <c r="GN6" i="407"/>
  <c r="DS6" i="407"/>
  <c r="DY6" i="407"/>
  <c r="GI7" i="407"/>
  <c r="GH7" i="407"/>
  <c r="GK7" i="407"/>
  <c r="DT14" i="407"/>
  <c r="DW14" i="407"/>
  <c r="DU14" i="407"/>
  <c r="FE14" i="407"/>
  <c r="FD14" i="407"/>
  <c r="FG14" i="407"/>
  <c r="FJ8" i="407"/>
  <c r="FM8" i="407"/>
  <c r="FK8" i="407"/>
  <c r="EG8" i="407"/>
  <c r="EF8" i="407"/>
  <c r="EI8" i="407"/>
  <c r="FF7" i="407"/>
  <c r="FE7" i="407"/>
  <c r="FD7" i="407"/>
  <c r="FG7" i="407"/>
  <c r="EH7" i="407"/>
  <c r="EF7" i="407"/>
  <c r="EI7" i="407"/>
  <c r="EG7" i="407"/>
  <c r="FJ10" i="407"/>
  <c r="FM10" i="407"/>
  <c r="FK10" i="407"/>
  <c r="GC11" i="407"/>
  <c r="GB11" i="407"/>
  <c r="GE11" i="407"/>
  <c r="DO14" i="407"/>
  <c r="DN14" i="407"/>
  <c r="DQ14" i="407"/>
  <c r="EY11" i="407"/>
  <c r="EX11" i="407"/>
  <c r="FA11" i="407"/>
  <c r="GC14" i="407"/>
  <c r="GB14" i="407"/>
  <c r="GE14" i="407"/>
  <c r="FP10" i="407"/>
  <c r="FS10" i="407"/>
  <c r="FQ10" i="407"/>
  <c r="GN10" i="407"/>
  <c r="GQ10" i="407"/>
  <c r="GO10" i="407"/>
  <c r="DN12" i="407"/>
  <c r="DQ12" i="407"/>
  <c r="DO12" i="407"/>
  <c r="FF12" i="407"/>
  <c r="FC6" i="407"/>
  <c r="FF6" i="407"/>
  <c r="GA6" i="407"/>
  <c r="GD6" i="407"/>
  <c r="EA14" i="407"/>
  <c r="DZ14" i="407"/>
  <c r="EC14" i="407"/>
  <c r="ES14" i="407"/>
  <c r="ER14" i="407"/>
  <c r="EU14" i="407"/>
  <c r="DZ8" i="407"/>
  <c r="EC8" i="407"/>
  <c r="EA8" i="407"/>
  <c r="EY8" i="407"/>
  <c r="EX8" i="407"/>
  <c r="FA8" i="407"/>
  <c r="DP7" i="407"/>
  <c r="DN7" i="407"/>
  <c r="DQ7" i="407"/>
  <c r="DO7" i="407"/>
  <c r="FJ7" i="407"/>
  <c r="FM7" i="407"/>
  <c r="FK7" i="407"/>
  <c r="EY10" i="407"/>
  <c r="EX10" i="407"/>
  <c r="FA10" i="407"/>
  <c r="GJ6" i="407"/>
  <c r="G6" i="407"/>
  <c r="F5" i="407"/>
  <c r="FR14" i="407"/>
  <c r="ET14" i="407"/>
  <c r="EH14" i="407"/>
  <c r="DV14" i="407"/>
  <c r="EZ14" i="407"/>
  <c r="EN14" i="407"/>
  <c r="DP14" i="407"/>
  <c r="EB14" i="407"/>
  <c r="FF14" i="407"/>
  <c r="FL14" i="407"/>
  <c r="GD14" i="407"/>
  <c r="G14" i="407"/>
  <c r="GS6" i="407"/>
  <c r="EB7" i="407"/>
  <c r="EA7" i="407"/>
  <c r="DZ7" i="407"/>
  <c r="EC7" i="407"/>
  <c r="DH6" i="407"/>
  <c r="EH12" i="407"/>
  <c r="FE8" i="407"/>
  <c r="FD8" i="407"/>
  <c r="FG8" i="407"/>
  <c r="EG10" i="407"/>
  <c r="EF10" i="407"/>
  <c r="EI10" i="407"/>
  <c r="DT12" i="407"/>
  <c r="DW12" i="407"/>
  <c r="DU12" i="407"/>
  <c r="EN7" i="407"/>
  <c r="ET6" i="407"/>
  <c r="ES6" i="407"/>
  <c r="EQ18" i="407"/>
  <c r="ER6" i="407"/>
  <c r="FI6" i="407"/>
  <c r="DV11" i="407"/>
  <c r="EL14" i="407"/>
  <c r="EO14" i="407"/>
  <c r="EM14" i="407"/>
  <c r="EG14" i="407"/>
  <c r="EF14" i="407"/>
  <c r="EI14" i="407"/>
  <c r="ES8" i="407"/>
  <c r="ER8" i="407"/>
  <c r="EU8" i="407"/>
  <c r="FP8" i="407"/>
  <c r="FS8" i="407"/>
  <c r="FQ8" i="407"/>
  <c r="FQ7" i="407"/>
  <c r="FP7" i="407"/>
  <c r="FS7" i="407"/>
  <c r="GB7" i="407"/>
  <c r="GE7" i="407"/>
  <c r="GC7" i="407"/>
  <c r="GC10" i="407"/>
  <c r="GB10" i="407"/>
  <c r="GE10" i="407"/>
  <c r="DO11" i="407"/>
  <c r="DN11" i="407"/>
  <c r="DQ11" i="407"/>
  <c r="GC12" i="407"/>
  <c r="GB12" i="407"/>
  <c r="GE12" i="407"/>
  <c r="GC8" i="407"/>
  <c r="GB8" i="407"/>
  <c r="GE8" i="407"/>
  <c r="FW8" i="407"/>
  <c r="FV8" i="407"/>
  <c r="FY8" i="407"/>
  <c r="DI10" i="407"/>
  <c r="DK10" i="407"/>
  <c r="EA12" i="407"/>
  <c r="DZ12" i="407"/>
  <c r="EC12" i="407"/>
  <c r="EM12" i="407"/>
  <c r="EL12" i="407"/>
  <c r="EO12" i="407"/>
  <c r="GD8" i="407"/>
  <c r="EE6" i="407"/>
  <c r="EN11" i="407"/>
  <c r="FQ14" i="407"/>
  <c r="FP14" i="407"/>
  <c r="FS14" i="407"/>
  <c r="DN8" i="407"/>
  <c r="DQ8" i="407"/>
  <c r="DO8" i="407"/>
  <c r="DU8" i="407"/>
  <c r="DT8" i="407"/>
  <c r="DW8" i="407"/>
  <c r="DV7" i="407"/>
  <c r="DT7" i="407"/>
  <c r="DW7" i="407"/>
  <c r="DU7" i="407"/>
  <c r="FE10" i="407"/>
  <c r="FD10" i="407"/>
  <c r="FG10" i="407"/>
  <c r="FK11" i="407"/>
  <c r="FJ11" i="407"/>
  <c r="FM11" i="407"/>
  <c r="DZ11" i="407"/>
  <c r="EC11" i="407"/>
  <c r="EA11" i="407"/>
  <c r="EM10" i="407"/>
  <c r="EL10" i="407"/>
  <c r="EO10" i="407"/>
  <c r="EY12" i="407"/>
  <c r="EX12" i="407"/>
  <c r="FA12" i="407"/>
  <c r="FP12" i="407"/>
  <c r="FS12" i="407"/>
  <c r="FQ12" i="407"/>
  <c r="FF8" i="407"/>
  <c r="ET12" i="407"/>
  <c r="EK6" i="407"/>
  <c r="EH11" i="407"/>
  <c r="FK14" i="407"/>
  <c r="FJ14" i="407"/>
  <c r="FM14" i="407"/>
  <c r="DJ11" i="407"/>
  <c r="DI11" i="407"/>
  <c r="DK11" i="407"/>
  <c r="DU10" i="407"/>
  <c r="DT10" i="407"/>
  <c r="DW10" i="407"/>
  <c r="ES10" i="407"/>
  <c r="ER10" i="407"/>
  <c r="EU10" i="407"/>
  <c r="DJ7" i="407"/>
  <c r="DI7" i="407"/>
  <c r="DK7" i="407"/>
  <c r="FE11" i="407"/>
  <c r="FD11" i="407"/>
  <c r="FG11" i="407"/>
  <c r="ES11" i="407"/>
  <c r="ER11" i="407"/>
  <c r="EU11" i="407"/>
  <c r="HC3" i="350"/>
  <c r="HB3" i="350"/>
  <c r="GD18" i="407"/>
  <c r="FR18" i="407"/>
  <c r="EU6" i="407"/>
  <c r="EU18" i="407"/>
  <c r="ER18" i="407"/>
  <c r="EZ6" i="407"/>
  <c r="EZ18" i="407"/>
  <c r="EW18" i="407"/>
  <c r="EY6" i="407"/>
  <c r="EY18" i="407"/>
  <c r="EX6" i="407"/>
  <c r="CR5" i="407"/>
  <c r="I5" i="407"/>
  <c r="CL5" i="407"/>
  <c r="F9" i="407"/>
  <c r="FW10" i="407"/>
  <c r="FX10" i="407"/>
  <c r="FX18" i="407"/>
  <c r="GN18" i="407"/>
  <c r="GQ6" i="407"/>
  <c r="GQ18" i="407"/>
  <c r="EH6" i="407"/>
  <c r="EH18" i="407"/>
  <c r="EF6" i="407"/>
  <c r="EG6" i="407"/>
  <c r="EG18" i="407"/>
  <c r="EE18" i="407"/>
  <c r="FJ6" i="407"/>
  <c r="FK6" i="407"/>
  <c r="FK18" i="407"/>
  <c r="FI18" i="407"/>
  <c r="E41" i="407"/>
  <c r="O43" i="407"/>
  <c r="A41" i="407"/>
  <c r="GT6" i="407"/>
  <c r="GS18" i="407"/>
  <c r="FV18" i="407"/>
  <c r="O64" i="407"/>
  <c r="FY6" i="407"/>
  <c r="FY18" i="407"/>
  <c r="GU14" i="407"/>
  <c r="GO14" i="407"/>
  <c r="GP14" i="407"/>
  <c r="GP18" i="407"/>
  <c r="GI14" i="407"/>
  <c r="GJ14" i="407"/>
  <c r="GJ18" i="407"/>
  <c r="F13" i="407"/>
  <c r="EB6" i="407"/>
  <c r="EB18" i="407"/>
  <c r="EA6" i="407"/>
  <c r="EA18" i="407"/>
  <c r="DZ6" i="407"/>
  <c r="DY18" i="407"/>
  <c r="GU6" i="407"/>
  <c r="DP6" i="407"/>
  <c r="DP18" i="407"/>
  <c r="DO6" i="407"/>
  <c r="DO18" i="407"/>
  <c r="DN6" i="407"/>
  <c r="DM18" i="407"/>
  <c r="DJ14" i="407"/>
  <c r="GA18" i="407"/>
  <c r="GB6" i="407"/>
  <c r="GC6" i="407"/>
  <c r="GC18" i="407"/>
  <c r="FQ6" i="407"/>
  <c r="FQ18" i="407"/>
  <c r="FP6" i="407"/>
  <c r="FO18" i="407"/>
  <c r="FF18" i="407"/>
  <c r="FC18" i="407"/>
  <c r="FD6" i="407"/>
  <c r="FE6" i="407"/>
  <c r="FE18" i="407"/>
  <c r="GH18" i="407"/>
  <c r="O72" i="407"/>
  <c r="GK6" i="407"/>
  <c r="GK18" i="407"/>
  <c r="ES18" i="407"/>
  <c r="ET18" i="407"/>
  <c r="GU10" i="407"/>
  <c r="EN6" i="407"/>
  <c r="EN18" i="407"/>
  <c r="EK18" i="407"/>
  <c r="EM6" i="407"/>
  <c r="EM18" i="407"/>
  <c r="EL6" i="407"/>
  <c r="DJ6" i="407"/>
  <c r="DH18" i="407"/>
  <c r="DI6" i="407"/>
  <c r="FL6" i="407"/>
  <c r="FL18" i="407"/>
  <c r="DV6" i="407"/>
  <c r="DV18" i="407"/>
  <c r="DU6" i="407"/>
  <c r="DU18" i="407"/>
  <c r="DS18" i="407"/>
  <c r="DT6" i="407"/>
  <c r="I131" i="350"/>
  <c r="AE86" i="350"/>
  <c r="H618" i="18"/>
  <c r="A618" i="18"/>
  <c r="F618" i="18"/>
  <c r="H102" i="18"/>
  <c r="A102" i="18"/>
  <c r="G102" i="18"/>
  <c r="H101" i="18"/>
  <c r="A101" i="18"/>
  <c r="G101" i="18"/>
  <c r="H100" i="18"/>
  <c r="A100" i="18"/>
  <c r="G100" i="18"/>
  <c r="H99" i="18"/>
  <c r="A99" i="18"/>
  <c r="G99" i="18"/>
  <c r="H98" i="18"/>
  <c r="A98" i="18"/>
  <c r="G98" i="18"/>
  <c r="H97" i="18"/>
  <c r="A97" i="18"/>
  <c r="G97" i="18"/>
  <c r="H96" i="18"/>
  <c r="A96" i="18"/>
  <c r="G96" i="18"/>
  <c r="H95" i="18"/>
  <c r="A95" i="18"/>
  <c r="G95" i="18"/>
  <c r="H94" i="18"/>
  <c r="A94" i="18"/>
  <c r="G94" i="18"/>
  <c r="H93" i="18"/>
  <c r="A93" i="18"/>
  <c r="G93" i="18"/>
  <c r="H91" i="18"/>
  <c r="A91" i="18"/>
  <c r="G91" i="18"/>
  <c r="B90" i="18"/>
  <c r="B369" i="18"/>
  <c r="E70" i="407"/>
  <c r="A72" i="407"/>
  <c r="CG72" i="407"/>
  <c r="GU18" i="407"/>
  <c r="E74" i="407"/>
  <c r="A76" i="407"/>
  <c r="CG76" i="407"/>
  <c r="O76" i="407"/>
  <c r="FW18" i="407"/>
  <c r="E62" i="407"/>
  <c r="A64" i="407"/>
  <c r="CG64" i="407"/>
  <c r="GI18" i="407"/>
  <c r="A62" i="407"/>
  <c r="E36" i="407"/>
  <c r="O38" i="407"/>
  <c r="A36" i="407"/>
  <c r="E43" i="407"/>
  <c r="E44" i="407"/>
  <c r="C43" i="407"/>
  <c r="L43" i="407"/>
  <c r="A43" i="407"/>
  <c r="U41" i="407"/>
  <c r="U43" i="407"/>
  <c r="S43" i="407"/>
  <c r="K44" i="407"/>
  <c r="A42" i="407"/>
  <c r="G43" i="407"/>
  <c r="A74" i="407"/>
  <c r="GB18" i="407"/>
  <c r="GE6" i="407"/>
  <c r="GE18" i="407"/>
  <c r="E28" i="407"/>
  <c r="O30" i="407"/>
  <c r="A28" i="407"/>
  <c r="O55" i="407"/>
  <c r="A53" i="407"/>
  <c r="E53" i="407"/>
  <c r="EX18" i="407"/>
  <c r="FA6" i="407"/>
  <c r="FA18" i="407"/>
  <c r="DI18" i="407"/>
  <c r="DK6" i="407"/>
  <c r="DK18" i="407"/>
  <c r="E66" i="407"/>
  <c r="O68" i="407"/>
  <c r="A66" i="407"/>
  <c r="O51" i="407"/>
  <c r="A49" i="407"/>
  <c r="E49" i="407"/>
  <c r="DJ18" i="407"/>
  <c r="FJ18" i="407"/>
  <c r="FM6" i="407"/>
  <c r="FM18" i="407"/>
  <c r="O47" i="407"/>
  <c r="A45" i="407"/>
  <c r="E45" i="407"/>
  <c r="O22" i="407"/>
  <c r="A20" i="407"/>
  <c r="E20" i="407"/>
  <c r="GT18" i="407"/>
  <c r="O80" i="407"/>
  <c r="GW6" i="407"/>
  <c r="GW18" i="407"/>
  <c r="E32" i="407"/>
  <c r="O34" i="407"/>
  <c r="A32" i="407"/>
  <c r="I9" i="407"/>
  <c r="CL9" i="407"/>
  <c r="CR9" i="407"/>
  <c r="DT18" i="407"/>
  <c r="DW6" i="407"/>
  <c r="DW18" i="407"/>
  <c r="EL18" i="407"/>
  <c r="EO6" i="407"/>
  <c r="EO18" i="407"/>
  <c r="E57" i="407"/>
  <c r="O59" i="407"/>
  <c r="A57" i="407"/>
  <c r="DN18" i="407"/>
  <c r="DQ6" i="407"/>
  <c r="DQ18" i="407"/>
  <c r="I13" i="407"/>
  <c r="CL13" i="407"/>
  <c r="CR13" i="407"/>
  <c r="GO18" i="407"/>
  <c r="FD18" i="407"/>
  <c r="FG6" i="407"/>
  <c r="FG18" i="407"/>
  <c r="DZ18" i="407"/>
  <c r="EC6" i="407"/>
  <c r="EC18" i="407"/>
  <c r="E24" i="407"/>
  <c r="O26" i="407"/>
  <c r="A24" i="407"/>
  <c r="A70" i="407"/>
  <c r="FP18" i="407"/>
  <c r="FS6" i="407"/>
  <c r="FS18" i="407"/>
  <c r="Q170" i="407"/>
  <c r="D44" i="407"/>
  <c r="AF44" i="407"/>
  <c r="CG41" i="407"/>
  <c r="EF18" i="407"/>
  <c r="EI6" i="407"/>
  <c r="EI18" i="407"/>
  <c r="H20" i="350"/>
  <c r="C7" i="90"/>
  <c r="O72" i="90"/>
  <c r="O51" i="90"/>
  <c r="O47" i="90"/>
  <c r="O43" i="90"/>
  <c r="O40" i="90"/>
  <c r="O31" i="90"/>
  <c r="O24" i="90"/>
  <c r="O17" i="90"/>
  <c r="O12" i="90"/>
  <c r="O8" i="90"/>
  <c r="O7" i="90"/>
  <c r="P7" i="90"/>
  <c r="M7" i="90"/>
  <c r="L7" i="90"/>
  <c r="F7" i="90"/>
  <c r="G7" i="90"/>
  <c r="J7" i="90"/>
  <c r="B7" i="90"/>
  <c r="D7" i="90"/>
  <c r="D8" i="90"/>
  <c r="E78" i="407"/>
  <c r="U80" i="407"/>
  <c r="G44" i="407"/>
  <c r="V43" i="407"/>
  <c r="Q177" i="407"/>
  <c r="D73" i="407"/>
  <c r="CG70" i="407"/>
  <c r="A21" i="407"/>
  <c r="K23" i="407"/>
  <c r="C22" i="407"/>
  <c r="U20" i="407"/>
  <c r="G22" i="407"/>
  <c r="A22" i="407"/>
  <c r="U22" i="407"/>
  <c r="E22" i="407"/>
  <c r="E23" i="407"/>
  <c r="S22" i="407"/>
  <c r="AD2" i="407"/>
  <c r="L22" i="407"/>
  <c r="C51" i="407"/>
  <c r="A51" i="407"/>
  <c r="E51" i="407"/>
  <c r="E52" i="407"/>
  <c r="U49" i="407"/>
  <c r="G51" i="407"/>
  <c r="K52" i="407"/>
  <c r="U51" i="407"/>
  <c r="A50" i="407"/>
  <c r="L51" i="407"/>
  <c r="S51" i="407"/>
  <c r="K56" i="407"/>
  <c r="A54" i="407"/>
  <c r="G55" i="407"/>
  <c r="C55" i="407"/>
  <c r="A55" i="407"/>
  <c r="L55" i="407"/>
  <c r="E55" i="407"/>
  <c r="E56" i="407"/>
  <c r="U55" i="407"/>
  <c r="U53" i="407"/>
  <c r="S55" i="407"/>
  <c r="P41" i="407"/>
  <c r="DD176" i="407"/>
  <c r="CG42" i="407"/>
  <c r="V44" i="407"/>
  <c r="BP42" i="407"/>
  <c r="AE43" i="407"/>
  <c r="AE44" i="407"/>
  <c r="K35" i="407"/>
  <c r="L34" i="407"/>
  <c r="C34" i="407"/>
  <c r="E34" i="407"/>
  <c r="E35" i="407"/>
  <c r="U32" i="407"/>
  <c r="G34" i="407"/>
  <c r="A34" i="407"/>
  <c r="U34" i="407"/>
  <c r="A33" i="407"/>
  <c r="S34" i="407"/>
  <c r="D77" i="407"/>
  <c r="Q178" i="407"/>
  <c r="CG74" i="407"/>
  <c r="Q166" i="407"/>
  <c r="CG24" i="407"/>
  <c r="AF27" i="407"/>
  <c r="D27" i="407"/>
  <c r="AF23" i="407"/>
  <c r="CG20" i="407"/>
  <c r="D23" i="407"/>
  <c r="Q165" i="407"/>
  <c r="CG49" i="407"/>
  <c r="D52" i="407"/>
  <c r="AF52" i="407"/>
  <c r="Q172" i="407"/>
  <c r="CG53" i="407"/>
  <c r="D56" i="407"/>
  <c r="Q173" i="407"/>
  <c r="AF56" i="407"/>
  <c r="AQ8" i="407"/>
  <c r="AR8" i="407"/>
  <c r="AQ11" i="407"/>
  <c r="AR11" i="407"/>
  <c r="AQ7" i="407"/>
  <c r="AR7" i="407"/>
  <c r="AQ10" i="407"/>
  <c r="AR10" i="407"/>
  <c r="AQ6" i="407"/>
  <c r="AQ14" i="407"/>
  <c r="AR14" i="407"/>
  <c r="AQ12" i="407"/>
  <c r="AR12" i="407"/>
  <c r="Q169" i="407"/>
  <c r="D39" i="407"/>
  <c r="CG36" i="407"/>
  <c r="AF39" i="407"/>
  <c r="C42" i="407"/>
  <c r="D170" i="407"/>
  <c r="F106" i="407"/>
  <c r="F43" i="407"/>
  <c r="F44" i="407"/>
  <c r="E26" i="407"/>
  <c r="E27" i="407"/>
  <c r="S26" i="407"/>
  <c r="U24" i="407"/>
  <c r="L26" i="407"/>
  <c r="A26" i="407"/>
  <c r="K27" i="407"/>
  <c r="A25" i="407"/>
  <c r="U26" i="407"/>
  <c r="C26" i="407"/>
  <c r="G26" i="407"/>
  <c r="K48" i="407"/>
  <c r="L47" i="407"/>
  <c r="C47" i="407"/>
  <c r="E47" i="407"/>
  <c r="E48" i="407"/>
  <c r="U47" i="407"/>
  <c r="G47" i="407"/>
  <c r="S47" i="407"/>
  <c r="A47" i="407"/>
  <c r="A46" i="407"/>
  <c r="U45" i="407"/>
  <c r="Q176" i="407"/>
  <c r="AF69" i="407"/>
  <c r="CG66" i="407"/>
  <c r="D69" i="407"/>
  <c r="AF31" i="407"/>
  <c r="CG28" i="407"/>
  <c r="D31" i="407"/>
  <c r="Q167" i="407"/>
  <c r="G38" i="407"/>
  <c r="S38" i="407"/>
  <c r="E38" i="407"/>
  <c r="E39" i="407"/>
  <c r="K39" i="407"/>
  <c r="A37" i="407"/>
  <c r="C38" i="407"/>
  <c r="U38" i="407"/>
  <c r="U36" i="407"/>
  <c r="A38" i="407"/>
  <c r="L38" i="407"/>
  <c r="G59" i="407"/>
  <c r="A58" i="407"/>
  <c r="U59" i="407"/>
  <c r="S59" i="407"/>
  <c r="U57" i="407"/>
  <c r="A59" i="407"/>
  <c r="C59" i="407"/>
  <c r="E59" i="407"/>
  <c r="E60" i="407"/>
  <c r="L59" i="407"/>
  <c r="K60" i="407"/>
  <c r="CG43" i="407"/>
  <c r="A44" i="407"/>
  <c r="B44" i="407"/>
  <c r="CG44" i="407"/>
  <c r="K106" i="407"/>
  <c r="AG44" i="407"/>
  <c r="AF48" i="407"/>
  <c r="Q171" i="407"/>
  <c r="D48" i="407"/>
  <c r="CG45" i="407"/>
  <c r="A67" i="407"/>
  <c r="G68" i="407"/>
  <c r="K69" i="407"/>
  <c r="U66" i="407"/>
  <c r="S68" i="407"/>
  <c r="C68" i="407"/>
  <c r="E68" i="407"/>
  <c r="E69" i="407"/>
  <c r="L68" i="407"/>
  <c r="U68" i="407"/>
  <c r="A68" i="407"/>
  <c r="A30" i="407"/>
  <c r="U30" i="407"/>
  <c r="S30" i="407"/>
  <c r="G30" i="407"/>
  <c r="C30" i="407"/>
  <c r="U28" i="407"/>
  <c r="K31" i="407"/>
  <c r="L30" i="407"/>
  <c r="E30" i="407"/>
  <c r="E31" i="407"/>
  <c r="A29" i="407"/>
  <c r="CG57" i="407"/>
  <c r="AF60" i="407"/>
  <c r="Q174" i="407"/>
  <c r="D60" i="407"/>
  <c r="Q168" i="407"/>
  <c r="D35" i="407"/>
  <c r="CG32" i="407"/>
  <c r="AF35" i="407"/>
  <c r="Q175" i="407"/>
  <c r="D65" i="407"/>
  <c r="CG62" i="407"/>
  <c r="A394" i="82"/>
  <c r="A395" i="82"/>
  <c r="A396" i="82"/>
  <c r="A390" i="82"/>
  <c r="A391" i="82"/>
  <c r="A80" i="407"/>
  <c r="K103" i="407"/>
  <c r="AG31" i="407"/>
  <c r="AE23" i="407"/>
  <c r="CY166" i="407"/>
  <c r="P20" i="407"/>
  <c r="CG21" i="407"/>
  <c r="V23" i="407"/>
  <c r="AE22" i="407"/>
  <c r="BP21" i="407"/>
  <c r="F60" i="407"/>
  <c r="F59" i="407"/>
  <c r="CI59" i="407"/>
  <c r="C58" i="407"/>
  <c r="D174" i="407"/>
  <c r="F110" i="407"/>
  <c r="V59" i="407"/>
  <c r="G60" i="407"/>
  <c r="CG25" i="407"/>
  <c r="CZ167" i="407"/>
  <c r="P24" i="407"/>
  <c r="AE27" i="407"/>
  <c r="V27" i="407"/>
  <c r="BP25" i="407"/>
  <c r="AE26" i="407"/>
  <c r="DD182" i="407"/>
  <c r="CI43" i="407"/>
  <c r="AQ4" i="407"/>
  <c r="AR4" i="407"/>
  <c r="AR6" i="407"/>
  <c r="AG23" i="407"/>
  <c r="K101" i="407"/>
  <c r="C33" i="407"/>
  <c r="D168" i="407"/>
  <c r="F104" i="407"/>
  <c r="F34" i="407"/>
  <c r="F35" i="407"/>
  <c r="G56" i="407"/>
  <c r="V55" i="407"/>
  <c r="V51" i="407"/>
  <c r="G52" i="407"/>
  <c r="CG58" i="407"/>
  <c r="BP58" i="407"/>
  <c r="AE60" i="407"/>
  <c r="P57" i="407"/>
  <c r="V60" i="407"/>
  <c r="AE59" i="407"/>
  <c r="AG69" i="407"/>
  <c r="K112" i="407"/>
  <c r="AY14" i="407"/>
  <c r="AZ14" i="407"/>
  <c r="AY10" i="407"/>
  <c r="AZ10" i="407"/>
  <c r="AY11" i="407"/>
  <c r="AZ11" i="407"/>
  <c r="AY6" i="407"/>
  <c r="AY12" i="407"/>
  <c r="AZ12" i="407"/>
  <c r="AY8" i="407"/>
  <c r="AZ8" i="407"/>
  <c r="AY7" i="407"/>
  <c r="AZ7" i="407"/>
  <c r="DB169" i="407"/>
  <c r="P32" i="407"/>
  <c r="CG33" i="407"/>
  <c r="BP33" i="407"/>
  <c r="V35" i="407"/>
  <c r="AE35" i="407"/>
  <c r="AE34" i="407"/>
  <c r="AU14" i="407"/>
  <c r="AV14" i="407"/>
  <c r="AU12" i="407"/>
  <c r="AV12" i="407"/>
  <c r="AU7" i="407"/>
  <c r="AV7" i="407"/>
  <c r="AU11" i="407"/>
  <c r="AV11" i="407"/>
  <c r="AU10" i="407"/>
  <c r="AV10" i="407"/>
  <c r="AU6" i="407"/>
  <c r="AU8" i="407"/>
  <c r="AV8" i="407"/>
  <c r="BP54" i="407"/>
  <c r="V56" i="407"/>
  <c r="AE56" i="407"/>
  <c r="CG54" i="407"/>
  <c r="P53" i="407"/>
  <c r="AE55" i="407"/>
  <c r="CG22" i="407"/>
  <c r="B23" i="407"/>
  <c r="CG23" i="407"/>
  <c r="A23" i="407"/>
  <c r="F38" i="407"/>
  <c r="F39" i="407"/>
  <c r="C37" i="407"/>
  <c r="D169" i="407"/>
  <c r="F105" i="407"/>
  <c r="B27" i="407"/>
  <c r="CG27" i="407"/>
  <c r="A27" i="407"/>
  <c r="CG26" i="407"/>
  <c r="AG39" i="407"/>
  <c r="K105" i="407"/>
  <c r="K108" i="407"/>
  <c r="AG52" i="407"/>
  <c r="AG27" i="407"/>
  <c r="K102" i="407"/>
  <c r="AK11" i="407"/>
  <c r="AL11" i="407"/>
  <c r="AK10" i="407"/>
  <c r="AL10" i="407"/>
  <c r="AK8" i="407"/>
  <c r="AL8" i="407"/>
  <c r="AK14" i="407"/>
  <c r="AL14" i="407"/>
  <c r="AK6" i="407"/>
  <c r="AK12" i="407"/>
  <c r="AL12" i="407"/>
  <c r="AK7" i="407"/>
  <c r="AL7" i="407"/>
  <c r="V22" i="407"/>
  <c r="G23" i="407"/>
  <c r="W43" i="407"/>
  <c r="X43" i="407"/>
  <c r="V41" i="407"/>
  <c r="V42" i="407"/>
  <c r="AS11" i="407"/>
  <c r="AT11" i="407"/>
  <c r="AS7" i="407"/>
  <c r="AT7" i="407"/>
  <c r="AS10" i="407"/>
  <c r="AT10" i="407"/>
  <c r="AS6" i="407"/>
  <c r="AS14" i="407"/>
  <c r="AT14" i="407"/>
  <c r="AS8" i="407"/>
  <c r="AT8" i="407"/>
  <c r="AS12" i="407"/>
  <c r="AT12" i="407"/>
  <c r="AM11" i="407"/>
  <c r="AN11" i="407"/>
  <c r="AM10" i="407"/>
  <c r="AN10" i="407"/>
  <c r="AM6" i="407"/>
  <c r="AM14" i="407"/>
  <c r="AN14" i="407"/>
  <c r="AM8" i="407"/>
  <c r="AN8" i="407"/>
  <c r="AM12" i="407"/>
  <c r="AN12" i="407"/>
  <c r="AM7" i="407"/>
  <c r="AN7" i="407"/>
  <c r="K110" i="407"/>
  <c r="AG60" i="407"/>
  <c r="A31" i="407"/>
  <c r="B31" i="407"/>
  <c r="CG31" i="407"/>
  <c r="CG30" i="407"/>
  <c r="F47" i="407"/>
  <c r="CI47" i="407"/>
  <c r="F48" i="407"/>
  <c r="C46" i="407"/>
  <c r="D171" i="407"/>
  <c r="F107" i="407"/>
  <c r="C25" i="407"/>
  <c r="D166" i="407"/>
  <c r="F102" i="407"/>
  <c r="F26" i="407"/>
  <c r="F27" i="407"/>
  <c r="A35" i="407"/>
  <c r="CG34" i="407"/>
  <c r="B35" i="407"/>
  <c r="CG35" i="407"/>
  <c r="B52" i="407"/>
  <c r="CG52" i="407"/>
  <c r="CG51" i="407"/>
  <c r="A52" i="407"/>
  <c r="AI14" i="407"/>
  <c r="AJ14" i="407"/>
  <c r="AI11" i="407"/>
  <c r="AJ11" i="407"/>
  <c r="AI10" i="407"/>
  <c r="AJ10" i="407"/>
  <c r="AI8" i="407"/>
  <c r="AJ8" i="407"/>
  <c r="AI12" i="407"/>
  <c r="AJ12" i="407"/>
  <c r="AI7" i="407"/>
  <c r="AJ7" i="407"/>
  <c r="AI6" i="407"/>
  <c r="V47" i="407"/>
  <c r="G48" i="407"/>
  <c r="K107" i="407"/>
  <c r="AG48" i="407"/>
  <c r="AG35" i="407"/>
  <c r="K104" i="407"/>
  <c r="B39" i="407"/>
  <c r="CG39" i="407"/>
  <c r="A39" i="407"/>
  <c r="DC175" i="407"/>
  <c r="CG38" i="407"/>
  <c r="DC174" i="407"/>
  <c r="DC173" i="407"/>
  <c r="AE6" i="407"/>
  <c r="AE14" i="407"/>
  <c r="AF14" i="407"/>
  <c r="AE12" i="407"/>
  <c r="AF12" i="407"/>
  <c r="AE11" i="407"/>
  <c r="AF11" i="407"/>
  <c r="AE7" i="407"/>
  <c r="AF7" i="407"/>
  <c r="AE10" i="407"/>
  <c r="AF10" i="407"/>
  <c r="AE8" i="407"/>
  <c r="AF8" i="407"/>
  <c r="V34" i="407"/>
  <c r="G35" i="407"/>
  <c r="F51" i="407"/>
  <c r="CI51" i="407"/>
  <c r="C50" i="407"/>
  <c r="D172" i="407"/>
  <c r="F108" i="407"/>
  <c r="F52" i="407"/>
  <c r="A78" i="407"/>
  <c r="CG80" i="407"/>
  <c r="C67" i="407"/>
  <c r="D176" i="407"/>
  <c r="F112" i="407"/>
  <c r="F69" i="407"/>
  <c r="F68" i="407"/>
  <c r="AE38" i="407"/>
  <c r="BP37" i="407"/>
  <c r="AE39" i="407"/>
  <c r="DC172" i="407"/>
  <c r="V39" i="407"/>
  <c r="DC171" i="407"/>
  <c r="P36" i="407"/>
  <c r="DC170" i="407"/>
  <c r="CG37" i="407"/>
  <c r="CG55" i="407"/>
  <c r="A56" i="407"/>
  <c r="B56" i="407"/>
  <c r="CG56" i="407"/>
  <c r="V30" i="407"/>
  <c r="G31" i="407"/>
  <c r="DA168" i="407"/>
  <c r="V31" i="407"/>
  <c r="CG29" i="407"/>
  <c r="P28" i="407"/>
  <c r="AE31" i="407"/>
  <c r="BP29" i="407"/>
  <c r="AE30" i="407"/>
  <c r="G39" i="407"/>
  <c r="V38" i="407"/>
  <c r="CG59" i="407"/>
  <c r="A60" i="407"/>
  <c r="B60" i="407"/>
  <c r="CG60" i="407"/>
  <c r="F31" i="407"/>
  <c r="F30" i="407"/>
  <c r="C29" i="407"/>
  <c r="D167" i="407"/>
  <c r="F103" i="407"/>
  <c r="B69" i="407"/>
  <c r="CG69" i="407"/>
  <c r="A69" i="407"/>
  <c r="CG68" i="407"/>
  <c r="V68" i="407"/>
  <c r="G69" i="407"/>
  <c r="CG46" i="407"/>
  <c r="AE48" i="407"/>
  <c r="AE47" i="407"/>
  <c r="V48" i="407"/>
  <c r="BP46" i="407"/>
  <c r="P45" i="407"/>
  <c r="AO14" i="407"/>
  <c r="AP14" i="407"/>
  <c r="AO12" i="407"/>
  <c r="AP12" i="407"/>
  <c r="AO11" i="407"/>
  <c r="AP11" i="407"/>
  <c r="AO10" i="407"/>
  <c r="AP10" i="407"/>
  <c r="AO6" i="407"/>
  <c r="AO7" i="407"/>
  <c r="AP7" i="407"/>
  <c r="AO8" i="407"/>
  <c r="AP8" i="407"/>
  <c r="AW14" i="407"/>
  <c r="AX14" i="407"/>
  <c r="AW10" i="407"/>
  <c r="AX10" i="407"/>
  <c r="AW7" i="407"/>
  <c r="AX7" i="407"/>
  <c r="AW12" i="407"/>
  <c r="AX12" i="407"/>
  <c r="AW11" i="407"/>
  <c r="AX11" i="407"/>
  <c r="AW6" i="407"/>
  <c r="AW8" i="407"/>
  <c r="AX8" i="407"/>
  <c r="CG67" i="407"/>
  <c r="AE69" i="407"/>
  <c r="AE68" i="407"/>
  <c r="V69" i="407"/>
  <c r="DE177" i="407"/>
  <c r="BP67" i="407"/>
  <c r="P66" i="407"/>
  <c r="Q65" i="407"/>
  <c r="CG47" i="407"/>
  <c r="B48" i="407"/>
  <c r="CG48" i="407"/>
  <c r="A48" i="407"/>
  <c r="V26" i="407"/>
  <c r="G27" i="407"/>
  <c r="K109" i="407"/>
  <c r="AG56" i="407"/>
  <c r="F55" i="407"/>
  <c r="CI55" i="407"/>
  <c r="F56" i="407"/>
  <c r="C54" i="407"/>
  <c r="D173" i="407"/>
  <c r="F109" i="407"/>
  <c r="P49" i="407"/>
  <c r="CG50" i="407"/>
  <c r="BP50" i="407"/>
  <c r="V52" i="407"/>
  <c r="AE52" i="407"/>
  <c r="AE51" i="407"/>
  <c r="F22" i="407"/>
  <c r="C21" i="407"/>
  <c r="D165" i="407"/>
  <c r="F101" i="407"/>
  <c r="BA12" i="407"/>
  <c r="BB12" i="407"/>
  <c r="BA11" i="407"/>
  <c r="BB11" i="407"/>
  <c r="BA10" i="407"/>
  <c r="BB10" i="407"/>
  <c r="BA7" i="407"/>
  <c r="BB7" i="407"/>
  <c r="BA8" i="407"/>
  <c r="BB8" i="407"/>
  <c r="BA6" i="407"/>
  <c r="BA14" i="407"/>
  <c r="BB14" i="407"/>
  <c r="AF97" i="350"/>
  <c r="CI26" i="407"/>
  <c r="CZ182" i="407"/>
  <c r="BR82" i="407"/>
  <c r="W26" i="407"/>
  <c r="X26" i="407"/>
  <c r="V25" i="407"/>
  <c r="V24" i="407"/>
  <c r="D81" i="407"/>
  <c r="Q179" i="407"/>
  <c r="CG78" i="407"/>
  <c r="AI4" i="407"/>
  <c r="AJ4" i="407"/>
  <c r="AJ6" i="407"/>
  <c r="Y43" i="407"/>
  <c r="X42" i="407"/>
  <c r="X41" i="407"/>
  <c r="AV6" i="407"/>
  <c r="AU4" i="407"/>
  <c r="AV4" i="407"/>
  <c r="AY4" i="407"/>
  <c r="AZ4" i="407"/>
  <c r="AZ6" i="407"/>
  <c r="BZ82" i="407"/>
  <c r="BV82" i="407"/>
  <c r="W68" i="407"/>
  <c r="X68" i="407"/>
  <c r="V67" i="407"/>
  <c r="V66" i="407"/>
  <c r="DB182" i="407"/>
  <c r="CI34" i="407"/>
  <c r="V58" i="407"/>
  <c r="V57" i="407"/>
  <c r="W59" i="407"/>
  <c r="X59" i="407"/>
  <c r="V54" i="407"/>
  <c r="V53" i="407"/>
  <c r="W55" i="407"/>
  <c r="X55" i="407"/>
  <c r="V45" i="407"/>
  <c r="W47" i="407"/>
  <c r="X47" i="407"/>
  <c r="V46" i="407"/>
  <c r="AS4" i="407"/>
  <c r="AT4" i="407"/>
  <c r="AT6" i="407"/>
  <c r="V20" i="407"/>
  <c r="W22" i="407"/>
  <c r="X22" i="407"/>
  <c r="V21" i="407"/>
  <c r="CI30" i="407"/>
  <c r="DA182" i="407"/>
  <c r="BS82" i="407"/>
  <c r="CY182" i="407"/>
  <c r="BQ82" i="407"/>
  <c r="F23" i="407"/>
  <c r="CI22" i="407"/>
  <c r="BB6" i="407"/>
  <c r="BA4" i="407"/>
  <c r="BB4" i="407"/>
  <c r="DE182" i="407"/>
  <c r="CI68" i="407"/>
  <c r="R67" i="407"/>
  <c r="E67" i="407"/>
  <c r="D67" i="407"/>
  <c r="AF6" i="407"/>
  <c r="AE4" i="407"/>
  <c r="AF4" i="407"/>
  <c r="AM4" i="407"/>
  <c r="AN4" i="407"/>
  <c r="AN6" i="407"/>
  <c r="V29" i="407"/>
  <c r="V28" i="407"/>
  <c r="W30" i="407"/>
  <c r="X30" i="407"/>
  <c r="AX6" i="407"/>
  <c r="AW4" i="407"/>
  <c r="AX4" i="407"/>
  <c r="AO4" i="407"/>
  <c r="AP4" i="407"/>
  <c r="AP6" i="407"/>
  <c r="V37" i="407"/>
  <c r="W38" i="407"/>
  <c r="X38" i="407"/>
  <c r="V36" i="407"/>
  <c r="V33" i="407"/>
  <c r="W34" i="407"/>
  <c r="X34" i="407"/>
  <c r="V32" i="407"/>
  <c r="AK4" i="407"/>
  <c r="AL4" i="407"/>
  <c r="AL6" i="407"/>
  <c r="DC182" i="407"/>
  <c r="CI38" i="407"/>
  <c r="W51" i="407"/>
  <c r="X51" i="407"/>
  <c r="V50" i="407"/>
  <c r="V49" i="407"/>
  <c r="N36" i="92"/>
  <c r="H191" i="407"/>
  <c r="J91" i="407"/>
  <c r="J94" i="407"/>
  <c r="J88" i="407"/>
  <c r="J97" i="407"/>
  <c r="Y59" i="407"/>
  <c r="X57" i="407"/>
  <c r="X58" i="407"/>
  <c r="E176" i="407"/>
  <c r="G112" i="407"/>
  <c r="H112" i="407"/>
  <c r="CJ68" i="407"/>
  <c r="AE67" i="407"/>
  <c r="Q68" i="407"/>
  <c r="Y47" i="407"/>
  <c r="X45" i="407"/>
  <c r="X46" i="407"/>
  <c r="Y38" i="407"/>
  <c r="X37" i="407"/>
  <c r="X36" i="407"/>
  <c r="Y22" i="407"/>
  <c r="X21" i="407"/>
  <c r="X20" i="407"/>
  <c r="Y41" i="407"/>
  <c r="Y42" i="407"/>
  <c r="Z43" i="407"/>
  <c r="Y26" i="407"/>
  <c r="X25" i="407"/>
  <c r="X24" i="407"/>
  <c r="BY82" i="407"/>
  <c r="BU82" i="407"/>
  <c r="X53" i="407"/>
  <c r="X54" i="407"/>
  <c r="Y55" i="407"/>
  <c r="X66" i="407"/>
  <c r="X67" i="407"/>
  <c r="Y68" i="407"/>
  <c r="BT82" i="407"/>
  <c r="BX82" i="407"/>
  <c r="X28" i="407"/>
  <c r="X29" i="407"/>
  <c r="Y30" i="407"/>
  <c r="X49" i="407"/>
  <c r="Y51" i="407"/>
  <c r="X50" i="407"/>
  <c r="CA82" i="407"/>
  <c r="BW82" i="407"/>
  <c r="X32" i="407"/>
  <c r="X33" i="407"/>
  <c r="Y34" i="407"/>
  <c r="I5" i="404"/>
  <c r="I545" i="374"/>
  <c r="G546" i="374"/>
  <c r="A185" i="350"/>
  <c r="U96" i="407"/>
  <c r="A96" i="407"/>
  <c r="L97" i="407"/>
  <c r="D97" i="407"/>
  <c r="F97" i="407"/>
  <c r="U97" i="407"/>
  <c r="E97" i="407"/>
  <c r="E98" i="407"/>
  <c r="G97" i="407"/>
  <c r="L88" i="407"/>
  <c r="G88" i="407"/>
  <c r="A87" i="407"/>
  <c r="E88" i="407"/>
  <c r="E89" i="407"/>
  <c r="U88" i="407"/>
  <c r="U87" i="407"/>
  <c r="D88" i="407"/>
  <c r="F88" i="407"/>
  <c r="G94" i="407"/>
  <c r="F94" i="407"/>
  <c r="U94" i="407"/>
  <c r="U93" i="407"/>
  <c r="D94" i="407"/>
  <c r="L94" i="407"/>
  <c r="A93" i="407"/>
  <c r="E94" i="407"/>
  <c r="E95" i="407"/>
  <c r="U90" i="407"/>
  <c r="E91" i="407"/>
  <c r="E92" i="407"/>
  <c r="F91" i="407"/>
  <c r="A90" i="407"/>
  <c r="L91" i="407"/>
  <c r="D91" i="407"/>
  <c r="U91" i="407"/>
  <c r="G91" i="407"/>
  <c r="Y20" i="407"/>
  <c r="Y21" i="407"/>
  <c r="Z22" i="407"/>
  <c r="Z34" i="407"/>
  <c r="Y32" i="407"/>
  <c r="Y33" i="407"/>
  <c r="Z42" i="407"/>
  <c r="AA43" i="407"/>
  <c r="Z41" i="407"/>
  <c r="Z38" i="407"/>
  <c r="Y36" i="407"/>
  <c r="Y37" i="407"/>
  <c r="Z51" i="407"/>
  <c r="Y50" i="407"/>
  <c r="Y49" i="407"/>
  <c r="Z30" i="407"/>
  <c r="Y29" i="407"/>
  <c r="Y28" i="407"/>
  <c r="Z47" i="407"/>
  <c r="Y45" i="407"/>
  <c r="Y46" i="407"/>
  <c r="Z68" i="407"/>
  <c r="Y66" i="407"/>
  <c r="Y67" i="407"/>
  <c r="Z26" i="407"/>
  <c r="Y24" i="407"/>
  <c r="Y25" i="407"/>
  <c r="Y54" i="407"/>
  <c r="Z55" i="407"/>
  <c r="Y53" i="407"/>
  <c r="Z59" i="407"/>
  <c r="Y57" i="407"/>
  <c r="Y58" i="407"/>
  <c r="AF72" i="90"/>
  <c r="N72" i="90"/>
  <c r="M72" i="90"/>
  <c r="J72" i="90"/>
  <c r="G72" i="90"/>
  <c r="AK72" i="90"/>
  <c r="F72" i="90"/>
  <c r="AJ72" i="90"/>
  <c r="D72" i="90"/>
  <c r="AH72" i="90"/>
  <c r="C72" i="90"/>
  <c r="B72" i="90"/>
  <c r="AC30" i="90"/>
  <c r="AA30" i="90"/>
  <c r="T30" i="90"/>
  <c r="P30" i="90"/>
  <c r="AL30" i="90"/>
  <c r="AC29" i="90"/>
  <c r="AA29" i="90"/>
  <c r="T29" i="90"/>
  <c r="P29" i="90"/>
  <c r="AI29" i="90"/>
  <c r="AC28" i="90"/>
  <c r="AA28" i="90"/>
  <c r="T28" i="90"/>
  <c r="P28" i="90"/>
  <c r="AM28" i="90"/>
  <c r="AC27" i="90"/>
  <c r="AA27" i="90"/>
  <c r="T27" i="90"/>
  <c r="P27" i="90"/>
  <c r="AL27" i="90"/>
  <c r="AC26" i="90"/>
  <c r="AA26" i="90"/>
  <c r="T26" i="90"/>
  <c r="P26" i="90"/>
  <c r="AM26" i="90"/>
  <c r="AC25" i="90"/>
  <c r="AA25" i="90"/>
  <c r="T25" i="90"/>
  <c r="P25" i="90"/>
  <c r="AN25" i="90"/>
  <c r="V24" i="90"/>
  <c r="N24" i="90"/>
  <c r="M24" i="90"/>
  <c r="AK24" i="90"/>
  <c r="AJ24" i="90"/>
  <c r="AH24" i="90"/>
  <c r="C24" i="90"/>
  <c r="B24" i="90"/>
  <c r="AC23" i="90"/>
  <c r="AA23" i="90"/>
  <c r="T23" i="90"/>
  <c r="P23" i="90"/>
  <c r="AN23" i="90"/>
  <c r="AC21" i="90"/>
  <c r="AA21" i="90"/>
  <c r="T21" i="90"/>
  <c r="P21" i="90"/>
  <c r="AL21" i="90"/>
  <c r="AC19" i="90"/>
  <c r="AA19" i="90"/>
  <c r="T19" i="90"/>
  <c r="P19" i="90"/>
  <c r="AL19" i="90"/>
  <c r="AC18" i="90"/>
  <c r="AA18" i="90"/>
  <c r="T18" i="90"/>
  <c r="P18" i="90"/>
  <c r="AJ18" i="90"/>
  <c r="V17" i="90"/>
  <c r="N17" i="90"/>
  <c r="M17" i="90"/>
  <c r="J17" i="90"/>
  <c r="G17" i="90"/>
  <c r="AK17" i="90"/>
  <c r="F17" i="90"/>
  <c r="AJ17" i="90"/>
  <c r="D17" i="90"/>
  <c r="AH17" i="90"/>
  <c r="C17" i="90"/>
  <c r="B17" i="90"/>
  <c r="V94" i="407"/>
  <c r="G95" i="407"/>
  <c r="V91" i="407"/>
  <c r="G92" i="407"/>
  <c r="AD88" i="407"/>
  <c r="C87" i="407"/>
  <c r="D185" i="407"/>
  <c r="F120" i="407"/>
  <c r="F89" i="407"/>
  <c r="CI88" i="407"/>
  <c r="F185" i="407"/>
  <c r="A120" i="407"/>
  <c r="R88" i="407"/>
  <c r="D87" i="407"/>
  <c r="V97" i="407"/>
  <c r="G98" i="407"/>
  <c r="F186" i="407"/>
  <c r="C90" i="407"/>
  <c r="D186" i="407"/>
  <c r="F121" i="407"/>
  <c r="F92" i="407"/>
  <c r="AD91" i="407"/>
  <c r="CI91" i="407"/>
  <c r="R91" i="407"/>
  <c r="D90" i="407"/>
  <c r="V89" i="407"/>
  <c r="A89" i="407"/>
  <c r="CG87" i="407"/>
  <c r="B89" i="407"/>
  <c r="CG89" i="407"/>
  <c r="BP87" i="407"/>
  <c r="AE89" i="407"/>
  <c r="Q89" i="407"/>
  <c r="AE88" i="407"/>
  <c r="C89" i="407"/>
  <c r="Q87" i="407"/>
  <c r="K182" i="407"/>
  <c r="Q182" i="407"/>
  <c r="BP93" i="407"/>
  <c r="B95" i="407"/>
  <c r="CG95" i="407"/>
  <c r="AE95" i="407"/>
  <c r="V95" i="407"/>
  <c r="Q95" i="407"/>
  <c r="C95" i="407"/>
  <c r="CG93" i="407"/>
  <c r="A95" i="407"/>
  <c r="AE94" i="407"/>
  <c r="Q93" i="407"/>
  <c r="K184" i="407"/>
  <c r="Q184" i="407"/>
  <c r="D89" i="407"/>
  <c r="S88" i="407"/>
  <c r="S94" i="407"/>
  <c r="D95" i="407"/>
  <c r="CI97" i="407"/>
  <c r="F188" i="407"/>
  <c r="A123" i="407"/>
  <c r="AD97" i="407"/>
  <c r="C96" i="407"/>
  <c r="D188" i="407"/>
  <c r="F123" i="407"/>
  <c r="F98" i="407"/>
  <c r="R97" i="407"/>
  <c r="D96" i="407"/>
  <c r="BP90" i="407"/>
  <c r="A92" i="407"/>
  <c r="C92" i="407"/>
  <c r="CG90" i="407"/>
  <c r="B92" i="407"/>
  <c r="CG92" i="407"/>
  <c r="AE92" i="407"/>
  <c r="V92" i="407"/>
  <c r="Q92" i="407"/>
  <c r="AE91" i="407"/>
  <c r="Q90" i="407"/>
  <c r="K183" i="407"/>
  <c r="Q183" i="407"/>
  <c r="D98" i="407"/>
  <c r="S97" i="407"/>
  <c r="S91" i="407"/>
  <c r="D92" i="407"/>
  <c r="AD94" i="407"/>
  <c r="F187" i="407"/>
  <c r="A122" i="407"/>
  <c r="CI94" i="407"/>
  <c r="C93" i="407"/>
  <c r="D187" i="407"/>
  <c r="F122" i="407"/>
  <c r="F95" i="407"/>
  <c r="R94" i="407"/>
  <c r="D93" i="407"/>
  <c r="V88" i="407"/>
  <c r="G89" i="407"/>
  <c r="CG96" i="407"/>
  <c r="V98" i="407"/>
  <c r="C98" i="407"/>
  <c r="BP96" i="407"/>
  <c r="Q98" i="407"/>
  <c r="B98" i="407"/>
  <c r="CG98" i="407"/>
  <c r="AE98" i="407"/>
  <c r="AE97" i="407"/>
  <c r="A98" i="407"/>
  <c r="Q96" i="407"/>
  <c r="K185" i="407"/>
  <c r="Q185" i="407"/>
  <c r="AA42" i="407"/>
  <c r="AB43" i="407"/>
  <c r="AA41" i="407"/>
  <c r="Z29" i="407"/>
  <c r="AA30" i="407"/>
  <c r="Z28" i="407"/>
  <c r="AA55" i="407"/>
  <c r="Z54" i="407"/>
  <c r="Z53" i="407"/>
  <c r="Z49" i="407"/>
  <c r="Z50" i="407"/>
  <c r="AA51" i="407"/>
  <c r="Z67" i="407"/>
  <c r="Z66" i="407"/>
  <c r="AA68" i="407"/>
  <c r="AA34" i="407"/>
  <c r="Z32" i="407"/>
  <c r="Z33" i="407"/>
  <c r="Z45" i="407"/>
  <c r="Z46" i="407"/>
  <c r="AA47" i="407"/>
  <c r="Z20" i="407"/>
  <c r="AA22" i="407"/>
  <c r="Z21" i="407"/>
  <c r="Z57" i="407"/>
  <c r="Z58" i="407"/>
  <c r="AA59" i="407"/>
  <c r="Z37" i="407"/>
  <c r="AA38" i="407"/>
  <c r="Z36" i="407"/>
  <c r="Z25" i="407"/>
  <c r="Z24" i="407"/>
  <c r="AA26" i="407"/>
  <c r="AI25" i="90"/>
  <c r="AM27" i="90"/>
  <c r="AN26" i="90"/>
  <c r="AN28" i="90"/>
  <c r="AM30" i="90"/>
  <c r="AN30" i="90"/>
  <c r="AK27" i="90"/>
  <c r="AK28" i="90"/>
  <c r="AN27" i="90"/>
  <c r="AN21" i="90"/>
  <c r="AK25" i="90"/>
  <c r="AI30" i="90"/>
  <c r="AJ30" i="90"/>
  <c r="AI27" i="90"/>
  <c r="AJ27" i="90"/>
  <c r="AJ28" i="90"/>
  <c r="AJ29" i="90"/>
  <c r="AJ25" i="90"/>
  <c r="AI28" i="90"/>
  <c r="AK29" i="90"/>
  <c r="AL29" i="90"/>
  <c r="AL25" i="90"/>
  <c r="AI26" i="90"/>
  <c r="AM29" i="90"/>
  <c r="AM25" i="90"/>
  <c r="AJ26" i="90"/>
  <c r="AL28" i="90"/>
  <c r="AN29" i="90"/>
  <c r="AK30" i="90"/>
  <c r="AK26" i="90"/>
  <c r="AL26" i="90"/>
  <c r="AJ21" i="90"/>
  <c r="AI19" i="90"/>
  <c r="AK21" i="90"/>
  <c r="AM19" i="90"/>
  <c r="AN19" i="90"/>
  <c r="AL18" i="90"/>
  <c r="AK18" i="90"/>
  <c r="AM21" i="90"/>
  <c r="AM18" i="90"/>
  <c r="AJ19" i="90"/>
  <c r="AI23" i="90"/>
  <c r="AN18" i="90"/>
  <c r="AK19" i="90"/>
  <c r="AJ23" i="90"/>
  <c r="AI21" i="90"/>
  <c r="AK23" i="90"/>
  <c r="AL23" i="90"/>
  <c r="AI18" i="90"/>
  <c r="AM23" i="90"/>
  <c r="K78" i="92"/>
  <c r="C123" i="407"/>
  <c r="E123" i="407"/>
  <c r="BL123" i="407"/>
  <c r="BK123" i="407"/>
  <c r="AE93" i="407"/>
  <c r="CJ94" i="407"/>
  <c r="E187" i="407"/>
  <c r="G122" i="407"/>
  <c r="H122" i="407"/>
  <c r="J95" i="407"/>
  <c r="A121" i="407"/>
  <c r="D124" i="407"/>
  <c r="CJ91" i="407"/>
  <c r="AE90" i="407"/>
  <c r="J92" i="407"/>
  <c r="E186" i="407"/>
  <c r="G121" i="407"/>
  <c r="H121" i="407"/>
  <c r="W97" i="407"/>
  <c r="V96" i="407"/>
  <c r="C122" i="407"/>
  <c r="BL122" i="407"/>
  <c r="BK122" i="407"/>
  <c r="E122" i="407"/>
  <c r="J98" i="407"/>
  <c r="CJ97" i="407"/>
  <c r="E188" i="407"/>
  <c r="G123" i="407"/>
  <c r="H123" i="407"/>
  <c r="AE96" i="407"/>
  <c r="E185" i="407"/>
  <c r="G120" i="407"/>
  <c r="H120" i="407"/>
  <c r="AE87" i="407"/>
  <c r="CJ88" i="407"/>
  <c r="J89" i="407"/>
  <c r="W91" i="407"/>
  <c r="V90" i="407"/>
  <c r="V87" i="407"/>
  <c r="W88" i="407"/>
  <c r="E120" i="407"/>
  <c r="BK120" i="407"/>
  <c r="C120" i="407"/>
  <c r="BL120" i="407"/>
  <c r="V93" i="407"/>
  <c r="W94" i="407"/>
  <c r="AA45" i="407"/>
  <c r="AA46" i="407"/>
  <c r="AB47" i="407"/>
  <c r="AA50" i="407"/>
  <c r="AB51" i="407"/>
  <c r="AA49" i="407"/>
  <c r="AA21" i="407"/>
  <c r="AA20" i="407"/>
  <c r="AB22" i="407"/>
  <c r="AA37" i="407"/>
  <c r="AB38" i="407"/>
  <c r="AA36" i="407"/>
  <c r="AA58" i="407"/>
  <c r="AA57" i="407"/>
  <c r="AB59" i="407"/>
  <c r="AA32" i="407"/>
  <c r="AA33" i="407"/>
  <c r="AB34" i="407"/>
  <c r="AA54" i="407"/>
  <c r="AB55" i="407"/>
  <c r="AA53" i="407"/>
  <c r="AB30" i="407"/>
  <c r="AA28" i="407"/>
  <c r="AA29" i="407"/>
  <c r="AC43" i="407"/>
  <c r="AB41" i="407"/>
  <c r="AB42" i="407"/>
  <c r="AA67" i="407"/>
  <c r="AB68" i="407"/>
  <c r="AA66" i="407"/>
  <c r="AB26" i="407"/>
  <c r="AA25" i="407"/>
  <c r="AA24" i="407"/>
  <c r="AH28" i="90"/>
  <c r="AH27" i="90"/>
  <c r="AH30" i="90"/>
  <c r="AH29" i="90"/>
  <c r="AH25" i="90"/>
  <c r="AH26" i="90"/>
  <c r="AH19" i="90"/>
  <c r="AH21" i="90"/>
  <c r="AH23" i="90"/>
  <c r="AH18" i="90"/>
  <c r="J123" i="407"/>
  <c r="B123" i="407"/>
  <c r="J120" i="407"/>
  <c r="B120" i="407"/>
  <c r="X88" i="407"/>
  <c r="W87" i="407"/>
  <c r="CH94" i="407"/>
  <c r="I95" i="407"/>
  <c r="W96" i="407"/>
  <c r="X97" i="407"/>
  <c r="W90" i="407"/>
  <c r="X91" i="407"/>
  <c r="I98" i="407"/>
  <c r="CH97" i="407"/>
  <c r="I92" i="407"/>
  <c r="CH91" i="407"/>
  <c r="BL121" i="407"/>
  <c r="E121" i="407"/>
  <c r="C121" i="407"/>
  <c r="BK121" i="407"/>
  <c r="W93" i="407"/>
  <c r="X94" i="407"/>
  <c r="I89" i="407"/>
  <c r="CH88" i="407"/>
  <c r="J122" i="407"/>
  <c r="B122" i="407"/>
  <c r="AC51" i="407"/>
  <c r="AB49" i="407"/>
  <c r="AB50" i="407"/>
  <c r="AC59" i="407"/>
  <c r="AB57" i="407"/>
  <c r="AB58" i="407"/>
  <c r="AB37" i="407"/>
  <c r="AB36" i="407"/>
  <c r="AC38" i="407"/>
  <c r="AB46" i="407"/>
  <c r="AB45" i="407"/>
  <c r="AC47" i="407"/>
  <c r="AB29" i="407"/>
  <c r="AC30" i="407"/>
  <c r="AB28" i="407"/>
  <c r="AB67" i="407"/>
  <c r="AB66" i="407"/>
  <c r="AC68" i="407"/>
  <c r="AB53" i="407"/>
  <c r="AB54" i="407"/>
  <c r="AC55" i="407"/>
  <c r="AB32" i="407"/>
  <c r="AC34" i="407"/>
  <c r="AB33" i="407"/>
  <c r="AB24" i="407"/>
  <c r="AC26" i="407"/>
  <c r="AB25" i="407"/>
  <c r="AD43" i="407"/>
  <c r="AC42" i="407"/>
  <c r="AC41" i="407"/>
  <c r="AB21" i="407"/>
  <c r="AB20" i="407"/>
  <c r="AC22" i="407"/>
  <c r="B582" i="18"/>
  <c r="B546" i="18"/>
  <c r="J121" i="407"/>
  <c r="B121" i="407"/>
  <c r="Y91" i="407"/>
  <c r="X90" i="407"/>
  <c r="Y88" i="407"/>
  <c r="X87" i="407"/>
  <c r="Y97" i="407"/>
  <c r="X96" i="407"/>
  <c r="X93" i="407"/>
  <c r="Y94" i="407"/>
  <c r="AC32" i="407"/>
  <c r="AD34" i="407"/>
  <c r="AC33" i="407"/>
  <c r="AD47" i="407"/>
  <c r="AC45" i="407"/>
  <c r="AC46" i="407"/>
  <c r="AC29" i="407"/>
  <c r="AC28" i="407"/>
  <c r="AD30" i="407"/>
  <c r="AC53" i="407"/>
  <c r="AC54" i="407"/>
  <c r="AD55" i="407"/>
  <c r="AD41" i="407"/>
  <c r="AD42" i="407"/>
  <c r="AC67" i="407"/>
  <c r="AD68" i="407"/>
  <c r="AC66" i="407"/>
  <c r="AC57" i="407"/>
  <c r="AC58" i="407"/>
  <c r="AD59" i="407"/>
  <c r="AC25" i="407"/>
  <c r="AC24" i="407"/>
  <c r="AD26" i="407"/>
  <c r="AD22" i="407"/>
  <c r="AC21" i="407"/>
  <c r="AC20" i="407"/>
  <c r="AC37" i="407"/>
  <c r="AD38" i="407"/>
  <c r="AC36" i="407"/>
  <c r="AD51" i="407"/>
  <c r="AC50" i="407"/>
  <c r="AC49" i="407"/>
  <c r="I28" i="350"/>
  <c r="I32" i="350"/>
  <c r="I36" i="350"/>
  <c r="I40" i="350"/>
  <c r="I45" i="350"/>
  <c r="I49" i="350"/>
  <c r="I53" i="350"/>
  <c r="I57" i="350"/>
  <c r="I61" i="350"/>
  <c r="Z97" i="407"/>
  <c r="Y96" i="407"/>
  <c r="Z94" i="407"/>
  <c r="Y93" i="407"/>
  <c r="Y87" i="407"/>
  <c r="Z88" i="407"/>
  <c r="Y90" i="407"/>
  <c r="Z91" i="407"/>
  <c r="AD67" i="407"/>
  <c r="AD66" i="407"/>
  <c r="AD25" i="407"/>
  <c r="AD24" i="407"/>
  <c r="AD50" i="407"/>
  <c r="AD49" i="407"/>
  <c r="AD54" i="407"/>
  <c r="AD53" i="407"/>
  <c r="AD21" i="407"/>
  <c r="AD20" i="407"/>
  <c r="AD58" i="407"/>
  <c r="AD57" i="407"/>
  <c r="AD45" i="407"/>
  <c r="AD46" i="407"/>
  <c r="AD32" i="407"/>
  <c r="AD33" i="407"/>
  <c r="AD37" i="407"/>
  <c r="AD36" i="407"/>
  <c r="AD28" i="407"/>
  <c r="AD29" i="407"/>
  <c r="AF30" i="350"/>
  <c r="AF28" i="350"/>
  <c r="G170" i="350"/>
  <c r="C35" i="350"/>
  <c r="M5" i="350"/>
  <c r="AA97" i="407"/>
  <c r="Z96" i="407"/>
  <c r="Z90" i="407"/>
  <c r="AA91" i="407"/>
  <c r="AA88" i="407"/>
  <c r="Z87" i="407"/>
  <c r="AA94" i="407"/>
  <c r="Z93" i="407"/>
  <c r="AF34" i="350"/>
  <c r="AF32" i="350"/>
  <c r="G171" i="350"/>
  <c r="C39" i="350"/>
  <c r="H193" i="350"/>
  <c r="H192" i="350"/>
  <c r="B192" i="350"/>
  <c r="A192" i="350"/>
  <c r="B191" i="350"/>
  <c r="A191" i="350"/>
  <c r="J190" i="350"/>
  <c r="B190" i="350"/>
  <c r="A190" i="350"/>
  <c r="J187" i="350"/>
  <c r="B189" i="350"/>
  <c r="A189" i="350"/>
  <c r="B188" i="350"/>
  <c r="A188" i="350"/>
  <c r="J185" i="350"/>
  <c r="Q184" i="350"/>
  <c r="O184" i="350"/>
  <c r="B183" i="350"/>
  <c r="A183" i="350"/>
  <c r="J183" i="350"/>
  <c r="B182" i="350"/>
  <c r="A182" i="350"/>
  <c r="B181" i="350"/>
  <c r="A181" i="350"/>
  <c r="J181" i="350"/>
  <c r="B180" i="350"/>
  <c r="A180" i="350"/>
  <c r="B179" i="350"/>
  <c r="A179" i="350"/>
  <c r="B178" i="350"/>
  <c r="A178" i="350"/>
  <c r="J178" i="350"/>
  <c r="B177" i="350"/>
  <c r="A177" i="350"/>
  <c r="J177" i="350"/>
  <c r="B176" i="350"/>
  <c r="A176" i="350"/>
  <c r="J176" i="350"/>
  <c r="B175" i="350"/>
  <c r="A175" i="350"/>
  <c r="J175" i="350"/>
  <c r="B174" i="350"/>
  <c r="A174" i="350"/>
  <c r="B173" i="350"/>
  <c r="A173" i="350"/>
  <c r="J173" i="350"/>
  <c r="B172" i="350"/>
  <c r="A172" i="350"/>
  <c r="K171" i="350"/>
  <c r="B171" i="350"/>
  <c r="A171" i="350"/>
  <c r="K170" i="350"/>
  <c r="B170" i="350"/>
  <c r="A170" i="350"/>
  <c r="J170" i="350"/>
  <c r="K169" i="350"/>
  <c r="C169" i="350"/>
  <c r="B169" i="350"/>
  <c r="A169" i="350"/>
  <c r="J169" i="350"/>
  <c r="B168" i="350"/>
  <c r="A168" i="350"/>
  <c r="BF4" i="350"/>
  <c r="I167" i="350"/>
  <c r="D125" i="350"/>
  <c r="D124" i="350"/>
  <c r="F122" i="350"/>
  <c r="E122" i="350"/>
  <c r="C122" i="350"/>
  <c r="A120" i="350"/>
  <c r="BK120" i="350"/>
  <c r="CK103" i="350"/>
  <c r="U103" i="350"/>
  <c r="T102" i="350"/>
  <c r="H102" i="350"/>
  <c r="CK101" i="350"/>
  <c r="CG101" i="350"/>
  <c r="CK100" i="350"/>
  <c r="T99" i="350"/>
  <c r="H99" i="350"/>
  <c r="CK98" i="350"/>
  <c r="CG98" i="350"/>
  <c r="CK97" i="350"/>
  <c r="T96" i="350"/>
  <c r="H96" i="350"/>
  <c r="CK95" i="350"/>
  <c r="CG95" i="350"/>
  <c r="CK94" i="350"/>
  <c r="T93" i="350"/>
  <c r="CK92" i="350"/>
  <c r="CG92" i="350"/>
  <c r="CK91" i="350"/>
  <c r="T90" i="350"/>
  <c r="CK89" i="350"/>
  <c r="CG89" i="350"/>
  <c r="K89" i="350"/>
  <c r="CK88" i="350"/>
  <c r="T85" i="350"/>
  <c r="H85" i="350"/>
  <c r="H90" i="350"/>
  <c r="H93" i="350"/>
  <c r="CK84" i="350"/>
  <c r="CK82" i="350"/>
  <c r="CI82" i="350"/>
  <c r="CH82" i="350"/>
  <c r="T81" i="350"/>
  <c r="H81" i="350"/>
  <c r="CK80" i="350"/>
  <c r="CK78" i="350"/>
  <c r="CI78" i="350"/>
  <c r="CH78" i="350"/>
  <c r="T77" i="350"/>
  <c r="H77" i="350"/>
  <c r="CK76" i="350"/>
  <c r="CK74" i="350"/>
  <c r="CI74" i="350"/>
  <c r="CH74" i="350"/>
  <c r="T73" i="350"/>
  <c r="H73" i="350"/>
  <c r="CK72" i="350"/>
  <c r="CW71" i="350"/>
  <c r="BB71" i="350"/>
  <c r="CK70" i="350"/>
  <c r="CI70" i="350"/>
  <c r="CH70" i="350"/>
  <c r="BB69" i="350"/>
  <c r="T69" i="350"/>
  <c r="H69" i="350"/>
  <c r="AF68" i="350"/>
  <c r="CK68" i="350"/>
  <c r="CK66" i="350"/>
  <c r="CI66" i="350"/>
  <c r="CH66" i="350"/>
  <c r="BB64" i="350"/>
  <c r="T64" i="350"/>
  <c r="H64" i="350"/>
  <c r="CK63" i="350"/>
  <c r="CK61" i="350"/>
  <c r="CI61" i="350"/>
  <c r="CH61" i="350"/>
  <c r="BB60" i="350"/>
  <c r="T60" i="350"/>
  <c r="H60" i="350"/>
  <c r="CK59" i="350"/>
  <c r="CK57" i="350"/>
  <c r="CI57" i="350"/>
  <c r="CH57" i="350"/>
  <c r="BB56" i="350"/>
  <c r="T56" i="350"/>
  <c r="H56" i="350"/>
  <c r="CK55" i="350"/>
  <c r="CK53" i="350"/>
  <c r="CI53" i="350"/>
  <c r="CH53" i="350"/>
  <c r="BB52" i="350"/>
  <c r="T52" i="350"/>
  <c r="H52" i="350"/>
  <c r="CK51" i="350"/>
  <c r="CK49" i="350"/>
  <c r="CI49" i="350"/>
  <c r="CH49" i="350"/>
  <c r="BB48" i="350"/>
  <c r="T48" i="350"/>
  <c r="H48" i="350"/>
  <c r="CK47" i="350"/>
  <c r="CK45" i="350"/>
  <c r="CI45" i="350"/>
  <c r="CH45" i="350"/>
  <c r="T43" i="350"/>
  <c r="H43" i="350"/>
  <c r="CK42" i="350"/>
  <c r="CK40" i="350"/>
  <c r="CI40" i="350"/>
  <c r="CH40" i="350"/>
  <c r="T39" i="350"/>
  <c r="H39" i="350"/>
  <c r="CK38" i="350"/>
  <c r="CK36" i="350"/>
  <c r="CI36" i="350"/>
  <c r="CH36" i="350"/>
  <c r="T35" i="350"/>
  <c r="I35" i="350"/>
  <c r="H35" i="350"/>
  <c r="CK34" i="350"/>
  <c r="CK32" i="350"/>
  <c r="CI32" i="350"/>
  <c r="CH32" i="350"/>
  <c r="T31" i="350"/>
  <c r="I31" i="350"/>
  <c r="H31" i="350"/>
  <c r="CK30" i="350"/>
  <c r="C170" i="350"/>
  <c r="CK28" i="350"/>
  <c r="CI28" i="350"/>
  <c r="CH28" i="350"/>
  <c r="T27" i="350"/>
  <c r="I27" i="350"/>
  <c r="H27" i="350"/>
  <c r="CK26" i="350"/>
  <c r="J26" i="350"/>
  <c r="J30" i="350"/>
  <c r="CH25" i="350"/>
  <c r="CK24" i="350"/>
  <c r="CI24" i="350"/>
  <c r="CH24" i="350"/>
  <c r="K24" i="350"/>
  <c r="J24" i="350"/>
  <c r="BC22" i="350"/>
  <c r="BK6" i="350"/>
  <c r="BP6" i="350"/>
  <c r="K21" i="350"/>
  <c r="D20" i="350"/>
  <c r="C20" i="350"/>
  <c r="HA19" i="350"/>
  <c r="CV19" i="350"/>
  <c r="CU19" i="350"/>
  <c r="CQ19" i="350"/>
  <c r="CM19" i="350"/>
  <c r="CI19" i="350"/>
  <c r="X19" i="350"/>
  <c r="F19" i="350"/>
  <c r="CR19" i="350"/>
  <c r="E19" i="350"/>
  <c r="B19" i="350"/>
  <c r="CT19" i="350"/>
  <c r="A19" i="350"/>
  <c r="GZ18" i="350"/>
  <c r="GY18" i="350"/>
  <c r="GX18" i="350"/>
  <c r="GR18" i="350"/>
  <c r="GL18" i="350"/>
  <c r="GF18" i="350"/>
  <c r="FZ18" i="350"/>
  <c r="FT18" i="350"/>
  <c r="FN18" i="350"/>
  <c r="FH18" i="350"/>
  <c r="FB18" i="350"/>
  <c r="EV18" i="350"/>
  <c r="EP18" i="350"/>
  <c r="EJ18" i="350"/>
  <c r="ED18" i="350"/>
  <c r="DX18" i="350"/>
  <c r="DR18" i="350"/>
  <c r="DL18" i="350"/>
  <c r="CZ18" i="350"/>
  <c r="CU18" i="350"/>
  <c r="CT18" i="350"/>
  <c r="A18" i="350"/>
  <c r="GZ17" i="350"/>
  <c r="GY17" i="350"/>
  <c r="GX17" i="350"/>
  <c r="GR17" i="350"/>
  <c r="GL17" i="350"/>
  <c r="GF17" i="350"/>
  <c r="FZ17" i="350"/>
  <c r="FT17" i="350"/>
  <c r="FN17" i="350"/>
  <c r="FH17" i="350"/>
  <c r="FB17" i="350"/>
  <c r="EV17" i="350"/>
  <c r="EP17" i="350"/>
  <c r="EJ17" i="350"/>
  <c r="ED17" i="350"/>
  <c r="DX17" i="350"/>
  <c r="DR17" i="350"/>
  <c r="DL17" i="350"/>
  <c r="CZ17" i="350"/>
  <c r="CU17" i="350"/>
  <c r="CT17" i="350"/>
  <c r="A17" i="350"/>
  <c r="GZ16" i="350"/>
  <c r="GY16" i="350"/>
  <c r="GX16" i="350"/>
  <c r="GR16" i="350"/>
  <c r="GL16" i="350"/>
  <c r="GF16" i="350"/>
  <c r="FZ16" i="350"/>
  <c r="FT16" i="350"/>
  <c r="FN16" i="350"/>
  <c r="FH16" i="350"/>
  <c r="FB16" i="350"/>
  <c r="EV16" i="350"/>
  <c r="EP16" i="350"/>
  <c r="EJ16" i="350"/>
  <c r="ED16" i="350"/>
  <c r="DX16" i="350"/>
  <c r="DR16" i="350"/>
  <c r="DL16" i="350"/>
  <c r="CZ16" i="350"/>
  <c r="CU16" i="350"/>
  <c r="CT16" i="350"/>
  <c r="A16" i="350"/>
  <c r="HA15" i="350"/>
  <c r="CV15" i="350"/>
  <c r="CU15" i="350"/>
  <c r="CQ15" i="350"/>
  <c r="CM15" i="350"/>
  <c r="CI15" i="350"/>
  <c r="X15" i="350"/>
  <c r="HA14" i="350"/>
  <c r="CV14" i="350"/>
  <c r="CU14" i="350"/>
  <c r="CT14" i="350"/>
  <c r="A14" i="350"/>
  <c r="CJ14" i="350"/>
  <c r="GZ13" i="350"/>
  <c r="GY13" i="350"/>
  <c r="GX13" i="350"/>
  <c r="GR13" i="350"/>
  <c r="GL13" i="350"/>
  <c r="GF13" i="350"/>
  <c r="FZ13" i="350"/>
  <c r="FT13" i="350"/>
  <c r="FN13" i="350"/>
  <c r="FH13" i="350"/>
  <c r="FB13" i="350"/>
  <c r="EV13" i="350"/>
  <c r="EP13" i="350"/>
  <c r="EJ13" i="350"/>
  <c r="ED13" i="350"/>
  <c r="DX13" i="350"/>
  <c r="DR13" i="350"/>
  <c r="DL13" i="350"/>
  <c r="CZ13" i="350"/>
  <c r="CU13" i="350"/>
  <c r="CT13" i="350"/>
  <c r="A13" i="350"/>
  <c r="GZ12" i="350"/>
  <c r="GY12" i="350"/>
  <c r="GX12" i="350"/>
  <c r="GR12" i="350"/>
  <c r="GL12" i="350"/>
  <c r="GF12" i="350"/>
  <c r="FZ12" i="350"/>
  <c r="FT12" i="350"/>
  <c r="FN12" i="350"/>
  <c r="FH12" i="350"/>
  <c r="FB12" i="350"/>
  <c r="EV12" i="350"/>
  <c r="EP12" i="350"/>
  <c r="EJ12" i="350"/>
  <c r="ED12" i="350"/>
  <c r="DX12" i="350"/>
  <c r="DR12" i="350"/>
  <c r="DL12" i="350"/>
  <c r="CZ12" i="350"/>
  <c r="CU12" i="350"/>
  <c r="CT12" i="350"/>
  <c r="A12" i="350"/>
  <c r="GZ11" i="350"/>
  <c r="GY11" i="350"/>
  <c r="GX11" i="350"/>
  <c r="GR11" i="350"/>
  <c r="GL11" i="350"/>
  <c r="GF11" i="350"/>
  <c r="FZ11" i="350"/>
  <c r="FT11" i="350"/>
  <c r="FN11" i="350"/>
  <c r="FH11" i="350"/>
  <c r="FB11" i="350"/>
  <c r="EV11" i="350"/>
  <c r="EP11" i="350"/>
  <c r="EJ11" i="350"/>
  <c r="ED11" i="350"/>
  <c r="DX11" i="350"/>
  <c r="DR11" i="350"/>
  <c r="DL11" i="350"/>
  <c r="CZ11" i="350"/>
  <c r="CU11" i="350"/>
  <c r="CT11" i="350"/>
  <c r="A11" i="350"/>
  <c r="HA10" i="350"/>
  <c r="CV10" i="350"/>
  <c r="CU10" i="350"/>
  <c r="CQ10" i="350"/>
  <c r="CM10" i="350"/>
  <c r="CI10" i="350"/>
  <c r="X10" i="350"/>
  <c r="HA9" i="350"/>
  <c r="CV9" i="350"/>
  <c r="CU9" i="350"/>
  <c r="CT9" i="350"/>
  <c r="A9" i="350"/>
  <c r="CJ9" i="350"/>
  <c r="GZ8" i="350"/>
  <c r="GY8" i="350"/>
  <c r="GX8" i="350"/>
  <c r="GR8" i="350"/>
  <c r="GL8" i="350"/>
  <c r="GF8" i="350"/>
  <c r="FZ8" i="350"/>
  <c r="FT8" i="350"/>
  <c r="FN8" i="350"/>
  <c r="FH8" i="350"/>
  <c r="FB8" i="350"/>
  <c r="EV8" i="350"/>
  <c r="EP8" i="350"/>
  <c r="EJ8" i="350"/>
  <c r="ED8" i="350"/>
  <c r="DX8" i="350"/>
  <c r="DR8" i="350"/>
  <c r="DL8" i="350"/>
  <c r="CZ8" i="350"/>
  <c r="CU8" i="350"/>
  <c r="CT8" i="350"/>
  <c r="A8" i="350"/>
  <c r="HA5" i="350"/>
  <c r="CV5" i="350"/>
  <c r="CU5" i="350"/>
  <c r="CT5" i="350"/>
  <c r="A5" i="350"/>
  <c r="CQ5" i="350"/>
  <c r="CJ5" i="350"/>
  <c r="CH5" i="350"/>
  <c r="BO4" i="350"/>
  <c r="BM4" i="350"/>
  <c r="BJ4" i="350"/>
  <c r="M4" i="350"/>
  <c r="L4" i="350"/>
  <c r="BJ5" i="350"/>
  <c r="J4" i="350"/>
  <c r="BH5" i="350"/>
  <c r="GW3" i="350"/>
  <c r="GQ3" i="350"/>
  <c r="GK3" i="350"/>
  <c r="GE3" i="350"/>
  <c r="FY3" i="350"/>
  <c r="FS3" i="350"/>
  <c r="FM3" i="350"/>
  <c r="FG3" i="350"/>
  <c r="FA3" i="350"/>
  <c r="EU3" i="350"/>
  <c r="EO3" i="350"/>
  <c r="BX3" i="350"/>
  <c r="EI3" i="350"/>
  <c r="EC3" i="350"/>
  <c r="DW3" i="350"/>
  <c r="DQ3" i="350"/>
  <c r="CF3" i="350"/>
  <c r="CE3" i="350"/>
  <c r="CD3" i="350"/>
  <c r="CC3" i="350"/>
  <c r="CB3" i="350"/>
  <c r="CA3" i="350"/>
  <c r="BY3" i="350"/>
  <c r="BW3" i="350"/>
  <c r="BV3" i="350"/>
  <c r="BU3" i="350"/>
  <c r="BT3" i="350"/>
  <c r="BS3" i="350"/>
  <c r="BR3" i="350"/>
  <c r="BH3" i="350"/>
  <c r="GU2" i="350"/>
  <c r="GO2" i="350"/>
  <c r="GI2" i="350"/>
  <c r="GC2" i="350"/>
  <c r="FW2" i="350"/>
  <c r="FQ2" i="350"/>
  <c r="FK2" i="350"/>
  <c r="FE2" i="350"/>
  <c r="EY2" i="350"/>
  <c r="ES2" i="350"/>
  <c r="EM2" i="350"/>
  <c r="EG2" i="350"/>
  <c r="EA2" i="350"/>
  <c r="DU2" i="350"/>
  <c r="DO2" i="350"/>
  <c r="CI2" i="350"/>
  <c r="AA87" i="407"/>
  <c r="AB88" i="407"/>
  <c r="AA90" i="407"/>
  <c r="AB91" i="407"/>
  <c r="AA93" i="407"/>
  <c r="AB94" i="407"/>
  <c r="AA96" i="407"/>
  <c r="AB97" i="407"/>
  <c r="CQ7" i="350"/>
  <c r="X7" i="350"/>
  <c r="E7" i="350"/>
  <c r="F7" i="350"/>
  <c r="CQ6" i="350"/>
  <c r="X6" i="350"/>
  <c r="E6" i="350"/>
  <c r="F6" i="350"/>
  <c r="BH4" i="350"/>
  <c r="R171" i="350"/>
  <c r="L169" i="350"/>
  <c r="AF38" i="350"/>
  <c r="AF36" i="350"/>
  <c r="G172" i="350"/>
  <c r="I39" i="350"/>
  <c r="K172" i="350"/>
  <c r="BQ4" i="350"/>
  <c r="C43" i="350"/>
  <c r="CF4" i="350"/>
  <c r="BY4" i="350"/>
  <c r="BS4" i="350"/>
  <c r="C89" i="350"/>
  <c r="CD4" i="350"/>
  <c r="M90" i="350"/>
  <c r="D123" i="350"/>
  <c r="C95" i="350"/>
  <c r="M96" i="350"/>
  <c r="D127" i="350"/>
  <c r="K54" i="350"/>
  <c r="D112" i="350"/>
  <c r="BX4" i="350"/>
  <c r="K50" i="350"/>
  <c r="D111" i="350"/>
  <c r="K25" i="350"/>
  <c r="N24" i="350"/>
  <c r="BR4" i="350"/>
  <c r="BZ4" i="350"/>
  <c r="K58" i="350"/>
  <c r="D113" i="350"/>
  <c r="K29" i="350"/>
  <c r="D106" i="350"/>
  <c r="BV4" i="350"/>
  <c r="J189" i="350"/>
  <c r="M102" i="350"/>
  <c r="C101" i="350"/>
  <c r="C92" i="350"/>
  <c r="M93" i="350"/>
  <c r="D126" i="350"/>
  <c r="J186" i="350"/>
  <c r="J179" i="350"/>
  <c r="K67" i="350"/>
  <c r="M66" i="350"/>
  <c r="CB4" i="350"/>
  <c r="J174" i="350"/>
  <c r="K46" i="350"/>
  <c r="M46" i="350"/>
  <c r="BW4" i="350"/>
  <c r="CA4" i="350"/>
  <c r="K62" i="350"/>
  <c r="N62" i="350"/>
  <c r="J171" i="350"/>
  <c r="K33" i="350"/>
  <c r="N33" i="350"/>
  <c r="BT4" i="350"/>
  <c r="J172" i="350"/>
  <c r="BU4" i="350"/>
  <c r="K37" i="350"/>
  <c r="M38" i="350"/>
  <c r="K41" i="350"/>
  <c r="D109" i="350"/>
  <c r="K83" i="350"/>
  <c r="D119" i="350"/>
  <c r="J182" i="350"/>
  <c r="K79" i="350"/>
  <c r="M78" i="350"/>
  <c r="CE4" i="350"/>
  <c r="K75" i="350"/>
  <c r="N75" i="350"/>
  <c r="I19" i="350"/>
  <c r="CL19" i="350"/>
  <c r="J180" i="350"/>
  <c r="CC4" i="350"/>
  <c r="K71" i="350"/>
  <c r="M72" i="350"/>
  <c r="GX22" i="350"/>
  <c r="U86" i="350"/>
  <c r="J34" i="350"/>
  <c r="CH29" i="350"/>
  <c r="C98" i="350"/>
  <c r="J188" i="350"/>
  <c r="M99" i="350"/>
  <c r="L171" i="350"/>
  <c r="L170" i="350"/>
  <c r="R170" i="350"/>
  <c r="AB93" i="407"/>
  <c r="AC94" i="407"/>
  <c r="AC93" i="407"/>
  <c r="AB90" i="407"/>
  <c r="AC91" i="407"/>
  <c r="AC90" i="407"/>
  <c r="AC97" i="407"/>
  <c r="AC96" i="407"/>
  <c r="AB96" i="407"/>
  <c r="AB87" i="407"/>
  <c r="AC88" i="407"/>
  <c r="AC87" i="407"/>
  <c r="FO3" i="350"/>
  <c r="CA6" i="350"/>
  <c r="FO6" i="350"/>
  <c r="CA7" i="350"/>
  <c r="FO7" i="350"/>
  <c r="EQ3" i="350"/>
  <c r="BZ3" i="350"/>
  <c r="BW6" i="350"/>
  <c r="EQ6" i="350"/>
  <c r="BW7" i="350"/>
  <c r="EQ7" i="350"/>
  <c r="DM3" i="350"/>
  <c r="BR6" i="350"/>
  <c r="DM6" i="350"/>
  <c r="BR7" i="350"/>
  <c r="DM7" i="350"/>
  <c r="GG3" i="350"/>
  <c r="CD7" i="350"/>
  <c r="GG7" i="350"/>
  <c r="CD6" i="350"/>
  <c r="GG6" i="350"/>
  <c r="DG185" i="350"/>
  <c r="CD85" i="350"/>
  <c r="CE6" i="350"/>
  <c r="GM6" i="350"/>
  <c r="CE7" i="350"/>
  <c r="GM7" i="350"/>
  <c r="DA185" i="350"/>
  <c r="CY1" i="350"/>
  <c r="BT7" i="350"/>
  <c r="DY7" i="350"/>
  <c r="BT6" i="350"/>
  <c r="DY6" i="350"/>
  <c r="FU3" i="350"/>
  <c r="CB6" i="350"/>
  <c r="FU6" i="350"/>
  <c r="CB7" i="350"/>
  <c r="FU7" i="350"/>
  <c r="EW3" i="350"/>
  <c r="BX6" i="350"/>
  <c r="EW6" i="350"/>
  <c r="BX7" i="350"/>
  <c r="EW7" i="350"/>
  <c r="DS3" i="350"/>
  <c r="BS6" i="350"/>
  <c r="DS6" i="350"/>
  <c r="BS7" i="350"/>
  <c r="DS7" i="350"/>
  <c r="EK3" i="350"/>
  <c r="BV7" i="350"/>
  <c r="EK7" i="350"/>
  <c r="BV6" i="350"/>
  <c r="EK6" i="350"/>
  <c r="FC3" i="350"/>
  <c r="BY7" i="350"/>
  <c r="FC7" i="350"/>
  <c r="BY6" i="350"/>
  <c r="FC6" i="350"/>
  <c r="GS3" i="350"/>
  <c r="CF7" i="350"/>
  <c r="CF6" i="350"/>
  <c r="DB185" i="350"/>
  <c r="BX85" i="350"/>
  <c r="BU7" i="350"/>
  <c r="EE7" i="350"/>
  <c r="BU6" i="350"/>
  <c r="EE6" i="350"/>
  <c r="FI3" i="350"/>
  <c r="BZ6" i="350"/>
  <c r="FI6" i="350"/>
  <c r="BZ7" i="350"/>
  <c r="FI7" i="350"/>
  <c r="DH3" i="350"/>
  <c r="BQ7" i="350"/>
  <c r="BQ6" i="350"/>
  <c r="CV6" i="350"/>
  <c r="H6" i="350"/>
  <c r="G6" i="350"/>
  <c r="G7" i="350"/>
  <c r="CV7" i="350"/>
  <c r="H7" i="350"/>
  <c r="DE185" i="350"/>
  <c r="CA85" i="350"/>
  <c r="CC6" i="350"/>
  <c r="GA6" i="350"/>
  <c r="CC7" i="350"/>
  <c r="GA7" i="350"/>
  <c r="P169" i="350"/>
  <c r="R26" i="350"/>
  <c r="R169" i="350"/>
  <c r="P170" i="350"/>
  <c r="R30" i="350"/>
  <c r="AF42" i="350"/>
  <c r="AF40" i="350"/>
  <c r="G173" i="350"/>
  <c r="L172" i="350"/>
  <c r="R172" i="350"/>
  <c r="DC185" i="350"/>
  <c r="DA1" i="350"/>
  <c r="N57" i="350"/>
  <c r="N29" i="350"/>
  <c r="O57" i="350"/>
  <c r="M57" i="350"/>
  <c r="C48" i="350"/>
  <c r="K173" i="350"/>
  <c r="I43" i="350"/>
  <c r="M59" i="350"/>
  <c r="N58" i="350"/>
  <c r="CZ185" i="350"/>
  <c r="BR85" i="350"/>
  <c r="M30" i="350"/>
  <c r="DH185" i="350"/>
  <c r="CE85" i="350"/>
  <c r="M28" i="350"/>
  <c r="DF185" i="350"/>
  <c r="CC85" i="350"/>
  <c r="DY3" i="350"/>
  <c r="M58" i="350"/>
  <c r="O53" i="350"/>
  <c r="N79" i="350"/>
  <c r="M55" i="350"/>
  <c r="M53" i="350"/>
  <c r="M54" i="350"/>
  <c r="N53" i="350"/>
  <c r="N54" i="350"/>
  <c r="D110" i="350"/>
  <c r="M50" i="350"/>
  <c r="M41" i="350"/>
  <c r="M36" i="350"/>
  <c r="M40" i="350"/>
  <c r="M49" i="350"/>
  <c r="M83" i="350"/>
  <c r="N50" i="350"/>
  <c r="M51" i="350"/>
  <c r="N40" i="350"/>
  <c r="M32" i="350"/>
  <c r="D105" i="350"/>
  <c r="O40" i="350"/>
  <c r="M37" i="350"/>
  <c r="O32" i="350"/>
  <c r="M34" i="350"/>
  <c r="M33" i="350"/>
  <c r="D107" i="350"/>
  <c r="M24" i="350"/>
  <c r="M25" i="350"/>
  <c r="N25" i="350"/>
  <c r="M26" i="350"/>
  <c r="M76" i="350"/>
  <c r="N83" i="350"/>
  <c r="D117" i="350"/>
  <c r="CY185" i="350"/>
  <c r="CW1" i="350"/>
  <c r="M84" i="350"/>
  <c r="M61" i="350"/>
  <c r="M29" i="350"/>
  <c r="N78" i="350"/>
  <c r="N70" i="350"/>
  <c r="M82" i="350"/>
  <c r="EE3" i="350"/>
  <c r="O82" i="350"/>
  <c r="M47" i="350"/>
  <c r="N46" i="350"/>
  <c r="M45" i="350"/>
  <c r="O66" i="350"/>
  <c r="N82" i="350"/>
  <c r="D115" i="350"/>
  <c r="M68" i="350"/>
  <c r="M67" i="350"/>
  <c r="D114" i="350"/>
  <c r="M62" i="350"/>
  <c r="M63" i="350"/>
  <c r="DD185" i="350"/>
  <c r="BZ85" i="350"/>
  <c r="O45" i="350"/>
  <c r="N32" i="350"/>
  <c r="N28" i="350"/>
  <c r="N66" i="350"/>
  <c r="O36" i="350"/>
  <c r="N61" i="350"/>
  <c r="N74" i="350"/>
  <c r="O61" i="350"/>
  <c r="N49" i="350"/>
  <c r="N45" i="350"/>
  <c r="O49" i="350"/>
  <c r="N36" i="350"/>
  <c r="O28" i="350"/>
  <c r="D108" i="350"/>
  <c r="N37" i="350"/>
  <c r="N41" i="350"/>
  <c r="M42" i="350"/>
  <c r="GM3" i="350"/>
  <c r="D118" i="350"/>
  <c r="M79" i="350"/>
  <c r="M80" i="350"/>
  <c r="M75" i="350"/>
  <c r="M74" i="350"/>
  <c r="O74" i="350"/>
  <c r="GA3" i="350"/>
  <c r="D116" i="350"/>
  <c r="M71" i="350"/>
  <c r="O70" i="350"/>
  <c r="M70" i="350"/>
  <c r="J38" i="350"/>
  <c r="CZ1" i="350"/>
  <c r="DC1" i="350"/>
  <c r="BW85" i="350"/>
  <c r="BT85" i="350"/>
  <c r="DE1" i="350"/>
  <c r="GS7" i="350"/>
  <c r="GT7" i="350"/>
  <c r="GW7" i="350"/>
  <c r="GS6" i="350"/>
  <c r="GT6" i="350"/>
  <c r="GW6" i="350"/>
  <c r="EH6" i="350"/>
  <c r="EG6" i="350"/>
  <c r="EF6" i="350"/>
  <c r="EI6" i="350"/>
  <c r="EY6" i="350"/>
  <c r="EZ6" i="350"/>
  <c r="EX6" i="350"/>
  <c r="FA6" i="350"/>
  <c r="GO7" i="350"/>
  <c r="GN7" i="350"/>
  <c r="GQ7" i="350"/>
  <c r="GP7" i="350"/>
  <c r="BS85" i="350"/>
  <c r="EF7" i="350"/>
  <c r="EI7" i="350"/>
  <c r="EH7" i="350"/>
  <c r="EG7" i="350"/>
  <c r="EN6" i="350"/>
  <c r="EM6" i="350"/>
  <c r="EL6" i="350"/>
  <c r="EO6" i="350"/>
  <c r="GN6" i="350"/>
  <c r="GQ6" i="350"/>
  <c r="GO6" i="350"/>
  <c r="GP6" i="350"/>
  <c r="ES7" i="350"/>
  <c r="ER7" i="350"/>
  <c r="EU7" i="350"/>
  <c r="ET7" i="350"/>
  <c r="DH6" i="350"/>
  <c r="EM7" i="350"/>
  <c r="EL7" i="350"/>
  <c r="EO7" i="350"/>
  <c r="EN7" i="350"/>
  <c r="FX7" i="350"/>
  <c r="FW7" i="350"/>
  <c r="FV7" i="350"/>
  <c r="FY7" i="350"/>
  <c r="ET6" i="350"/>
  <c r="ES6" i="350"/>
  <c r="ER6" i="350"/>
  <c r="EU6" i="350"/>
  <c r="DP6" i="350"/>
  <c r="DN6" i="350"/>
  <c r="DQ6" i="350"/>
  <c r="DO6" i="350"/>
  <c r="DH7" i="350"/>
  <c r="FX6" i="350"/>
  <c r="FW6" i="350"/>
  <c r="FV6" i="350"/>
  <c r="FY6" i="350"/>
  <c r="GI6" i="350"/>
  <c r="GJ6" i="350"/>
  <c r="GH6" i="350"/>
  <c r="GK6" i="350"/>
  <c r="DU7" i="350"/>
  <c r="DT7" i="350"/>
  <c r="DW7" i="350"/>
  <c r="DV7" i="350"/>
  <c r="GI7" i="350"/>
  <c r="GH7" i="350"/>
  <c r="GK7" i="350"/>
  <c r="GJ7" i="350"/>
  <c r="FR7" i="350"/>
  <c r="FQ7" i="350"/>
  <c r="FP7" i="350"/>
  <c r="FS7" i="350"/>
  <c r="FF7" i="350"/>
  <c r="FE7" i="350"/>
  <c r="FD7" i="350"/>
  <c r="FG7" i="350"/>
  <c r="FK7" i="350"/>
  <c r="FJ7" i="350"/>
  <c r="FM7" i="350"/>
  <c r="FL7" i="350"/>
  <c r="DV6" i="350"/>
  <c r="DT6" i="350"/>
  <c r="DW6" i="350"/>
  <c r="DU6" i="350"/>
  <c r="EB6" i="350"/>
  <c r="EA6" i="350"/>
  <c r="DZ6" i="350"/>
  <c r="EC6" i="350"/>
  <c r="FR6" i="350"/>
  <c r="FQ6" i="350"/>
  <c r="FP6" i="350"/>
  <c r="FS6" i="350"/>
  <c r="EY7" i="350"/>
  <c r="EX7" i="350"/>
  <c r="FA7" i="350"/>
  <c r="EZ7" i="350"/>
  <c r="FL6" i="350"/>
  <c r="FK6" i="350"/>
  <c r="FJ6" i="350"/>
  <c r="FM6" i="350"/>
  <c r="FF6" i="350"/>
  <c r="FE6" i="350"/>
  <c r="FD6" i="350"/>
  <c r="FG6" i="350"/>
  <c r="EB7" i="350"/>
  <c r="DZ7" i="350"/>
  <c r="EC7" i="350"/>
  <c r="EA7" i="350"/>
  <c r="DO7" i="350"/>
  <c r="DN7" i="350"/>
  <c r="DQ7" i="350"/>
  <c r="DP7" i="350"/>
  <c r="GC7" i="350"/>
  <c r="GB7" i="350"/>
  <c r="GE7" i="350"/>
  <c r="GD7" i="350"/>
  <c r="GD6" i="350"/>
  <c r="GC6" i="350"/>
  <c r="GB6" i="350"/>
  <c r="GE6" i="350"/>
  <c r="CX1" i="350"/>
  <c r="BY85" i="350"/>
  <c r="BU85" i="350"/>
  <c r="AF47" i="350"/>
  <c r="AF45" i="350"/>
  <c r="G174" i="350"/>
  <c r="DD1" i="350"/>
  <c r="CB85" i="350"/>
  <c r="L173" i="350"/>
  <c r="R173" i="350"/>
  <c r="C52" i="350"/>
  <c r="K174" i="350"/>
  <c r="I48" i="350"/>
  <c r="DF1" i="350"/>
  <c r="DB1" i="350"/>
  <c r="BQ85" i="350"/>
  <c r="BV85" i="350"/>
  <c r="N76" i="350"/>
  <c r="K76" i="350"/>
  <c r="N55" i="350"/>
  <c r="K55" i="350"/>
  <c r="N51" i="350"/>
  <c r="K51" i="350"/>
  <c r="N59" i="350"/>
  <c r="K59" i="350"/>
  <c r="N63" i="350"/>
  <c r="K63" i="350"/>
  <c r="N80" i="350"/>
  <c r="K80" i="350"/>
  <c r="N68" i="350"/>
  <c r="N47" i="350"/>
  <c r="K47" i="350"/>
  <c r="N72" i="350"/>
  <c r="N26" i="350"/>
  <c r="K26" i="350"/>
  <c r="N38" i="350"/>
  <c r="K38" i="350"/>
  <c r="N30" i="350"/>
  <c r="K30" i="350"/>
  <c r="N34" i="350"/>
  <c r="K34" i="350"/>
  <c r="N42" i="350"/>
  <c r="K42" i="350"/>
  <c r="J42" i="350"/>
  <c r="GU7" i="350"/>
  <c r="GU6" i="350"/>
  <c r="DJ6" i="350"/>
  <c r="DI6" i="350"/>
  <c r="DK6" i="350"/>
  <c r="DJ7" i="350"/>
  <c r="DI7" i="350"/>
  <c r="DK7" i="350"/>
  <c r="B30" i="350"/>
  <c r="AF51" i="350"/>
  <c r="AF49" i="350"/>
  <c r="G175" i="350"/>
  <c r="C56" i="350"/>
  <c r="I52" i="350"/>
  <c r="K175" i="350"/>
  <c r="E50" i="350"/>
  <c r="L174" i="350"/>
  <c r="R174" i="350"/>
  <c r="J47" i="350"/>
  <c r="R175" i="350"/>
  <c r="AF55" i="350"/>
  <c r="AF53" i="350"/>
  <c r="G176" i="350"/>
  <c r="L175" i="350"/>
  <c r="C60" i="350"/>
  <c r="K176" i="350"/>
  <c r="I56" i="350"/>
  <c r="E54" i="350"/>
  <c r="J51" i="350"/>
  <c r="J72" i="350"/>
  <c r="AF59" i="350"/>
  <c r="AF57" i="350"/>
  <c r="G177" i="350"/>
  <c r="C64" i="350"/>
  <c r="K177" i="350"/>
  <c r="I60" i="350"/>
  <c r="E58" i="350"/>
  <c r="L176" i="350"/>
  <c r="R176" i="350"/>
  <c r="J76" i="350"/>
  <c r="J55" i="350"/>
  <c r="AF66" i="350"/>
  <c r="G179" i="350"/>
  <c r="C73" i="350"/>
  <c r="I69" i="350"/>
  <c r="K179" i="350"/>
  <c r="E67" i="350"/>
  <c r="AF63" i="350"/>
  <c r="AF61" i="350"/>
  <c r="G178" i="350"/>
  <c r="I64" i="350"/>
  <c r="K178" i="350"/>
  <c r="E62" i="350"/>
  <c r="L177" i="350"/>
  <c r="R177" i="350"/>
  <c r="J80" i="350"/>
  <c r="J59" i="350"/>
  <c r="L179" i="350"/>
  <c r="AF72" i="350"/>
  <c r="AF70" i="350"/>
  <c r="G180" i="350"/>
  <c r="L178" i="350"/>
  <c r="J74" i="350"/>
  <c r="K180" i="350"/>
  <c r="I73" i="350"/>
  <c r="J63" i="350"/>
  <c r="J84" i="350"/>
  <c r="C77" i="350"/>
  <c r="R179" i="350"/>
  <c r="L180" i="350"/>
  <c r="R178" i="350"/>
  <c r="AF80" i="350"/>
  <c r="AF78" i="350"/>
  <c r="G182" i="350"/>
  <c r="R182" i="350"/>
  <c r="K182" i="350"/>
  <c r="I81" i="350"/>
  <c r="AF76" i="350"/>
  <c r="AF74" i="350"/>
  <c r="G181" i="350"/>
  <c r="I77" i="350"/>
  <c r="K181" i="350"/>
  <c r="C180" i="350"/>
  <c r="CH71" i="350"/>
  <c r="CH67" i="350"/>
  <c r="C179" i="350"/>
  <c r="J68" i="350"/>
  <c r="L181" i="350"/>
  <c r="R181" i="350"/>
  <c r="R180" i="350"/>
  <c r="L182" i="350"/>
  <c r="AF84" i="350"/>
  <c r="AF82" i="350"/>
  <c r="G183" i="350"/>
  <c r="I85" i="350"/>
  <c r="K183" i="350"/>
  <c r="CH75" i="350"/>
  <c r="C181" i="350"/>
  <c r="L183" i="350"/>
  <c r="C182" i="350"/>
  <c r="CH79" i="350"/>
  <c r="A376" i="82"/>
  <c r="A377" i="82"/>
  <c r="A378" i="82"/>
  <c r="A379" i="82"/>
  <c r="A380" i="82"/>
  <c r="N188" i="350"/>
  <c r="R183" i="350"/>
  <c r="M188" i="350"/>
  <c r="P189" i="350"/>
  <c r="K100" i="350"/>
  <c r="P188" i="350"/>
  <c r="K97" i="350"/>
  <c r="O188" i="350"/>
  <c r="R99" i="350"/>
  <c r="C183" i="350"/>
  <c r="CH83" i="350"/>
  <c r="A33" i="92"/>
  <c r="P6" i="92"/>
  <c r="A352" i="82"/>
  <c r="A353" i="82"/>
  <c r="A354" i="82"/>
  <c r="A355" i="82"/>
  <c r="A356" i="82"/>
  <c r="C188" i="350"/>
  <c r="L185" i="350"/>
  <c r="CH88" i="350"/>
  <c r="H195" i="350"/>
  <c r="P179" i="350"/>
  <c r="R68" i="350"/>
  <c r="C189" i="350"/>
  <c r="L186" i="350"/>
  <c r="CH91" i="350"/>
  <c r="H114" i="18"/>
  <c r="A114" i="18"/>
  <c r="G114" i="18"/>
  <c r="P183" i="350"/>
  <c r="P182" i="350"/>
  <c r="P180" i="350"/>
  <c r="P181" i="350"/>
  <c r="P187" i="350"/>
  <c r="K94" i="350"/>
  <c r="CH94" i="350"/>
  <c r="L187" i="350"/>
  <c r="C190" i="350"/>
  <c r="L188" i="350"/>
  <c r="C191" i="350"/>
  <c r="CH97" i="350"/>
  <c r="B89" i="18"/>
  <c r="CH100" i="350"/>
  <c r="C192" i="350"/>
  <c r="L189" i="350"/>
  <c r="AC37" i="90"/>
  <c r="AA37" i="90"/>
  <c r="T37" i="90"/>
  <c r="P37" i="90"/>
  <c r="AN37" i="90"/>
  <c r="P186" i="350"/>
  <c r="K91" i="350"/>
  <c r="R76" i="350"/>
  <c r="R84" i="350"/>
  <c r="AL37" i="90"/>
  <c r="AI37" i="90"/>
  <c r="AM37" i="90"/>
  <c r="AJ37" i="90"/>
  <c r="AK37" i="90"/>
  <c r="N3" i="83"/>
  <c r="R80" i="350"/>
  <c r="R72" i="350"/>
  <c r="AH37" i="90"/>
  <c r="AI64" i="90"/>
  <c r="AJ64" i="90"/>
  <c r="AK64" i="90"/>
  <c r="AL64" i="90"/>
  <c r="AM64" i="90"/>
  <c r="AN64" i="90"/>
  <c r="AI65" i="90"/>
  <c r="AJ65" i="90"/>
  <c r="AK65" i="90"/>
  <c r="AL65" i="90"/>
  <c r="AM65" i="90"/>
  <c r="AN65" i="90"/>
  <c r="AI66" i="90"/>
  <c r="AJ66" i="90"/>
  <c r="AK66" i="90"/>
  <c r="AL66" i="90"/>
  <c r="AM66" i="90"/>
  <c r="AN66" i="90"/>
  <c r="P11" i="90"/>
  <c r="AI11" i="90"/>
  <c r="AH64" i="90"/>
  <c r="AH66" i="90"/>
  <c r="AH65" i="90"/>
  <c r="AN11" i="90"/>
  <c r="AM11" i="90"/>
  <c r="AL11" i="90"/>
  <c r="AK11" i="90"/>
  <c r="AJ11" i="90"/>
  <c r="AH11" i="90"/>
  <c r="AN325" i="90"/>
  <c r="AM325" i="90"/>
  <c r="AL325" i="90"/>
  <c r="AK325" i="90"/>
  <c r="AJ325" i="90"/>
  <c r="AI325" i="90"/>
  <c r="AH325" i="90"/>
  <c r="Z299" i="90"/>
  <c r="U299" i="90"/>
  <c r="I299" i="90"/>
  <c r="B67" i="83"/>
  <c r="C17" i="83"/>
  <c r="A359" i="82"/>
  <c r="A360" i="82"/>
  <c r="A349" i="82"/>
  <c r="A345" i="82"/>
  <c r="H78" i="18"/>
  <c r="A78" i="18"/>
  <c r="G78" i="18"/>
  <c r="G116" i="18"/>
  <c r="H116" i="18"/>
  <c r="A116" i="18"/>
  <c r="H86" i="18"/>
  <c r="A86" i="18"/>
  <c r="G86" i="18"/>
  <c r="H85" i="18"/>
  <c r="A85" i="18"/>
  <c r="G85" i="18"/>
  <c r="H84" i="18"/>
  <c r="A84" i="18"/>
  <c r="G84" i="18"/>
  <c r="H83" i="18"/>
  <c r="A83" i="18"/>
  <c r="G83" i="18"/>
  <c r="H82" i="18"/>
  <c r="A82" i="18"/>
  <c r="G82" i="18"/>
  <c r="H81" i="18"/>
  <c r="A81" i="18"/>
  <c r="G81" i="18"/>
  <c r="H80" i="18"/>
  <c r="A80" i="18"/>
  <c r="G80" i="18"/>
  <c r="H79" i="18"/>
  <c r="A79" i="18"/>
  <c r="G79" i="18"/>
  <c r="H18" i="18"/>
  <c r="A18" i="18"/>
  <c r="G18" i="18"/>
  <c r="H17" i="18"/>
  <c r="A17" i="18"/>
  <c r="G17" i="18"/>
  <c r="H124" i="18"/>
  <c r="A124" i="18"/>
  <c r="G124" i="18"/>
  <c r="H123" i="18"/>
  <c r="A123" i="18"/>
  <c r="G123" i="18"/>
  <c r="H122" i="18"/>
  <c r="A122" i="18"/>
  <c r="G122" i="18"/>
  <c r="H121" i="18"/>
  <c r="A121" i="18"/>
  <c r="G121" i="18"/>
  <c r="H120" i="18"/>
  <c r="A120" i="18"/>
  <c r="G120" i="18"/>
  <c r="H119" i="18"/>
  <c r="A119" i="18"/>
  <c r="G119" i="18"/>
  <c r="H118" i="18"/>
  <c r="A118" i="18"/>
  <c r="G118" i="18"/>
  <c r="H115" i="18"/>
  <c r="A115" i="18"/>
  <c r="G115" i="18"/>
  <c r="AA71" i="90"/>
  <c r="AA68" i="90"/>
  <c r="T71" i="90"/>
  <c r="AC69" i="90"/>
  <c r="AA69" i="90"/>
  <c r="T69" i="90"/>
  <c r="P69" i="90"/>
  <c r="AC71" i="90"/>
  <c r="C68" i="90"/>
  <c r="AC67" i="90"/>
  <c r="AA67" i="90"/>
  <c r="T67" i="90"/>
  <c r="P67" i="90"/>
  <c r="AC68" i="90"/>
  <c r="T68" i="90"/>
  <c r="C70" i="90"/>
  <c r="T70" i="90"/>
  <c r="AM67" i="90"/>
  <c r="AN67" i="90"/>
  <c r="AK67" i="90"/>
  <c r="AI67" i="90"/>
  <c r="AJ67" i="90"/>
  <c r="AL67" i="90"/>
  <c r="AI69" i="90"/>
  <c r="AJ69" i="90"/>
  <c r="AK69" i="90"/>
  <c r="AL69" i="90"/>
  <c r="AM69" i="90"/>
  <c r="AN69" i="90"/>
  <c r="P71" i="90"/>
  <c r="AM71" i="90"/>
  <c r="P68" i="90"/>
  <c r="AL71" i="90"/>
  <c r="AI68" i="90"/>
  <c r="AJ68" i="90"/>
  <c r="AK68" i="90"/>
  <c r="AK71" i="90"/>
  <c r="AI71" i="90"/>
  <c r="AJ71" i="90"/>
  <c r="AH69" i="90"/>
  <c r="AH67" i="90"/>
  <c r="AN71" i="90"/>
  <c r="AL68" i="90"/>
  <c r="AM68" i="90"/>
  <c r="AN68" i="90"/>
  <c r="AH71" i="90"/>
  <c r="AH68" i="90"/>
  <c r="H150" i="18"/>
  <c r="A150" i="18"/>
  <c r="G150" i="18"/>
  <c r="H149" i="18"/>
  <c r="A149" i="18"/>
  <c r="G149" i="18"/>
  <c r="H153" i="18"/>
  <c r="A153" i="18"/>
  <c r="G153" i="18"/>
  <c r="H152" i="18"/>
  <c r="A152" i="18"/>
  <c r="G152" i="18"/>
  <c r="H151" i="18"/>
  <c r="A151" i="18"/>
  <c r="G151" i="18"/>
  <c r="H117" i="18"/>
  <c r="A117" i="18"/>
  <c r="G117" i="18"/>
  <c r="H16" i="18"/>
  <c r="A16" i="18"/>
  <c r="H19" i="18"/>
  <c r="A19" i="18"/>
  <c r="H20" i="18"/>
  <c r="A20" i="18"/>
  <c r="H22" i="18"/>
  <c r="A22" i="18"/>
  <c r="B4" i="18"/>
  <c r="B15" i="18"/>
  <c r="G16" i="18"/>
  <c r="G19" i="18"/>
  <c r="G20" i="18"/>
  <c r="B21" i="18"/>
  <c r="G22" i="18"/>
  <c r="B23" i="18"/>
  <c r="H24" i="18"/>
  <c r="A24" i="18"/>
  <c r="G24" i="18"/>
  <c r="H25" i="18"/>
  <c r="A25" i="18"/>
  <c r="G25" i="18"/>
  <c r="B26" i="18"/>
  <c r="H27" i="18"/>
  <c r="A27" i="18"/>
  <c r="G27" i="18"/>
  <c r="H28" i="18"/>
  <c r="A28" i="18"/>
  <c r="G28" i="18"/>
  <c r="H29" i="18"/>
  <c r="A29" i="18"/>
  <c r="G29" i="18"/>
  <c r="B30" i="18"/>
  <c r="H31" i="18"/>
  <c r="A31" i="18"/>
  <c r="G31" i="18"/>
  <c r="H32" i="18"/>
  <c r="A32" i="18"/>
  <c r="G32" i="18"/>
  <c r="H33" i="18"/>
  <c r="A33" i="18"/>
  <c r="G33" i="18"/>
  <c r="B34" i="18"/>
  <c r="H35" i="18"/>
  <c r="A35" i="18"/>
  <c r="G35" i="18"/>
  <c r="B36" i="18"/>
  <c r="H37" i="18"/>
  <c r="A37" i="18"/>
  <c r="G37" i="18"/>
  <c r="H38" i="18"/>
  <c r="A38" i="18"/>
  <c r="G38" i="18"/>
  <c r="H39" i="18"/>
  <c r="A39" i="18"/>
  <c r="G39" i="18"/>
  <c r="H40" i="18"/>
  <c r="A40" i="18"/>
  <c r="G40" i="18"/>
  <c r="H41" i="18"/>
  <c r="A41" i="18"/>
  <c r="G41" i="18"/>
  <c r="B42" i="18"/>
  <c r="H43" i="18"/>
  <c r="A43" i="18"/>
  <c r="G43" i="18"/>
  <c r="H44" i="18"/>
  <c r="A44" i="18"/>
  <c r="G44" i="18"/>
  <c r="H45" i="18"/>
  <c r="A45" i="18"/>
  <c r="G45" i="18"/>
  <c r="H46" i="18"/>
  <c r="A46" i="18"/>
  <c r="G46" i="18"/>
  <c r="H47" i="18"/>
  <c r="A47" i="18"/>
  <c r="G47" i="18"/>
  <c r="H48" i="18"/>
  <c r="A48" i="18"/>
  <c r="G48" i="18"/>
  <c r="H49" i="18"/>
  <c r="A49" i="18"/>
  <c r="G49" i="18"/>
  <c r="H50" i="18"/>
  <c r="A50" i="18"/>
  <c r="G50" i="18"/>
  <c r="H51" i="18"/>
  <c r="A51" i="18"/>
  <c r="G51" i="18"/>
  <c r="H52" i="18"/>
  <c r="A52" i="18"/>
  <c r="G52" i="18"/>
  <c r="H53" i="18"/>
  <c r="A53" i="18"/>
  <c r="G53" i="18"/>
  <c r="H54" i="18"/>
  <c r="A54" i="18"/>
  <c r="G54" i="18"/>
  <c r="H55" i="18"/>
  <c r="A55" i="18"/>
  <c r="G55" i="18"/>
  <c r="H56" i="18"/>
  <c r="A56" i="18"/>
  <c r="G56" i="18"/>
  <c r="H57" i="18"/>
  <c r="A57" i="18"/>
  <c r="G57" i="18"/>
  <c r="H58" i="18"/>
  <c r="A58" i="18"/>
  <c r="G58" i="18"/>
  <c r="H59" i="18"/>
  <c r="A59" i="18"/>
  <c r="G59" i="18"/>
  <c r="H60" i="18"/>
  <c r="A60" i="18"/>
  <c r="G60" i="18"/>
  <c r="B113" i="18"/>
  <c r="B128" i="18"/>
  <c r="H129" i="18"/>
  <c r="A129" i="18"/>
  <c r="G129" i="18"/>
  <c r="H130" i="18"/>
  <c r="A130" i="18"/>
  <c r="G130" i="18"/>
  <c r="H131" i="18"/>
  <c r="A131" i="18"/>
  <c r="G131" i="18"/>
  <c r="H132" i="18"/>
  <c r="A132" i="18"/>
  <c r="G132" i="18"/>
  <c r="H133" i="18"/>
  <c r="A133" i="18"/>
  <c r="G133" i="18"/>
  <c r="H134" i="18"/>
  <c r="A134" i="18"/>
  <c r="G134" i="18"/>
  <c r="H135" i="18"/>
  <c r="A135" i="18"/>
  <c r="G135" i="18"/>
  <c r="H136" i="18"/>
  <c r="A136" i="18"/>
  <c r="G136" i="18"/>
  <c r="H137" i="18"/>
  <c r="A137" i="18"/>
  <c r="G137" i="18"/>
  <c r="H138" i="18"/>
  <c r="A138" i="18"/>
  <c r="G138" i="18"/>
  <c r="H139" i="18"/>
  <c r="A139" i="18"/>
  <c r="G139" i="18"/>
  <c r="H142" i="18"/>
  <c r="A142" i="18"/>
  <c r="G142" i="18"/>
  <c r="H143" i="18"/>
  <c r="A143" i="18"/>
  <c r="G143" i="18"/>
  <c r="H144" i="18"/>
  <c r="A144" i="18"/>
  <c r="G144" i="18"/>
  <c r="H145" i="18"/>
  <c r="A145" i="18"/>
  <c r="G145" i="18"/>
  <c r="H146" i="18"/>
  <c r="A146" i="18"/>
  <c r="G146" i="18"/>
  <c r="H147" i="18"/>
  <c r="A147" i="18"/>
  <c r="G147" i="18"/>
  <c r="H148" i="18"/>
  <c r="A148" i="18"/>
  <c r="G148" i="18"/>
  <c r="B154" i="18"/>
  <c r="H155" i="18"/>
  <c r="A155" i="18"/>
  <c r="G155" i="18"/>
  <c r="H156" i="18"/>
  <c r="A156" i="18"/>
  <c r="G156" i="18"/>
  <c r="H157" i="18"/>
  <c r="A157" i="18"/>
  <c r="G157" i="18"/>
  <c r="H158" i="18"/>
  <c r="A158" i="18"/>
  <c r="G158" i="18"/>
  <c r="H160" i="18"/>
  <c r="A160" i="18"/>
  <c r="G160" i="18"/>
  <c r="H161" i="18"/>
  <c r="A161" i="18"/>
  <c r="G161" i="18"/>
  <c r="H162" i="18"/>
  <c r="A162" i="18"/>
  <c r="G162" i="18"/>
  <c r="H163" i="18"/>
  <c r="A163" i="18"/>
  <c r="G163" i="18"/>
  <c r="B164" i="18"/>
  <c r="H165" i="18"/>
  <c r="A165" i="18"/>
  <c r="G165" i="18"/>
  <c r="H166" i="18"/>
  <c r="A166" i="18"/>
  <c r="G166" i="18"/>
  <c r="H167" i="18"/>
  <c r="A167" i="18"/>
  <c r="G167" i="18"/>
  <c r="H168" i="18"/>
  <c r="A168" i="18"/>
  <c r="G168" i="18"/>
  <c r="H169" i="18"/>
  <c r="A169" i="18"/>
  <c r="G169" i="18"/>
  <c r="B170" i="18"/>
  <c r="H171" i="18"/>
  <c r="A171" i="18"/>
  <c r="G171" i="18"/>
  <c r="H172" i="18"/>
  <c r="A172" i="18"/>
  <c r="G172" i="18"/>
  <c r="H173" i="18"/>
  <c r="A173" i="18"/>
  <c r="G173" i="18"/>
  <c r="H174" i="18"/>
  <c r="A174" i="18"/>
  <c r="G174" i="18"/>
  <c r="H175" i="18"/>
  <c r="A175" i="18"/>
  <c r="G175" i="18"/>
  <c r="H176" i="18"/>
  <c r="A176" i="18"/>
  <c r="G176" i="18"/>
  <c r="H177" i="18"/>
  <c r="A177" i="18"/>
  <c r="G177" i="18"/>
  <c r="H178" i="18"/>
  <c r="A178" i="18"/>
  <c r="G178" i="18"/>
  <c r="H179" i="18"/>
  <c r="A179" i="18"/>
  <c r="G179" i="18"/>
  <c r="H180" i="18"/>
  <c r="A180" i="18"/>
  <c r="G180" i="18"/>
  <c r="H181" i="18"/>
  <c r="A181" i="18"/>
  <c r="G181" i="18"/>
  <c r="B182" i="18"/>
  <c r="H183" i="18"/>
  <c r="A183" i="18"/>
  <c r="G183" i="18"/>
  <c r="H184" i="18"/>
  <c r="A184" i="18"/>
  <c r="G184" i="18"/>
  <c r="H185" i="18"/>
  <c r="A185" i="18"/>
  <c r="G185" i="18"/>
  <c r="H186" i="18"/>
  <c r="A186" i="18"/>
  <c r="G186" i="18"/>
  <c r="H187" i="18"/>
  <c r="A187" i="18"/>
  <c r="G187" i="18"/>
  <c r="H188" i="18"/>
  <c r="A188" i="18"/>
  <c r="G188" i="18"/>
  <c r="H189" i="18"/>
  <c r="A189" i="18"/>
  <c r="G189" i="18"/>
  <c r="H190" i="18"/>
  <c r="A190" i="18"/>
  <c r="G190" i="18"/>
  <c r="H191" i="18"/>
  <c r="A191" i="18"/>
  <c r="G191" i="18"/>
  <c r="H192" i="18"/>
  <c r="A192" i="18"/>
  <c r="G192" i="18"/>
  <c r="H193" i="18"/>
  <c r="A193" i="18"/>
  <c r="G193" i="18"/>
  <c r="H194" i="18"/>
  <c r="A194" i="18"/>
  <c r="G194" i="18"/>
  <c r="H195" i="18"/>
  <c r="A195" i="18"/>
  <c r="G195" i="18"/>
  <c r="H196" i="18"/>
  <c r="A196" i="18"/>
  <c r="G196" i="18"/>
  <c r="H197" i="18"/>
  <c r="A197" i="18"/>
  <c r="G197" i="18"/>
  <c r="H198" i="18"/>
  <c r="A198" i="18"/>
  <c r="G198" i="18"/>
  <c r="H199" i="18"/>
  <c r="A199" i="18"/>
  <c r="G199" i="18"/>
  <c r="H200" i="18"/>
  <c r="A200" i="18"/>
  <c r="G200" i="18"/>
  <c r="H201" i="18"/>
  <c r="A201" i="18"/>
  <c r="G201" i="18"/>
  <c r="H202" i="18"/>
  <c r="A202" i="18"/>
  <c r="G202" i="18"/>
  <c r="H203" i="18"/>
  <c r="A203" i="18"/>
  <c r="G203" i="18"/>
  <c r="H204" i="18"/>
  <c r="A204" i="18"/>
  <c r="G204" i="18"/>
  <c r="H205" i="18"/>
  <c r="A205" i="18"/>
  <c r="G205" i="18"/>
  <c r="H206" i="18"/>
  <c r="A206" i="18"/>
  <c r="G206" i="18"/>
  <c r="H207" i="18"/>
  <c r="A207" i="18"/>
  <c r="G207" i="18"/>
  <c r="H208" i="18"/>
  <c r="A208" i="18"/>
  <c r="G208" i="18"/>
  <c r="H209" i="18"/>
  <c r="A209" i="18"/>
  <c r="G209" i="18"/>
  <c r="H210" i="18"/>
  <c r="A210" i="18"/>
  <c r="G210" i="18"/>
  <c r="H211" i="18"/>
  <c r="A211" i="18"/>
  <c r="G211" i="18"/>
  <c r="H212" i="18"/>
  <c r="A212" i="18"/>
  <c r="G212" i="18"/>
  <c r="H213" i="18"/>
  <c r="A213" i="18"/>
  <c r="G213" i="18"/>
  <c r="H214" i="18"/>
  <c r="A214" i="18"/>
  <c r="G214" i="18"/>
  <c r="H215" i="18"/>
  <c r="A215" i="18"/>
  <c r="G215" i="18"/>
  <c r="H216" i="18"/>
  <c r="A216" i="18"/>
  <c r="G216" i="18"/>
  <c r="H217" i="18"/>
  <c r="A217" i="18"/>
  <c r="G217" i="18"/>
  <c r="H218" i="18"/>
  <c r="A218" i="18"/>
  <c r="G218" i="18"/>
  <c r="H219" i="18"/>
  <c r="A219" i="18"/>
  <c r="G219" i="18"/>
  <c r="H220" i="18"/>
  <c r="A220" i="18"/>
  <c r="G220" i="18"/>
  <c r="H221" i="18"/>
  <c r="A221" i="18"/>
  <c r="G221" i="18"/>
  <c r="H222" i="18"/>
  <c r="A222" i="18"/>
  <c r="G222" i="18"/>
  <c r="H223" i="18"/>
  <c r="A223" i="18"/>
  <c r="G223" i="18"/>
  <c r="H224" i="18"/>
  <c r="A224" i="18"/>
  <c r="G224" i="18"/>
  <c r="H225" i="18"/>
  <c r="A225" i="18"/>
  <c r="G225" i="18"/>
  <c r="H226" i="18"/>
  <c r="A226" i="18"/>
  <c r="G226" i="18"/>
  <c r="H227" i="18"/>
  <c r="A227" i="18"/>
  <c r="G227" i="18"/>
  <c r="H228" i="18"/>
  <c r="A228" i="18"/>
  <c r="G228" i="18"/>
  <c r="B229" i="18"/>
  <c r="H230" i="18"/>
  <c r="A230" i="18"/>
  <c r="G230" i="18"/>
  <c r="H231" i="18"/>
  <c r="A231" i="18"/>
  <c r="G231" i="18"/>
  <c r="H232" i="18"/>
  <c r="A232" i="18"/>
  <c r="G232" i="18"/>
  <c r="H233" i="18"/>
  <c r="A233" i="18"/>
  <c r="G233" i="18"/>
  <c r="H234" i="18"/>
  <c r="A234" i="18"/>
  <c r="G234" i="18"/>
  <c r="H235" i="18"/>
  <c r="A235" i="18"/>
  <c r="G235" i="18"/>
  <c r="H236" i="18"/>
  <c r="A236" i="18"/>
  <c r="G236" i="18"/>
  <c r="H237" i="18"/>
  <c r="A237" i="18"/>
  <c r="G237" i="18"/>
  <c r="H238" i="18"/>
  <c r="A238" i="18"/>
  <c r="G238" i="18"/>
  <c r="H239" i="18"/>
  <c r="A239" i="18"/>
  <c r="G239" i="18"/>
  <c r="H240" i="18"/>
  <c r="A240" i="18"/>
  <c r="G240" i="18"/>
  <c r="H241" i="18"/>
  <c r="A241" i="18"/>
  <c r="G241" i="18"/>
  <c r="H242" i="18"/>
  <c r="A242" i="18"/>
  <c r="G242" i="18"/>
  <c r="H243" i="18"/>
  <c r="A243" i="18"/>
  <c r="G243" i="18"/>
  <c r="H244" i="18"/>
  <c r="A244" i="18"/>
  <c r="G244" i="18"/>
  <c r="H245" i="18"/>
  <c r="A245" i="18"/>
  <c r="G245" i="18"/>
  <c r="B246" i="18"/>
  <c r="H247" i="18"/>
  <c r="A247" i="18"/>
  <c r="G247" i="18"/>
  <c r="H248" i="18"/>
  <c r="A248" i="18"/>
  <c r="G248" i="18"/>
  <c r="H249" i="18"/>
  <c r="A249" i="18"/>
  <c r="G249" i="18"/>
  <c r="H250" i="18"/>
  <c r="A250" i="18"/>
  <c r="G250" i="18"/>
  <c r="H251" i="18"/>
  <c r="A251" i="18"/>
  <c r="G251" i="18"/>
  <c r="H252" i="18"/>
  <c r="A252" i="18"/>
  <c r="G252" i="18"/>
  <c r="H253" i="18"/>
  <c r="A253" i="18"/>
  <c r="G253" i="18"/>
  <c r="H254" i="18"/>
  <c r="A254" i="18"/>
  <c r="G254" i="18"/>
  <c r="H255" i="18"/>
  <c r="A255" i="18"/>
  <c r="G255" i="18"/>
  <c r="H256" i="18"/>
  <c r="A256" i="18"/>
  <c r="G256" i="18"/>
  <c r="H257" i="18"/>
  <c r="A257" i="18"/>
  <c r="G257" i="18"/>
  <c r="H258" i="18"/>
  <c r="A258" i="18"/>
  <c r="G258" i="18"/>
  <c r="H259" i="18"/>
  <c r="A259" i="18"/>
  <c r="G259" i="18"/>
  <c r="H260" i="18"/>
  <c r="A260" i="18"/>
  <c r="G260" i="18"/>
  <c r="H261" i="18"/>
  <c r="A261" i="18"/>
  <c r="G261" i="18"/>
  <c r="H262" i="18"/>
  <c r="A262" i="18"/>
  <c r="G262" i="18"/>
  <c r="B263" i="18"/>
  <c r="H264" i="18"/>
  <c r="A264" i="18"/>
  <c r="G264" i="18"/>
  <c r="H265" i="18"/>
  <c r="A265" i="18"/>
  <c r="G265" i="18"/>
  <c r="H266" i="18"/>
  <c r="A266" i="18"/>
  <c r="G266" i="18"/>
  <c r="H267" i="18"/>
  <c r="A267" i="18"/>
  <c r="G267" i="18"/>
  <c r="H268" i="18"/>
  <c r="A268" i="18"/>
  <c r="G268" i="18"/>
  <c r="H269" i="18"/>
  <c r="A269" i="18"/>
  <c r="G269" i="18"/>
  <c r="H270" i="18"/>
  <c r="A270" i="18"/>
  <c r="G270" i="18"/>
  <c r="H271" i="18"/>
  <c r="A271" i="18"/>
  <c r="G271" i="18"/>
  <c r="H272" i="18"/>
  <c r="A272" i="18"/>
  <c r="G272" i="18"/>
  <c r="H273" i="18"/>
  <c r="A273" i="18"/>
  <c r="G273" i="18"/>
  <c r="H274" i="18"/>
  <c r="A274" i="18"/>
  <c r="G274" i="18"/>
  <c r="H275" i="18"/>
  <c r="A275" i="18"/>
  <c r="G275" i="18"/>
  <c r="H276" i="18"/>
  <c r="A276" i="18"/>
  <c r="G276" i="18"/>
  <c r="H277" i="18"/>
  <c r="A277" i="18"/>
  <c r="G277" i="18"/>
  <c r="H278" i="18"/>
  <c r="A278" i="18"/>
  <c r="G278" i="18"/>
  <c r="H279" i="18"/>
  <c r="A279" i="18"/>
  <c r="G279" i="18"/>
  <c r="H280" i="18"/>
  <c r="A280" i="18"/>
  <c r="G280" i="18"/>
  <c r="H281" i="18"/>
  <c r="A281" i="18"/>
  <c r="G281" i="18"/>
  <c r="B282" i="18"/>
  <c r="H283" i="18"/>
  <c r="A283" i="18"/>
  <c r="G283" i="18"/>
  <c r="H284" i="18"/>
  <c r="A284" i="18"/>
  <c r="G284" i="18"/>
  <c r="H285" i="18"/>
  <c r="A285" i="18"/>
  <c r="G285" i="18"/>
  <c r="H286" i="18"/>
  <c r="A286" i="18"/>
  <c r="G286" i="18"/>
  <c r="H287" i="18"/>
  <c r="A287" i="18"/>
  <c r="G287" i="18"/>
  <c r="H288" i="18"/>
  <c r="A288" i="18"/>
  <c r="G288" i="18"/>
  <c r="H289" i="18"/>
  <c r="A289" i="18"/>
  <c r="G289" i="18"/>
  <c r="H290" i="18"/>
  <c r="A290" i="18"/>
  <c r="G290" i="18"/>
  <c r="H291" i="18"/>
  <c r="A291" i="18"/>
  <c r="G291" i="18"/>
  <c r="H292" i="18"/>
  <c r="A292" i="18"/>
  <c r="G292" i="18"/>
  <c r="H293" i="18"/>
  <c r="A293" i="18"/>
  <c r="G293" i="18"/>
  <c r="H294" i="18"/>
  <c r="A294" i="18"/>
  <c r="G294" i="18"/>
  <c r="H295" i="18"/>
  <c r="A295" i="18"/>
  <c r="G295" i="18"/>
  <c r="H296" i="18"/>
  <c r="A296" i="18"/>
  <c r="G296" i="18"/>
  <c r="H297" i="18"/>
  <c r="A297" i="18"/>
  <c r="G297" i="18"/>
  <c r="H298" i="18"/>
  <c r="A298" i="18"/>
  <c r="G298" i="18"/>
  <c r="H299" i="18"/>
  <c r="A299" i="18"/>
  <c r="G299" i="18"/>
  <c r="H300" i="18"/>
  <c r="A300" i="18"/>
  <c r="G300" i="18"/>
  <c r="H301" i="18"/>
  <c r="A301" i="18"/>
  <c r="G301" i="18"/>
  <c r="H302" i="18"/>
  <c r="A302" i="18"/>
  <c r="G302" i="18"/>
  <c r="H303" i="18"/>
  <c r="A303" i="18"/>
  <c r="G303" i="18"/>
  <c r="H304" i="18"/>
  <c r="A304" i="18"/>
  <c r="G304" i="18"/>
  <c r="H305" i="18"/>
  <c r="A305" i="18"/>
  <c r="G305" i="18"/>
  <c r="B306" i="18"/>
  <c r="B307" i="18"/>
  <c r="H308" i="18"/>
  <c r="A308" i="18"/>
  <c r="G308" i="18"/>
  <c r="H309" i="18"/>
  <c r="A309" i="18"/>
  <c r="G309" i="18"/>
  <c r="H310" i="18"/>
  <c r="A310" i="18"/>
  <c r="G310" i="18"/>
  <c r="H311" i="18"/>
  <c r="A311" i="18"/>
  <c r="G311" i="18"/>
  <c r="B312" i="18"/>
  <c r="H313" i="18"/>
  <c r="A313" i="18"/>
  <c r="G313" i="18"/>
  <c r="H314" i="18"/>
  <c r="A314" i="18"/>
  <c r="G314" i="18"/>
  <c r="H315" i="18"/>
  <c r="A315" i="18"/>
  <c r="G315" i="18"/>
  <c r="H316" i="18"/>
  <c r="A316" i="18"/>
  <c r="G316" i="18"/>
  <c r="H317" i="18"/>
  <c r="A317" i="18"/>
  <c r="G317" i="18"/>
  <c r="H318" i="18"/>
  <c r="A318" i="18"/>
  <c r="G318" i="18"/>
  <c r="H319" i="18"/>
  <c r="A319" i="18"/>
  <c r="G319" i="18"/>
  <c r="H320" i="18"/>
  <c r="A320" i="18"/>
  <c r="G320" i="18"/>
  <c r="B321" i="18"/>
  <c r="H322" i="18"/>
  <c r="A322" i="18"/>
  <c r="G322" i="18"/>
  <c r="H323" i="18"/>
  <c r="A323" i="18"/>
  <c r="G323" i="18"/>
  <c r="H324" i="18"/>
  <c r="A324" i="18"/>
  <c r="G324" i="18"/>
  <c r="H325" i="18"/>
  <c r="A325" i="18"/>
  <c r="G325" i="18"/>
  <c r="H326" i="18"/>
  <c r="A326" i="18"/>
  <c r="G326" i="18"/>
  <c r="H327" i="18"/>
  <c r="A327" i="18"/>
  <c r="G327" i="18"/>
  <c r="H328" i="18"/>
  <c r="A328" i="18"/>
  <c r="G328" i="18"/>
  <c r="B329" i="18"/>
  <c r="H330" i="18"/>
  <c r="A330" i="18"/>
  <c r="G330" i="18"/>
  <c r="H331" i="18"/>
  <c r="A331" i="18"/>
  <c r="G331" i="18"/>
  <c r="H332" i="18"/>
  <c r="A332" i="18"/>
  <c r="G332" i="18"/>
  <c r="H333" i="18"/>
  <c r="A333" i="18"/>
  <c r="G333" i="18"/>
  <c r="H334" i="18"/>
  <c r="A334" i="18"/>
  <c r="G334" i="18"/>
  <c r="H335" i="18"/>
  <c r="A335" i="18"/>
  <c r="G335" i="18"/>
  <c r="H336" i="18"/>
  <c r="A336" i="18"/>
  <c r="G336" i="18"/>
  <c r="H337" i="18"/>
  <c r="A337" i="18"/>
  <c r="G337" i="18"/>
  <c r="B338" i="18"/>
  <c r="H339" i="18"/>
  <c r="A339" i="18"/>
  <c r="G339" i="18"/>
  <c r="H340" i="18"/>
  <c r="A340" i="18"/>
  <c r="G340" i="18"/>
  <c r="H341" i="18"/>
  <c r="A341" i="18"/>
  <c r="G341" i="18"/>
  <c r="H342" i="18"/>
  <c r="A342" i="18"/>
  <c r="G342" i="18"/>
  <c r="H343" i="18"/>
  <c r="A343" i="18"/>
  <c r="G343" i="18"/>
  <c r="H344" i="18"/>
  <c r="A344" i="18"/>
  <c r="G344" i="18"/>
  <c r="H345" i="18"/>
  <c r="A345" i="18"/>
  <c r="G345" i="18"/>
  <c r="H346" i="18"/>
  <c r="A346" i="18"/>
  <c r="G346" i="18"/>
  <c r="H347" i="18"/>
  <c r="A347" i="18"/>
  <c r="G347" i="18"/>
  <c r="H348" i="18"/>
  <c r="A348" i="18"/>
  <c r="G348" i="18"/>
  <c r="H349" i="18"/>
  <c r="A349" i="18"/>
  <c r="G349" i="18"/>
  <c r="H350" i="18"/>
  <c r="A350" i="18"/>
  <c r="G350" i="18"/>
  <c r="H351" i="18"/>
  <c r="A351" i="18"/>
  <c r="G351" i="18"/>
  <c r="H352" i="18"/>
  <c r="A352" i="18"/>
  <c r="G352" i="18"/>
  <c r="H353" i="18"/>
  <c r="A353" i="18"/>
  <c r="G353" i="18"/>
  <c r="B547" i="18"/>
  <c r="B548" i="18"/>
  <c r="H549" i="18"/>
  <c r="A549" i="18"/>
  <c r="G549" i="18"/>
  <c r="H550" i="18"/>
  <c r="A550" i="18"/>
  <c r="G550" i="18"/>
  <c r="H551" i="18"/>
  <c r="A551" i="18"/>
  <c r="G551" i="18"/>
  <c r="B553" i="18"/>
  <c r="H554" i="18"/>
  <c r="A554" i="18"/>
  <c r="G554" i="18"/>
  <c r="H555" i="18"/>
  <c r="A555" i="18"/>
  <c r="G555" i="18"/>
  <c r="H556" i="18"/>
  <c r="A556" i="18"/>
  <c r="G556" i="18"/>
  <c r="H557" i="18"/>
  <c r="A557" i="18"/>
  <c r="G557" i="18"/>
  <c r="H558" i="18"/>
  <c r="A558" i="18"/>
  <c r="G558" i="18"/>
  <c r="H559" i="18"/>
  <c r="A559" i="18"/>
  <c r="G559" i="18"/>
  <c r="C560" i="18"/>
  <c r="H560" i="18"/>
  <c r="H561" i="18"/>
  <c r="A561" i="18"/>
  <c r="G561" i="18"/>
  <c r="H562" i="18"/>
  <c r="A562" i="18"/>
  <c r="G562" i="18"/>
  <c r="H563" i="18"/>
  <c r="A563" i="18"/>
  <c r="G563" i="18"/>
  <c r="B564" i="18"/>
  <c r="B565" i="18"/>
  <c r="H566" i="18"/>
  <c r="A566" i="18"/>
  <c r="G566" i="18"/>
  <c r="H567" i="18"/>
  <c r="A567" i="18"/>
  <c r="G567" i="18"/>
  <c r="H568" i="18"/>
  <c r="A568" i="18"/>
  <c r="G568" i="18"/>
  <c r="H569" i="18"/>
  <c r="A569" i="18"/>
  <c r="G569" i="18"/>
  <c r="H570" i="18"/>
  <c r="A570" i="18"/>
  <c r="G570" i="18"/>
  <c r="H571" i="18"/>
  <c r="A571" i="18"/>
  <c r="G571" i="18"/>
  <c r="H572" i="18"/>
  <c r="A572" i="18"/>
  <c r="G572" i="18"/>
  <c r="H573" i="18"/>
  <c r="A573" i="18"/>
  <c r="G573" i="18"/>
  <c r="H574" i="18"/>
  <c r="A574" i="18"/>
  <c r="G574" i="18"/>
  <c r="H575" i="18"/>
  <c r="A575" i="18"/>
  <c r="G575" i="18"/>
  <c r="H576" i="18"/>
  <c r="A576" i="18"/>
  <c r="G576" i="18"/>
  <c r="H577" i="18"/>
  <c r="A577" i="18"/>
  <c r="G577" i="18"/>
  <c r="H578" i="18"/>
  <c r="A578" i="18"/>
  <c r="G578" i="18"/>
  <c r="H579" i="18"/>
  <c r="A579" i="18"/>
  <c r="G579" i="18"/>
  <c r="H580" i="18"/>
  <c r="A580" i="18"/>
  <c r="G580" i="18"/>
  <c r="B368" i="18"/>
  <c r="B616" i="18"/>
  <c r="H619" i="18"/>
  <c r="A619" i="18"/>
  <c r="F619" i="18"/>
  <c r="H620" i="18"/>
  <c r="A620" i="18"/>
  <c r="F620" i="18"/>
  <c r="H621" i="18"/>
  <c r="A621" i="18"/>
  <c r="F621" i="18"/>
  <c r="H622" i="18"/>
  <c r="A622" i="18"/>
  <c r="F622" i="18"/>
  <c r="H623" i="18"/>
  <c r="A623" i="18"/>
  <c r="F623" i="18"/>
  <c r="H624" i="18"/>
  <c r="A624" i="18"/>
  <c r="F624" i="18"/>
  <c r="H625" i="18"/>
  <c r="A625" i="18"/>
  <c r="F625" i="18"/>
  <c r="H626" i="18"/>
  <c r="A626" i="18"/>
  <c r="H627" i="18"/>
  <c r="A627" i="18"/>
  <c r="G627" i="18"/>
  <c r="H628" i="18"/>
  <c r="A628" i="18"/>
  <c r="G628" i="18"/>
  <c r="H629" i="18"/>
  <c r="A629" i="18"/>
  <c r="G629" i="18"/>
  <c r="H630" i="18"/>
  <c r="A630" i="18"/>
  <c r="G630" i="18"/>
  <c r="H631" i="18"/>
  <c r="A631" i="18"/>
  <c r="G631" i="18"/>
  <c r="P46" i="90"/>
  <c r="O3" i="92"/>
  <c r="B83" i="92"/>
  <c r="AN295" i="90"/>
  <c r="AM295" i="90"/>
  <c r="AL295" i="90"/>
  <c r="AK295" i="90"/>
  <c r="AJ295" i="90"/>
  <c r="AI295" i="90"/>
  <c r="AH295" i="90"/>
  <c r="P202" i="90"/>
  <c r="AC202" i="90"/>
  <c r="AA202" i="90"/>
  <c r="T202" i="90"/>
  <c r="P201" i="90"/>
  <c r="AC201" i="90"/>
  <c r="AA201" i="90"/>
  <c r="T201" i="90"/>
  <c r="P200" i="90"/>
  <c r="AC200" i="90"/>
  <c r="AA200" i="90"/>
  <c r="T200" i="90"/>
  <c r="K6" i="90"/>
  <c r="Q4" i="407"/>
  <c r="I6" i="90"/>
  <c r="O4" i="407"/>
  <c r="H6" i="90"/>
  <c r="N4" i="407"/>
  <c r="AK199" i="90"/>
  <c r="AJ199" i="90"/>
  <c r="E81" i="92"/>
  <c r="E74" i="92"/>
  <c r="AH199" i="90"/>
  <c r="AF199" i="90"/>
  <c r="X6" i="90"/>
  <c r="X314" i="90"/>
  <c r="W6" i="90"/>
  <c r="W314" i="90"/>
  <c r="V199" i="90"/>
  <c r="O199" i="90"/>
  <c r="N199" i="90"/>
  <c r="M199" i="90"/>
  <c r="C199" i="90"/>
  <c r="B199" i="90"/>
  <c r="P198" i="90"/>
  <c r="AC198" i="90"/>
  <c r="AA198" i="90"/>
  <c r="T198" i="90"/>
  <c r="P197" i="90"/>
  <c r="AC197" i="90"/>
  <c r="AA197" i="90"/>
  <c r="T197" i="90"/>
  <c r="P196" i="90"/>
  <c r="AC196" i="90"/>
  <c r="AA196" i="90"/>
  <c r="T196" i="90"/>
  <c r="AK195" i="90"/>
  <c r="AJ195" i="90"/>
  <c r="AH195" i="90"/>
  <c r="AF195" i="90"/>
  <c r="V195" i="90"/>
  <c r="O195" i="90"/>
  <c r="N195" i="90"/>
  <c r="M195" i="90"/>
  <c r="C195" i="90"/>
  <c r="B195" i="90"/>
  <c r="P194" i="90"/>
  <c r="AC194" i="90"/>
  <c r="AA194" i="90"/>
  <c r="T194" i="90"/>
  <c r="P193" i="90"/>
  <c r="AC193" i="90"/>
  <c r="AA193" i="90"/>
  <c r="T193" i="90"/>
  <c r="P192" i="90"/>
  <c r="AC192" i="90"/>
  <c r="AA192" i="90"/>
  <c r="T192" i="90"/>
  <c r="P191" i="90"/>
  <c r="AC191" i="90"/>
  <c r="AA191" i="90"/>
  <c r="T191" i="90"/>
  <c r="P190" i="90"/>
  <c r="AC190" i="90"/>
  <c r="AA190" i="90"/>
  <c r="T190" i="90"/>
  <c r="P189" i="90"/>
  <c r="AC189" i="90"/>
  <c r="AA189" i="90"/>
  <c r="T189" i="90"/>
  <c r="P188" i="90"/>
  <c r="AC188" i="90"/>
  <c r="AA188" i="90"/>
  <c r="T188" i="90"/>
  <c r="P187" i="90"/>
  <c r="AC187" i="90"/>
  <c r="AA187" i="90"/>
  <c r="T187" i="90"/>
  <c r="P186" i="90"/>
  <c r="AC186" i="90"/>
  <c r="AA186" i="90"/>
  <c r="T186" i="90"/>
  <c r="AK185" i="90"/>
  <c r="AJ185" i="90"/>
  <c r="AH185" i="90"/>
  <c r="AF185" i="90"/>
  <c r="V185" i="90"/>
  <c r="O185" i="90"/>
  <c r="N185" i="90"/>
  <c r="M185" i="90"/>
  <c r="C185" i="90"/>
  <c r="B185" i="90"/>
  <c r="P184" i="90"/>
  <c r="AC184" i="90"/>
  <c r="AA184" i="90"/>
  <c r="T184" i="90"/>
  <c r="P183" i="90"/>
  <c r="AC183" i="90"/>
  <c r="AA183" i="90"/>
  <c r="T183" i="90"/>
  <c r="P182" i="90"/>
  <c r="AC182" i="90"/>
  <c r="AA182" i="90"/>
  <c r="T182" i="90"/>
  <c r="P181" i="90"/>
  <c r="AC181" i="90"/>
  <c r="AA181" i="90"/>
  <c r="T181" i="90"/>
  <c r="P180" i="90"/>
  <c r="AC180" i="90"/>
  <c r="AA180" i="90"/>
  <c r="T180" i="90"/>
  <c r="P179" i="90"/>
  <c r="AC179" i="90"/>
  <c r="AA179" i="90"/>
  <c r="T179" i="90"/>
  <c r="AK178" i="90"/>
  <c r="AJ178" i="90"/>
  <c r="AH178" i="90"/>
  <c r="AF178" i="90"/>
  <c r="V178" i="90"/>
  <c r="O178" i="90"/>
  <c r="N178" i="90"/>
  <c r="M178" i="90"/>
  <c r="C178" i="90"/>
  <c r="B178" i="90"/>
  <c r="P177" i="90"/>
  <c r="AC177" i="90"/>
  <c r="AA177" i="90"/>
  <c r="T177" i="90"/>
  <c r="P176" i="90"/>
  <c r="AC176" i="90"/>
  <c r="AA176" i="90"/>
  <c r="T176" i="90"/>
  <c r="P175" i="90"/>
  <c r="AC175" i="90"/>
  <c r="AA175" i="90"/>
  <c r="T175" i="90"/>
  <c r="AK174" i="90"/>
  <c r="AJ174" i="90"/>
  <c r="AH174" i="90"/>
  <c r="AF174" i="90"/>
  <c r="V174" i="90"/>
  <c r="O174" i="90"/>
  <c r="N174" i="90"/>
  <c r="M174" i="90"/>
  <c r="C174" i="90"/>
  <c r="B174" i="90"/>
  <c r="P173" i="90"/>
  <c r="AC173" i="90"/>
  <c r="AA173" i="90"/>
  <c r="T173" i="90"/>
  <c r="P172" i="90"/>
  <c r="AC172" i="90"/>
  <c r="AA172" i="90"/>
  <c r="T172" i="90"/>
  <c r="P171" i="90"/>
  <c r="AC171" i="90"/>
  <c r="AA171" i="90"/>
  <c r="T171" i="90"/>
  <c r="G170" i="90"/>
  <c r="AK170" i="90"/>
  <c r="F170" i="90"/>
  <c r="AJ170" i="90"/>
  <c r="D170" i="90"/>
  <c r="AH170" i="90"/>
  <c r="AF170" i="90"/>
  <c r="V170" i="90"/>
  <c r="O170" i="90"/>
  <c r="N170" i="90"/>
  <c r="M170" i="90"/>
  <c r="J170" i="90"/>
  <c r="C170" i="90"/>
  <c r="B170" i="90"/>
  <c r="P169" i="90"/>
  <c r="AC169" i="90"/>
  <c r="AA169" i="90"/>
  <c r="T169" i="90"/>
  <c r="P168" i="90"/>
  <c r="AC168" i="90"/>
  <c r="AA168" i="90"/>
  <c r="T168" i="90"/>
  <c r="P167" i="90"/>
  <c r="AC167" i="90"/>
  <c r="AA167" i="90"/>
  <c r="T167" i="90"/>
  <c r="P166" i="90"/>
  <c r="AC166" i="90"/>
  <c r="AA166" i="90"/>
  <c r="T166" i="90"/>
  <c r="P165" i="90"/>
  <c r="AC165" i="90"/>
  <c r="AA165" i="90"/>
  <c r="T165" i="90"/>
  <c r="P164" i="90"/>
  <c r="AC164" i="90"/>
  <c r="AA164" i="90"/>
  <c r="T164" i="90"/>
  <c r="P163" i="90"/>
  <c r="AC163" i="90"/>
  <c r="AA163" i="90"/>
  <c r="T163" i="90"/>
  <c r="P162" i="90"/>
  <c r="AC162" i="90"/>
  <c r="AA162" i="90"/>
  <c r="T162" i="90"/>
  <c r="P161" i="90"/>
  <c r="AC161" i="90"/>
  <c r="AA161" i="90"/>
  <c r="T161" i="90"/>
  <c r="P160" i="90"/>
  <c r="AC160" i="90"/>
  <c r="AA160" i="90"/>
  <c r="T160" i="90"/>
  <c r="AK159" i="90"/>
  <c r="AJ159" i="90"/>
  <c r="AH159" i="90"/>
  <c r="AF159" i="90"/>
  <c r="V159" i="90"/>
  <c r="O159" i="90"/>
  <c r="N159" i="90"/>
  <c r="M159" i="90"/>
  <c r="C159" i="90"/>
  <c r="B159" i="90"/>
  <c r="P158" i="90"/>
  <c r="AC158" i="90"/>
  <c r="AA158" i="90"/>
  <c r="T158" i="90"/>
  <c r="P157" i="90"/>
  <c r="AC157" i="90"/>
  <c r="AA157" i="90"/>
  <c r="T157" i="90"/>
  <c r="P156" i="90"/>
  <c r="AC156" i="90"/>
  <c r="AA156" i="90"/>
  <c r="T156" i="90"/>
  <c r="P155" i="90"/>
  <c r="P154" i="90"/>
  <c r="AC154" i="90"/>
  <c r="AA154" i="90"/>
  <c r="T154" i="90"/>
  <c r="P153" i="90"/>
  <c r="AC153" i="90"/>
  <c r="AA153" i="90"/>
  <c r="T153" i="90"/>
  <c r="P152" i="90"/>
  <c r="AC152" i="90"/>
  <c r="AA152" i="90"/>
  <c r="T152" i="90"/>
  <c r="P151" i="90"/>
  <c r="AC151" i="90"/>
  <c r="AA151" i="90"/>
  <c r="T151" i="90"/>
  <c r="P150" i="90"/>
  <c r="P149" i="90"/>
  <c r="P148" i="90"/>
  <c r="AC148" i="90"/>
  <c r="AA148" i="90"/>
  <c r="T148" i="90"/>
  <c r="P147" i="90"/>
  <c r="AC147" i="90"/>
  <c r="AA147" i="90"/>
  <c r="T147" i="90"/>
  <c r="AK146" i="90"/>
  <c r="AJ146" i="90"/>
  <c r="AH146" i="90"/>
  <c r="AF146" i="90"/>
  <c r="V146" i="90"/>
  <c r="O146" i="90"/>
  <c r="N146" i="90"/>
  <c r="M146" i="90"/>
  <c r="C146" i="90"/>
  <c r="B146" i="90"/>
  <c r="P145" i="90"/>
  <c r="AC145" i="90"/>
  <c r="AA145" i="90"/>
  <c r="T145" i="90"/>
  <c r="P144" i="90"/>
  <c r="AC144" i="90"/>
  <c r="AA144" i="90"/>
  <c r="T144" i="90"/>
  <c r="P143" i="90"/>
  <c r="AC143" i="90"/>
  <c r="AA143" i="90"/>
  <c r="T143" i="90"/>
  <c r="P142" i="90"/>
  <c r="AC142" i="90"/>
  <c r="AA142" i="90"/>
  <c r="T142" i="90"/>
  <c r="P141" i="90"/>
  <c r="AC141" i="90"/>
  <c r="AA141" i="90"/>
  <c r="T141" i="90"/>
  <c r="P140" i="90"/>
  <c r="AC140" i="90"/>
  <c r="AA140" i="90"/>
  <c r="T140" i="90"/>
  <c r="P139" i="90"/>
  <c r="AC139" i="90"/>
  <c r="AA139" i="90"/>
  <c r="T139" i="90"/>
  <c r="G138" i="90"/>
  <c r="AK138" i="90"/>
  <c r="F138" i="90"/>
  <c r="AJ138" i="90"/>
  <c r="D138" i="90"/>
  <c r="AH138" i="90"/>
  <c r="AF138" i="90"/>
  <c r="V138" i="90"/>
  <c r="O138" i="90"/>
  <c r="N138" i="90"/>
  <c r="M138" i="90"/>
  <c r="J138" i="90"/>
  <c r="C138" i="90"/>
  <c r="B138" i="90"/>
  <c r="P223" i="90"/>
  <c r="AC223" i="90"/>
  <c r="AA223" i="90"/>
  <c r="T223" i="90"/>
  <c r="P222" i="90"/>
  <c r="AC222" i="90"/>
  <c r="AA222" i="90"/>
  <c r="T222" i="90"/>
  <c r="P221" i="90"/>
  <c r="AC221" i="90"/>
  <c r="AA221" i="90"/>
  <c r="T221" i="90"/>
  <c r="AK220" i="90"/>
  <c r="AJ220" i="90"/>
  <c r="AH220" i="90"/>
  <c r="AF220" i="90"/>
  <c r="V220" i="90"/>
  <c r="O220" i="90"/>
  <c r="N220" i="90"/>
  <c r="M220" i="90"/>
  <c r="C220" i="90"/>
  <c r="B220" i="90"/>
  <c r="P219" i="90"/>
  <c r="AC219" i="90"/>
  <c r="AA219" i="90"/>
  <c r="T219" i="90"/>
  <c r="P218" i="90"/>
  <c r="AC218" i="90"/>
  <c r="AA218" i="90"/>
  <c r="T218" i="90"/>
  <c r="P217" i="90"/>
  <c r="AC217" i="90"/>
  <c r="AA217" i="90"/>
  <c r="T217" i="90"/>
  <c r="AK216" i="90"/>
  <c r="AJ216" i="90"/>
  <c r="AH216" i="90"/>
  <c r="AF216" i="90"/>
  <c r="V216" i="90"/>
  <c r="O216" i="90"/>
  <c r="N216" i="90"/>
  <c r="M216" i="90"/>
  <c r="C216" i="90"/>
  <c r="B216" i="90"/>
  <c r="P215" i="90"/>
  <c r="AC215" i="90"/>
  <c r="AA215" i="90"/>
  <c r="T215" i="90"/>
  <c r="P214" i="90"/>
  <c r="AC214" i="90"/>
  <c r="AA214" i="90"/>
  <c r="T214" i="90"/>
  <c r="P213" i="90"/>
  <c r="AC213" i="90"/>
  <c r="AA213" i="90"/>
  <c r="T213" i="90"/>
  <c r="P212" i="90"/>
  <c r="AC212" i="90"/>
  <c r="AA212" i="90"/>
  <c r="T212" i="90"/>
  <c r="P211" i="90"/>
  <c r="AC211" i="90"/>
  <c r="AA211" i="90"/>
  <c r="T211" i="90"/>
  <c r="AK210" i="90"/>
  <c r="AJ210" i="90"/>
  <c r="AH210" i="90"/>
  <c r="AF210" i="90"/>
  <c r="V210" i="90"/>
  <c r="O210" i="90"/>
  <c r="N210" i="90"/>
  <c r="M210" i="90"/>
  <c r="C210" i="90"/>
  <c r="B210" i="90"/>
  <c r="P209" i="90"/>
  <c r="AC209" i="90"/>
  <c r="AA209" i="90"/>
  <c r="T209" i="90"/>
  <c r="P208" i="90"/>
  <c r="AC208" i="90"/>
  <c r="AA208" i="90"/>
  <c r="T208" i="90"/>
  <c r="P207" i="90"/>
  <c r="AC207" i="90"/>
  <c r="AA207" i="90"/>
  <c r="T207" i="90"/>
  <c r="P206" i="90"/>
  <c r="AC206" i="90"/>
  <c r="AA206" i="90"/>
  <c r="T206" i="90"/>
  <c r="P205" i="90"/>
  <c r="AC205" i="90"/>
  <c r="AA205" i="90"/>
  <c r="T205" i="90"/>
  <c r="P204" i="90"/>
  <c r="AC204" i="90"/>
  <c r="AA204" i="90"/>
  <c r="T204" i="90"/>
  <c r="G203" i="90"/>
  <c r="AK203" i="90"/>
  <c r="F203" i="90"/>
  <c r="AJ203" i="90"/>
  <c r="D203" i="90"/>
  <c r="AH203" i="90"/>
  <c r="AF203" i="90"/>
  <c r="V203" i="90"/>
  <c r="O203" i="90"/>
  <c r="N203" i="90"/>
  <c r="M203" i="90"/>
  <c r="J203" i="90"/>
  <c r="C203" i="90"/>
  <c r="B203" i="90"/>
  <c r="B101" i="92"/>
  <c r="BH2" i="407"/>
  <c r="I10" i="285"/>
  <c r="L4" i="285"/>
  <c r="M6" i="285"/>
  <c r="E21" i="285"/>
  <c r="E22" i="285"/>
  <c r="G13" i="285"/>
  <c r="G7" i="285"/>
  <c r="E11" i="285"/>
  <c r="E12" i="285"/>
  <c r="E13" i="285"/>
  <c r="E14" i="285"/>
  <c r="E15" i="285"/>
  <c r="E16" i="285"/>
  <c r="E17" i="285"/>
  <c r="E18" i="285"/>
  <c r="E19" i="285"/>
  <c r="J622" i="18"/>
  <c r="J623" i="18"/>
  <c r="J624" i="18"/>
  <c r="J625" i="18"/>
  <c r="J621" i="18"/>
  <c r="J620" i="18"/>
  <c r="B84" i="92"/>
  <c r="B85" i="92"/>
  <c r="E85" i="92"/>
  <c r="C100" i="92"/>
  <c r="D100" i="92"/>
  <c r="E100" i="92"/>
  <c r="N2" i="92"/>
  <c r="K80" i="92"/>
  <c r="B91" i="92"/>
  <c r="J112" i="92"/>
  <c r="J114" i="92"/>
  <c r="B88" i="92"/>
  <c r="A76" i="90"/>
  <c r="A79" i="90"/>
  <c r="A78" i="90"/>
  <c r="B87" i="92"/>
  <c r="I92" i="90"/>
  <c r="O288" i="90"/>
  <c r="N288" i="90"/>
  <c r="O272" i="90"/>
  <c r="N272" i="90"/>
  <c r="O268" i="90"/>
  <c r="N268" i="90"/>
  <c r="O250" i="90"/>
  <c r="N250" i="90"/>
  <c r="O246" i="90"/>
  <c r="N246" i="90"/>
  <c r="O242" i="90"/>
  <c r="N242" i="90"/>
  <c r="O231" i="90"/>
  <c r="N231" i="90"/>
  <c r="O224" i="90"/>
  <c r="N224" i="90"/>
  <c r="O77" i="90"/>
  <c r="N77" i="90"/>
  <c r="M77" i="90"/>
  <c r="L77" i="90"/>
  <c r="O75" i="90"/>
  <c r="N75" i="90"/>
  <c r="M75" i="90"/>
  <c r="L75" i="90"/>
  <c r="M73" i="90"/>
  <c r="L73" i="90"/>
  <c r="AC77" i="90"/>
  <c r="AC75" i="90"/>
  <c r="AC73" i="90"/>
  <c r="O73" i="90"/>
  <c r="N73" i="90"/>
  <c r="AC50" i="90"/>
  <c r="AA50" i="90"/>
  <c r="T50" i="90"/>
  <c r="P50" i="90"/>
  <c r="AC49" i="90"/>
  <c r="AA49" i="90"/>
  <c r="T49" i="90"/>
  <c r="P49" i="90"/>
  <c r="AC48" i="90"/>
  <c r="AA48" i="90"/>
  <c r="T48" i="90"/>
  <c r="P48" i="90"/>
  <c r="V47" i="90"/>
  <c r="N47" i="90"/>
  <c r="M47" i="90"/>
  <c r="AK47" i="90"/>
  <c r="AJ47" i="90"/>
  <c r="AH47" i="90"/>
  <c r="C47" i="90"/>
  <c r="B47" i="90"/>
  <c r="N7" i="90"/>
  <c r="W7" i="90"/>
  <c r="X7" i="90"/>
  <c r="AF7" i="90"/>
  <c r="AH7" i="90"/>
  <c r="AJ7" i="90"/>
  <c r="AK7" i="90"/>
  <c r="K23" i="285"/>
  <c r="L23" i="285"/>
  <c r="L24" i="285"/>
  <c r="H113" i="92"/>
  <c r="J113" i="92"/>
  <c r="H114" i="92"/>
  <c r="H115" i="92"/>
  <c r="J115" i="92"/>
  <c r="H116" i="92"/>
  <c r="J116" i="92"/>
  <c r="H112" i="92"/>
  <c r="H111" i="92"/>
  <c r="J111" i="92"/>
  <c r="H109" i="92"/>
  <c r="J109" i="92"/>
  <c r="H110" i="92"/>
  <c r="J110" i="92"/>
  <c r="J123" i="92"/>
  <c r="J108" i="92"/>
  <c r="H108" i="92"/>
  <c r="J107" i="92"/>
  <c r="H107" i="92"/>
  <c r="K20" i="285"/>
  <c r="L20" i="285"/>
  <c r="M21" i="285"/>
  <c r="F21" i="285"/>
  <c r="K21" i="285"/>
  <c r="O24" i="92"/>
  <c r="BB4" i="92"/>
  <c r="BB5" i="92"/>
  <c r="BB3" i="92"/>
  <c r="N23" i="92"/>
  <c r="AC44" i="90"/>
  <c r="AA44" i="90"/>
  <c r="T44" i="90"/>
  <c r="P44" i="90"/>
  <c r="AC46" i="90"/>
  <c r="AA46" i="90"/>
  <c r="T46" i="90"/>
  <c r="AC45" i="90"/>
  <c r="AA45" i="90"/>
  <c r="T45" i="90"/>
  <c r="P45" i="90"/>
  <c r="V43" i="90"/>
  <c r="N43" i="90"/>
  <c r="M43" i="90"/>
  <c r="AK43" i="90"/>
  <c r="AJ43" i="90"/>
  <c r="AH43" i="90"/>
  <c r="C43" i="90"/>
  <c r="B43" i="90"/>
  <c r="P42" i="90"/>
  <c r="AC42" i="90"/>
  <c r="AA42" i="90"/>
  <c r="T42" i="90"/>
  <c r="AC41" i="90"/>
  <c r="AA41" i="90"/>
  <c r="T41" i="90"/>
  <c r="P41" i="90"/>
  <c r="V40" i="90"/>
  <c r="N40" i="90"/>
  <c r="M40" i="90"/>
  <c r="AK40" i="90"/>
  <c r="AJ40" i="90"/>
  <c r="AH40" i="90"/>
  <c r="C40" i="90"/>
  <c r="AC39" i="90"/>
  <c r="AA39" i="90"/>
  <c r="T39" i="90"/>
  <c r="P39" i="90"/>
  <c r="AC38" i="90"/>
  <c r="AA38" i="90"/>
  <c r="T38" i="90"/>
  <c r="P38" i="90"/>
  <c r="AC36" i="90"/>
  <c r="AA36" i="90"/>
  <c r="T36" i="90"/>
  <c r="P36" i="90"/>
  <c r="AC35" i="90"/>
  <c r="AA35" i="90"/>
  <c r="T35" i="90"/>
  <c r="P35" i="90"/>
  <c r="AC34" i="90"/>
  <c r="AA34" i="90"/>
  <c r="T34" i="90"/>
  <c r="P34" i="90"/>
  <c r="AC33" i="90"/>
  <c r="AA33" i="90"/>
  <c r="T33" i="90"/>
  <c r="P33" i="90"/>
  <c r="BB33" i="90"/>
  <c r="AC32" i="90"/>
  <c r="AA32" i="90"/>
  <c r="T32" i="90"/>
  <c r="P32" i="90"/>
  <c r="V31" i="90"/>
  <c r="N31" i="90"/>
  <c r="M31" i="90"/>
  <c r="J31" i="90"/>
  <c r="G31" i="90"/>
  <c r="AK31" i="90"/>
  <c r="F31" i="90"/>
  <c r="AJ31" i="90"/>
  <c r="D31" i="90"/>
  <c r="AH31" i="90"/>
  <c r="C31" i="90"/>
  <c r="B31" i="90"/>
  <c r="P16" i="90"/>
  <c r="P15" i="90"/>
  <c r="T14" i="90"/>
  <c r="P14" i="90"/>
  <c r="AC13" i="90"/>
  <c r="AA13" i="90"/>
  <c r="T13" i="90"/>
  <c r="P13" i="90"/>
  <c r="V12" i="90"/>
  <c r="N12" i="90"/>
  <c r="M12" i="90"/>
  <c r="J12" i="90"/>
  <c r="G12" i="90"/>
  <c r="AK12" i="90"/>
  <c r="F12" i="90"/>
  <c r="AJ12" i="90"/>
  <c r="D12" i="90"/>
  <c r="AH12" i="90"/>
  <c r="C12" i="90"/>
  <c r="B12" i="90"/>
  <c r="AC11" i="90"/>
  <c r="AA11" i="90"/>
  <c r="T11" i="90"/>
  <c r="V8" i="90"/>
  <c r="N8" i="90"/>
  <c r="M8" i="90"/>
  <c r="J8" i="90"/>
  <c r="G8" i="90"/>
  <c r="AK8" i="90"/>
  <c r="F8" i="90"/>
  <c r="AJ8" i="90"/>
  <c r="AH8" i="90"/>
  <c r="C8" i="90"/>
  <c r="B8" i="90"/>
  <c r="K12" i="285"/>
  <c r="I6" i="285"/>
  <c r="I7" i="285"/>
  <c r="F10" i="285"/>
  <c r="K10" i="285"/>
  <c r="K5" i="285"/>
  <c r="L5" i="285"/>
  <c r="I16" i="285"/>
  <c r="I13" i="285"/>
  <c r="G14" i="285"/>
  <c r="G15" i="285"/>
  <c r="G16" i="285"/>
  <c r="G17" i="285"/>
  <c r="L17" i="285"/>
  <c r="G18" i="285"/>
  <c r="G19" i="285"/>
  <c r="G10" i="285"/>
  <c r="G6" i="285"/>
  <c r="F11" i="285"/>
  <c r="K11" i="285"/>
  <c r="F9" i="285"/>
  <c r="F4" i="285"/>
  <c r="B8" i="285"/>
  <c r="B9" i="285"/>
  <c r="J18" i="285"/>
  <c r="I15" i="285"/>
  <c r="I14" i="285"/>
  <c r="M11" i="285"/>
  <c r="M10" i="285"/>
  <c r="M9" i="285"/>
  <c r="E6" i="285"/>
  <c r="O67" i="83"/>
  <c r="L15" i="92"/>
  <c r="A329" i="82"/>
  <c r="A322" i="82"/>
  <c r="A323" i="82"/>
  <c r="A324" i="82"/>
  <c r="A325" i="82"/>
  <c r="A326" i="82"/>
  <c r="A302" i="82"/>
  <c r="A303" i="82"/>
  <c r="A304" i="82"/>
  <c r="A305" i="82"/>
  <c r="A306" i="82"/>
  <c r="A307" i="82"/>
  <c r="A308" i="82"/>
  <c r="A309" i="82"/>
  <c r="A310" i="82"/>
  <c r="A311" i="82"/>
  <c r="A312" i="82"/>
  <c r="A313" i="82"/>
  <c r="A314" i="82"/>
  <c r="A315" i="82"/>
  <c r="A316" i="82"/>
  <c r="A337" i="82"/>
  <c r="K166" i="92"/>
  <c r="J166" i="92"/>
  <c r="K169" i="92"/>
  <c r="J170" i="92"/>
  <c r="J171" i="92"/>
  <c r="J172" i="92"/>
  <c r="R4" i="285"/>
  <c r="R5" i="285"/>
  <c r="R6" i="285"/>
  <c r="R7" i="285"/>
  <c r="R8" i="285"/>
  <c r="R9" i="285"/>
  <c r="R10" i="285"/>
  <c r="R11" i="285"/>
  <c r="R12" i="285"/>
  <c r="R13" i="285"/>
  <c r="L5" i="92"/>
  <c r="L6" i="92"/>
  <c r="B173" i="92"/>
  <c r="B174" i="92"/>
  <c r="B175" i="92"/>
  <c r="B176" i="92"/>
  <c r="B177" i="92"/>
  <c r="A114" i="92"/>
  <c r="L21" i="92"/>
  <c r="L29" i="92"/>
  <c r="J3" i="285"/>
  <c r="I81" i="92"/>
  <c r="J124" i="92"/>
  <c r="J122" i="92"/>
  <c r="D1" i="285"/>
  <c r="E1" i="285"/>
  <c r="F1" i="285"/>
  <c r="G1" i="285"/>
  <c r="H1" i="285"/>
  <c r="I1" i="285"/>
  <c r="J1" i="285"/>
  <c r="K1" i="285"/>
  <c r="L1" i="285"/>
  <c r="M1" i="285"/>
  <c r="N1" i="285"/>
  <c r="O1" i="285"/>
  <c r="N87" i="90"/>
  <c r="BA87" i="90"/>
  <c r="N86" i="90"/>
  <c r="BA86" i="90"/>
  <c r="N51" i="90"/>
  <c r="A289" i="82"/>
  <c r="A290" i="82"/>
  <c r="A295" i="82"/>
  <c r="A296" i="82"/>
  <c r="M4" i="230"/>
  <c r="M7" i="230"/>
  <c r="M10" i="230"/>
  <c r="M13" i="230"/>
  <c r="M16" i="230"/>
  <c r="M17" i="230"/>
  <c r="M18" i="230"/>
  <c r="M19" i="230"/>
  <c r="M23" i="230"/>
  <c r="M24" i="230"/>
  <c r="M25" i="230"/>
  <c r="M26" i="230"/>
  <c r="M29" i="230"/>
  <c r="M30" i="230"/>
  <c r="M31" i="230"/>
  <c r="M32" i="230"/>
  <c r="M36" i="230"/>
  <c r="M37" i="230"/>
  <c r="M38" i="230"/>
  <c r="M39" i="230"/>
  <c r="M42" i="230"/>
  <c r="M43" i="230"/>
  <c r="M44" i="230"/>
  <c r="M45" i="230"/>
  <c r="L5" i="230"/>
  <c r="L6" i="230"/>
  <c r="L7" i="230"/>
  <c r="L8" i="230"/>
  <c r="L9" i="230"/>
  <c r="L10" i="230"/>
  <c r="L11" i="230"/>
  <c r="L12" i="230"/>
  <c r="L13" i="230"/>
  <c r="L14" i="230"/>
  <c r="L15" i="230"/>
  <c r="L16" i="230"/>
  <c r="L17" i="230"/>
  <c r="L18" i="230"/>
  <c r="L19" i="230"/>
  <c r="L20" i="230"/>
  <c r="L21" i="230"/>
  <c r="L22" i="230"/>
  <c r="L23" i="230"/>
  <c r="L24" i="230"/>
  <c r="L25" i="230"/>
  <c r="L26" i="230"/>
  <c r="L27" i="230"/>
  <c r="L28" i="230"/>
  <c r="L29" i="230"/>
  <c r="L30" i="230"/>
  <c r="L31" i="230"/>
  <c r="L32" i="230"/>
  <c r="L33" i="230"/>
  <c r="L34" i="230"/>
  <c r="L35" i="230"/>
  <c r="L36" i="230"/>
  <c r="L37" i="230"/>
  <c r="L38" i="230"/>
  <c r="L39" i="230"/>
  <c r="L40" i="230"/>
  <c r="L41" i="230"/>
  <c r="L42" i="230"/>
  <c r="L43" i="230"/>
  <c r="L44" i="230"/>
  <c r="L45" i="230"/>
  <c r="L46" i="230"/>
  <c r="L47" i="230"/>
  <c r="L48" i="230"/>
  <c r="L49" i="230"/>
  <c r="L50" i="230"/>
  <c r="L51" i="230"/>
  <c r="L52" i="230"/>
  <c r="L53" i="230"/>
  <c r="L54" i="230"/>
  <c r="L55" i="230"/>
  <c r="L56" i="230"/>
  <c r="L57" i="230"/>
  <c r="L58" i="230"/>
  <c r="L59" i="230"/>
  <c r="L60" i="230"/>
  <c r="L61" i="230"/>
  <c r="L62" i="230"/>
  <c r="L63" i="230"/>
  <c r="L64" i="230"/>
  <c r="L65" i="230"/>
  <c r="L66" i="230"/>
  <c r="L67" i="230"/>
  <c r="L68" i="230"/>
  <c r="L69" i="230"/>
  <c r="L70" i="230"/>
  <c r="L71" i="230"/>
  <c r="L72" i="230"/>
  <c r="L73" i="230"/>
  <c r="L74" i="230"/>
  <c r="L75" i="230"/>
  <c r="L76" i="230"/>
  <c r="L77" i="230"/>
  <c r="L78" i="230"/>
  <c r="M48" i="230"/>
  <c r="M49" i="230"/>
  <c r="M50" i="230"/>
  <c r="M51" i="230"/>
  <c r="M52" i="230"/>
  <c r="M55" i="230"/>
  <c r="M56" i="230"/>
  <c r="M57" i="230"/>
  <c r="M58" i="230"/>
  <c r="M61" i="230"/>
  <c r="M62" i="230"/>
  <c r="M63" i="230"/>
  <c r="M64" i="230"/>
  <c r="M65" i="230"/>
  <c r="M68" i="230"/>
  <c r="M69" i="230"/>
  <c r="M70" i="230"/>
  <c r="M71" i="230"/>
  <c r="M74" i="230"/>
  <c r="M75" i="230"/>
  <c r="M76" i="230"/>
  <c r="M77" i="230"/>
  <c r="M78" i="230"/>
  <c r="A284" i="82"/>
  <c r="A285" i="82"/>
  <c r="A286" i="82"/>
  <c r="A267" i="82"/>
  <c r="A268" i="82"/>
  <c r="A269" i="82"/>
  <c r="A270" i="82"/>
  <c r="A271" i="82"/>
  <c r="A272" i="82"/>
  <c r="A273" i="82"/>
  <c r="A274" i="82"/>
  <c r="A275" i="82"/>
  <c r="A276" i="82"/>
  <c r="A277" i="82"/>
  <c r="A278" i="82"/>
  <c r="A279" i="82"/>
  <c r="A280" i="82"/>
  <c r="A281" i="82"/>
  <c r="E8" i="83"/>
  <c r="E10" i="83"/>
  <c r="E87" i="92"/>
  <c r="L74" i="90"/>
  <c r="AC74" i="90"/>
  <c r="A261" i="82"/>
  <c r="V288" i="90"/>
  <c r="V279" i="90"/>
  <c r="V272" i="90"/>
  <c r="V268" i="90"/>
  <c r="V257" i="90"/>
  <c r="V250" i="90"/>
  <c r="V246" i="90"/>
  <c r="V242" i="90"/>
  <c r="V231" i="90"/>
  <c r="V224" i="90"/>
  <c r="E78" i="92"/>
  <c r="A246" i="82"/>
  <c r="A247" i="82"/>
  <c r="A248" i="82"/>
  <c r="A249" i="82"/>
  <c r="A250" i="82"/>
  <c r="A251" i="82"/>
  <c r="A252" i="82"/>
  <c r="A253" i="82"/>
  <c r="A254" i="82"/>
  <c r="A255" i="82"/>
  <c r="A256" i="82"/>
  <c r="A238" i="82"/>
  <c r="A234" i="82"/>
  <c r="A235" i="82"/>
  <c r="A230" i="82"/>
  <c r="A231" i="82"/>
  <c r="X279" i="90"/>
  <c r="X288" i="90"/>
  <c r="AK288" i="90"/>
  <c r="A202" i="82"/>
  <c r="A203" i="82"/>
  <c r="A204" i="82"/>
  <c r="A205" i="82"/>
  <c r="A206" i="82"/>
  <c r="A207" i="82"/>
  <c r="A208" i="82"/>
  <c r="A209" i="82"/>
  <c r="A210" i="82"/>
  <c r="A213" i="82"/>
  <c r="A217" i="82"/>
  <c r="A218" i="82"/>
  <c r="A219" i="82"/>
  <c r="J126" i="92"/>
  <c r="I127" i="92"/>
  <c r="H127" i="92"/>
  <c r="J117" i="92"/>
  <c r="J118" i="92"/>
  <c r="J119" i="92"/>
  <c r="J120" i="92"/>
  <c r="J121" i="92"/>
  <c r="J125" i="92"/>
  <c r="AC233" i="90"/>
  <c r="AA233" i="90"/>
  <c r="T233" i="90"/>
  <c r="P233" i="90"/>
  <c r="AC60" i="90"/>
  <c r="AA60" i="90"/>
  <c r="T60" i="90"/>
  <c r="P60" i="90"/>
  <c r="AC59" i="90"/>
  <c r="AA59" i="90"/>
  <c r="T59" i="90"/>
  <c r="P59" i="90"/>
  <c r="AC63" i="90"/>
  <c r="AA63" i="90"/>
  <c r="T63" i="90"/>
  <c r="P63" i="90"/>
  <c r="AC62" i="90"/>
  <c r="AA62" i="90"/>
  <c r="T62" i="90"/>
  <c r="P62" i="90"/>
  <c r="AC61" i="90"/>
  <c r="AA61" i="90"/>
  <c r="T61" i="90"/>
  <c r="P61" i="90"/>
  <c r="A191" i="82"/>
  <c r="A192" i="82"/>
  <c r="A195" i="82"/>
  <c r="A196" i="82"/>
  <c r="A185" i="82"/>
  <c r="A186" i="82"/>
  <c r="T251" i="90"/>
  <c r="AA251" i="90"/>
  <c r="T252" i="90"/>
  <c r="AA252" i="90"/>
  <c r="T253" i="90"/>
  <c r="AA253" i="90"/>
  <c r="T254" i="90"/>
  <c r="AA254" i="90"/>
  <c r="T255" i="90"/>
  <c r="AA255" i="90"/>
  <c r="T256" i="90"/>
  <c r="AA256" i="90"/>
  <c r="A160" i="82"/>
  <c r="A156" i="82"/>
  <c r="A157" i="82"/>
  <c r="A178" i="82"/>
  <c r="A164" i="82"/>
  <c r="A165" i="82"/>
  <c r="A166" i="82"/>
  <c r="A167" i="82"/>
  <c r="A168" i="82"/>
  <c r="A173" i="82"/>
  <c r="A174" i="82"/>
  <c r="A175" i="82"/>
  <c r="AC55" i="90"/>
  <c r="AA55" i="90"/>
  <c r="T55" i="90"/>
  <c r="P55" i="90"/>
  <c r="AC54" i="90"/>
  <c r="AA54" i="90"/>
  <c r="T54" i="90"/>
  <c r="P54" i="90"/>
  <c r="A145" i="82"/>
  <c r="A146" i="82"/>
  <c r="A147" i="82"/>
  <c r="A148" i="82"/>
  <c r="A149" i="82"/>
  <c r="A150" i="82"/>
  <c r="A151" i="82"/>
  <c r="B66" i="83"/>
  <c r="B68" i="83"/>
  <c r="B19" i="83"/>
  <c r="B21" i="83"/>
  <c r="H22" i="83"/>
  <c r="M80" i="92"/>
  <c r="A133" i="82"/>
  <c r="A134" i="82"/>
  <c r="A135" i="82"/>
  <c r="A136" i="82"/>
  <c r="A137" i="82"/>
  <c r="A138" i="82"/>
  <c r="A139" i="82"/>
  <c r="A130" i="82"/>
  <c r="A131" i="82"/>
  <c r="A117" i="82"/>
  <c r="A118" i="82"/>
  <c r="A119" i="82"/>
  <c r="A120" i="82"/>
  <c r="A121" i="82"/>
  <c r="A122" i="82"/>
  <c r="A123" i="82"/>
  <c r="A124" i="82"/>
  <c r="A104" i="82"/>
  <c r="A105" i="82"/>
  <c r="A106" i="82"/>
  <c r="A107" i="82"/>
  <c r="A108" i="82"/>
  <c r="A109" i="82"/>
  <c r="A110" i="82"/>
  <c r="A111" i="82"/>
  <c r="A114" i="82"/>
  <c r="A98" i="82"/>
  <c r="A99" i="82"/>
  <c r="K34" i="92"/>
  <c r="W4" i="83"/>
  <c r="E5" i="83"/>
  <c r="E4" i="83"/>
  <c r="S7" i="83"/>
  <c r="F7" i="83"/>
  <c r="S9" i="83"/>
  <c r="F9" i="83"/>
  <c r="W5" i="83"/>
  <c r="W6" i="83"/>
  <c r="W7" i="83"/>
  <c r="W8" i="83"/>
  <c r="W9" i="83"/>
  <c r="W10" i="83"/>
  <c r="P244" i="90"/>
  <c r="T244" i="90"/>
  <c r="AA244" i="90"/>
  <c r="AC244" i="90"/>
  <c r="P245" i="90"/>
  <c r="T245" i="90"/>
  <c r="AA245" i="90"/>
  <c r="AC245" i="90"/>
  <c r="AK6" i="90"/>
  <c r="AK75" i="90"/>
  <c r="AJ6" i="90"/>
  <c r="AJ77" i="90"/>
  <c r="AH6" i="90"/>
  <c r="AH77" i="90"/>
  <c r="AM5" i="90"/>
  <c r="AL5" i="90"/>
  <c r="AJ5" i="90"/>
  <c r="AH5" i="90"/>
  <c r="AN1" i="90"/>
  <c r="AM1" i="90"/>
  <c r="AL1" i="90"/>
  <c r="AK1" i="90"/>
  <c r="AJ1" i="90"/>
  <c r="AI1" i="90"/>
  <c r="AH1" i="90"/>
  <c r="A72" i="82"/>
  <c r="A73" i="82"/>
  <c r="A74" i="82"/>
  <c r="A75" i="82"/>
  <c r="A80" i="82"/>
  <c r="A81" i="82"/>
  <c r="AC287" i="90"/>
  <c r="AA287" i="90"/>
  <c r="T287" i="90"/>
  <c r="P287" i="90"/>
  <c r="AC286" i="90"/>
  <c r="AA286" i="90"/>
  <c r="T286" i="90"/>
  <c r="P286" i="90"/>
  <c r="AC285" i="90"/>
  <c r="AA285" i="90"/>
  <c r="T285" i="90"/>
  <c r="P285" i="90"/>
  <c r="AC284" i="90"/>
  <c r="AA284" i="90"/>
  <c r="T284" i="90"/>
  <c r="P284" i="90"/>
  <c r="AC283" i="90"/>
  <c r="AA283" i="90"/>
  <c r="T283" i="90"/>
  <c r="P283" i="90"/>
  <c r="AC282" i="90"/>
  <c r="AA282" i="90"/>
  <c r="T282" i="90"/>
  <c r="P282" i="90"/>
  <c r="AC281" i="90"/>
  <c r="AA281" i="90"/>
  <c r="T281" i="90"/>
  <c r="P281" i="90"/>
  <c r="AC280" i="90"/>
  <c r="AA280" i="90"/>
  <c r="T280" i="90"/>
  <c r="P280" i="90"/>
  <c r="AF279" i="90"/>
  <c r="M279" i="90"/>
  <c r="AK279" i="90"/>
  <c r="AH279" i="90"/>
  <c r="B279" i="90"/>
  <c r="AC278" i="90"/>
  <c r="AA278" i="90"/>
  <c r="T278" i="90"/>
  <c r="P278" i="90"/>
  <c r="AC277" i="90"/>
  <c r="AA277" i="90"/>
  <c r="T277" i="90"/>
  <c r="P277" i="90"/>
  <c r="AC276" i="90"/>
  <c r="AA276" i="90"/>
  <c r="T276" i="90"/>
  <c r="P276" i="90"/>
  <c r="AC275" i="90"/>
  <c r="AA275" i="90"/>
  <c r="T275" i="90"/>
  <c r="P275" i="90"/>
  <c r="AC274" i="90"/>
  <c r="AA274" i="90"/>
  <c r="T274" i="90"/>
  <c r="P274" i="90"/>
  <c r="AC273" i="90"/>
  <c r="AA273" i="90"/>
  <c r="T273" i="90"/>
  <c r="P273" i="90"/>
  <c r="AF272" i="90"/>
  <c r="M272" i="90"/>
  <c r="AK272" i="90"/>
  <c r="AH272" i="90"/>
  <c r="B272" i="90"/>
  <c r="AC271" i="90"/>
  <c r="AA271" i="90"/>
  <c r="T271" i="90"/>
  <c r="P271" i="90"/>
  <c r="AC270" i="90"/>
  <c r="AA270" i="90"/>
  <c r="T270" i="90"/>
  <c r="P270" i="90"/>
  <c r="AC269" i="90"/>
  <c r="AA269" i="90"/>
  <c r="T269" i="90"/>
  <c r="P269" i="90"/>
  <c r="AF268" i="90"/>
  <c r="M268" i="90"/>
  <c r="J268" i="90"/>
  <c r="G268" i="90"/>
  <c r="AK268" i="90"/>
  <c r="F268" i="90"/>
  <c r="D268" i="90"/>
  <c r="AH268" i="90"/>
  <c r="C268" i="90"/>
  <c r="B268" i="90"/>
  <c r="AC267" i="90"/>
  <c r="AA267" i="90"/>
  <c r="T267" i="90"/>
  <c r="P267" i="90"/>
  <c r="AC266" i="90"/>
  <c r="AA266" i="90"/>
  <c r="T266" i="90"/>
  <c r="P266" i="90"/>
  <c r="AC265" i="90"/>
  <c r="AA265" i="90"/>
  <c r="T265" i="90"/>
  <c r="P265" i="90"/>
  <c r="AC264" i="90"/>
  <c r="AA264" i="90"/>
  <c r="T264" i="90"/>
  <c r="P264" i="90"/>
  <c r="AC263" i="90"/>
  <c r="AA263" i="90"/>
  <c r="T263" i="90"/>
  <c r="P263" i="90"/>
  <c r="AC262" i="90"/>
  <c r="AA262" i="90"/>
  <c r="T262" i="90"/>
  <c r="P262" i="90"/>
  <c r="AC261" i="90"/>
  <c r="AA261" i="90"/>
  <c r="T261" i="90"/>
  <c r="P261" i="90"/>
  <c r="AC260" i="90"/>
  <c r="AA260" i="90"/>
  <c r="T260" i="90"/>
  <c r="P260" i="90"/>
  <c r="AC259" i="90"/>
  <c r="AA259" i="90"/>
  <c r="T259" i="90"/>
  <c r="P259" i="90"/>
  <c r="AC258" i="90"/>
  <c r="AA258" i="90"/>
  <c r="T258" i="90"/>
  <c r="P258" i="90"/>
  <c r="AF257" i="90"/>
  <c r="M257" i="90"/>
  <c r="AK257" i="90"/>
  <c r="AJ257" i="90"/>
  <c r="AH257" i="90"/>
  <c r="C257" i="90"/>
  <c r="B257" i="90"/>
  <c r="AC256" i="90"/>
  <c r="P256" i="90"/>
  <c r="AC255" i="90"/>
  <c r="P255" i="90"/>
  <c r="AC254" i="90"/>
  <c r="P254" i="90"/>
  <c r="AC253" i="90"/>
  <c r="P253" i="90"/>
  <c r="AC252" i="90"/>
  <c r="P252" i="90"/>
  <c r="AC251" i="90"/>
  <c r="P251" i="90"/>
  <c r="AF250" i="90"/>
  <c r="M250" i="90"/>
  <c r="AK250" i="90"/>
  <c r="AJ250" i="90"/>
  <c r="AH250" i="90"/>
  <c r="C250" i="90"/>
  <c r="B250" i="90"/>
  <c r="Z92" i="90"/>
  <c r="U92" i="90"/>
  <c r="AC294" i="90"/>
  <c r="AA294" i="90"/>
  <c r="T294" i="90"/>
  <c r="AC293" i="90"/>
  <c r="AA293" i="90"/>
  <c r="T293" i="90"/>
  <c r="AC292" i="90"/>
  <c r="AA292" i="90"/>
  <c r="T292" i="90"/>
  <c r="AC291" i="90"/>
  <c r="AA291" i="90"/>
  <c r="T291" i="90"/>
  <c r="AC290" i="90"/>
  <c r="AA290" i="90"/>
  <c r="T290" i="90"/>
  <c r="AC289" i="90"/>
  <c r="AA289" i="90"/>
  <c r="T289" i="90"/>
  <c r="AF288" i="90"/>
  <c r="M288" i="90"/>
  <c r="AH288" i="90"/>
  <c r="B288" i="90"/>
  <c r="P293" i="90"/>
  <c r="P294" i="90"/>
  <c r="P289" i="90"/>
  <c r="P291" i="90"/>
  <c r="P290" i="90"/>
  <c r="P292" i="90"/>
  <c r="A34" i="82"/>
  <c r="A35" i="82"/>
  <c r="A36" i="82"/>
  <c r="A37" i="82"/>
  <c r="A40" i="82"/>
  <c r="A52" i="82"/>
  <c r="A53" i="82"/>
  <c r="A66" i="82"/>
  <c r="A67" i="82"/>
  <c r="A68" i="82"/>
  <c r="A69" i="82"/>
  <c r="A62" i="82"/>
  <c r="A63" i="82"/>
  <c r="A25" i="82"/>
  <c r="A26" i="82"/>
  <c r="A19" i="82"/>
  <c r="A20" i="82"/>
  <c r="AC56" i="90"/>
  <c r="AA56" i="90"/>
  <c r="T56" i="90"/>
  <c r="P56" i="90"/>
  <c r="A88" i="92"/>
  <c r="AC249" i="90"/>
  <c r="AA249" i="90"/>
  <c r="T249" i="90"/>
  <c r="P249" i="90"/>
  <c r="AC248" i="90"/>
  <c r="AA248" i="90"/>
  <c r="T248" i="90"/>
  <c r="P248" i="90"/>
  <c r="AC247" i="90"/>
  <c r="AA247" i="90"/>
  <c r="T247" i="90"/>
  <c r="P247" i="90"/>
  <c r="G170" i="92"/>
  <c r="F170" i="92"/>
  <c r="D170" i="92"/>
  <c r="J78" i="92"/>
  <c r="I78" i="92"/>
  <c r="E173" i="92"/>
  <c r="E174" i="92"/>
  <c r="E175" i="92"/>
  <c r="E176" i="92"/>
  <c r="E177" i="92"/>
  <c r="E178" i="92"/>
  <c r="H78" i="92"/>
  <c r="A43" i="82"/>
  <c r="A44" i="82"/>
  <c r="A45" i="82"/>
  <c r="A46" i="82"/>
  <c r="A47" i="82"/>
  <c r="A48" i="82"/>
  <c r="A49" i="82"/>
  <c r="B79" i="90"/>
  <c r="F84" i="90"/>
  <c r="A15" i="82"/>
  <c r="K84" i="92"/>
  <c r="J84" i="92"/>
  <c r="I84" i="92"/>
  <c r="H84" i="92"/>
  <c r="E84" i="92"/>
  <c r="A8" i="82"/>
  <c r="A9" i="82"/>
  <c r="A10" i="82"/>
  <c r="A11" i="82"/>
  <c r="A12" i="82"/>
  <c r="C112" i="92"/>
  <c r="B78" i="92"/>
  <c r="B90" i="92"/>
  <c r="C90" i="92"/>
  <c r="A106" i="92"/>
  <c r="A107" i="92"/>
  <c r="A108" i="92"/>
  <c r="A109" i="92"/>
  <c r="A110" i="92"/>
  <c r="A111" i="92"/>
  <c r="A112" i="92"/>
  <c r="AN4" i="92"/>
  <c r="BA6" i="92"/>
  <c r="G69" i="83"/>
  <c r="G72" i="83"/>
  <c r="H72" i="83"/>
  <c r="AZ5" i="92"/>
  <c r="AZ4" i="92"/>
  <c r="AZ3" i="92"/>
  <c r="AC230" i="90"/>
  <c r="AA230" i="90"/>
  <c r="T230" i="90"/>
  <c r="P230" i="90"/>
  <c r="AC58" i="90"/>
  <c r="AA58" i="90"/>
  <c r="T58" i="90"/>
  <c r="P58" i="90"/>
  <c r="AC57" i="90"/>
  <c r="AA57" i="90"/>
  <c r="T57" i="90"/>
  <c r="P57" i="90"/>
  <c r="AC53" i="90"/>
  <c r="AA53" i="90"/>
  <c r="T53" i="90"/>
  <c r="P53" i="90"/>
  <c r="AC52" i="90"/>
  <c r="AA52" i="90"/>
  <c r="T52" i="90"/>
  <c r="P52" i="90"/>
  <c r="AF51" i="90"/>
  <c r="M51" i="90"/>
  <c r="J51" i="90"/>
  <c r="G51" i="90"/>
  <c r="AK51" i="90"/>
  <c r="D51" i="90"/>
  <c r="AH51" i="90"/>
  <c r="C51" i="90"/>
  <c r="B51" i="90"/>
  <c r="F64" i="83"/>
  <c r="G64" i="83"/>
  <c r="H64" i="83"/>
  <c r="I64" i="83"/>
  <c r="J64" i="83"/>
  <c r="K64" i="83"/>
  <c r="L64" i="83"/>
  <c r="M64" i="83"/>
  <c r="N64" i="83"/>
  <c r="J1" i="18"/>
  <c r="L76" i="90"/>
  <c r="AC76" i="90"/>
  <c r="J4" i="92"/>
  <c r="AF246" i="90"/>
  <c r="M246" i="90"/>
  <c r="AK246" i="90"/>
  <c r="AH246" i="90"/>
  <c r="C246" i="90"/>
  <c r="B246" i="90"/>
  <c r="AC243" i="90"/>
  <c r="AA243" i="90"/>
  <c r="T243" i="90"/>
  <c r="P243" i="90"/>
  <c r="AF242" i="90"/>
  <c r="M242" i="90"/>
  <c r="AK242" i="90"/>
  <c r="AH242" i="90"/>
  <c r="C242" i="90"/>
  <c r="B242" i="90"/>
  <c r="AC239" i="90"/>
  <c r="AA239" i="90"/>
  <c r="T239" i="90"/>
  <c r="P239" i="90"/>
  <c r="AC238" i="90"/>
  <c r="AA238" i="90"/>
  <c r="T238" i="90"/>
  <c r="P238" i="90"/>
  <c r="AC237" i="90"/>
  <c r="AA237" i="90"/>
  <c r="T237" i="90"/>
  <c r="P237" i="90"/>
  <c r="AC236" i="90"/>
  <c r="AA236" i="90"/>
  <c r="T236" i="90"/>
  <c r="P236" i="90"/>
  <c r="AC235" i="90"/>
  <c r="AA235" i="90"/>
  <c r="T235" i="90"/>
  <c r="P235" i="90"/>
  <c r="AC234" i="90"/>
  <c r="AA234" i="90"/>
  <c r="T234" i="90"/>
  <c r="P234" i="90"/>
  <c r="AC232" i="90"/>
  <c r="AA232" i="90"/>
  <c r="T232" i="90"/>
  <c r="P232" i="90"/>
  <c r="AC241" i="90"/>
  <c r="AA241" i="90"/>
  <c r="T241" i="90"/>
  <c r="P241" i="90"/>
  <c r="AC240" i="90"/>
  <c r="AA240" i="90"/>
  <c r="T240" i="90"/>
  <c r="P240" i="90"/>
  <c r="AF231" i="90"/>
  <c r="M231" i="90"/>
  <c r="J231" i="90"/>
  <c r="G231" i="90"/>
  <c r="AK231" i="90"/>
  <c r="D231" i="90"/>
  <c r="AH231" i="90"/>
  <c r="C231" i="90"/>
  <c r="B231" i="90"/>
  <c r="AC229" i="90"/>
  <c r="AA229" i="90"/>
  <c r="T229" i="90"/>
  <c r="P229" i="90"/>
  <c r="AC228" i="90"/>
  <c r="AA228" i="90"/>
  <c r="T228" i="90"/>
  <c r="P228" i="90"/>
  <c r="AC227" i="90"/>
  <c r="AA227" i="90"/>
  <c r="T227" i="90"/>
  <c r="P227" i="90"/>
  <c r="AC226" i="90"/>
  <c r="AA226" i="90"/>
  <c r="T226" i="90"/>
  <c r="P226" i="90"/>
  <c r="AC225" i="90"/>
  <c r="AA225" i="90"/>
  <c r="T225" i="90"/>
  <c r="P225" i="90"/>
  <c r="AF224" i="90"/>
  <c r="M224" i="90"/>
  <c r="AK224" i="90"/>
  <c r="AH224" i="90"/>
  <c r="C224" i="90"/>
  <c r="B224" i="90"/>
  <c r="AN5" i="92"/>
  <c r="AN3" i="92"/>
  <c r="AF89" i="90"/>
  <c r="AF6" i="90"/>
  <c r="B158" i="92"/>
  <c r="A158" i="92"/>
  <c r="B77" i="90"/>
  <c r="L85" i="90"/>
  <c r="B75" i="90"/>
  <c r="B73" i="90"/>
  <c r="J77" i="90"/>
  <c r="J85" i="90"/>
  <c r="G77" i="90"/>
  <c r="G85" i="90"/>
  <c r="D77" i="90"/>
  <c r="D85" i="90"/>
  <c r="C77" i="90"/>
  <c r="C85" i="90"/>
  <c r="J75" i="90"/>
  <c r="G75" i="90"/>
  <c r="D75" i="90"/>
  <c r="C75" i="90"/>
  <c r="J73" i="90"/>
  <c r="G73" i="90"/>
  <c r="D73" i="90"/>
  <c r="C73" i="90"/>
  <c r="F51" i="90"/>
  <c r="AJ51" i="90"/>
  <c r="D159" i="92"/>
  <c r="E159" i="92"/>
  <c r="F159" i="92"/>
  <c r="G159" i="92"/>
  <c r="AF1" i="90"/>
  <c r="AF77" i="90"/>
  <c r="AF75" i="90"/>
  <c r="AF73" i="90"/>
  <c r="L78" i="90"/>
  <c r="AC78" i="90"/>
  <c r="AD73" i="90"/>
  <c r="AB73" i="90"/>
  <c r="AA73" i="90"/>
  <c r="Z73" i="90"/>
  <c r="Y73" i="90"/>
  <c r="U73" i="90"/>
  <c r="T73" i="90"/>
  <c r="P73" i="90"/>
  <c r="AD77" i="90"/>
  <c r="AB77" i="90"/>
  <c r="AA77" i="90"/>
  <c r="Z77" i="90"/>
  <c r="Y77" i="90"/>
  <c r="U77" i="90"/>
  <c r="T77" i="90"/>
  <c r="P77" i="90"/>
  <c r="AW2" i="92"/>
  <c r="AV2" i="92"/>
  <c r="AD75" i="90"/>
  <c r="AB75" i="90"/>
  <c r="AA75" i="90"/>
  <c r="Z75" i="90"/>
  <c r="Y75" i="90"/>
  <c r="U75" i="90"/>
  <c r="T75" i="90"/>
  <c r="AC1" i="90"/>
  <c r="AB1" i="90"/>
  <c r="AA1" i="90"/>
  <c r="Z1" i="90"/>
  <c r="Y1" i="90"/>
  <c r="X1" i="90"/>
  <c r="W1" i="90"/>
  <c r="V1" i="90"/>
  <c r="U1" i="90"/>
  <c r="T1" i="90"/>
  <c r="H7" i="83"/>
  <c r="H9" i="83"/>
  <c r="P75" i="90"/>
  <c r="B1" i="90"/>
  <c r="H3" i="83"/>
  <c r="A1" i="18"/>
  <c r="B1" i="18"/>
  <c r="C1" i="18"/>
  <c r="D1" i="18"/>
  <c r="E1" i="18"/>
  <c r="F1" i="18"/>
  <c r="G1" i="18"/>
  <c r="H1" i="18"/>
  <c r="I1" i="18"/>
  <c r="F75" i="90"/>
  <c r="C158" i="92"/>
  <c r="D158" i="92"/>
  <c r="E158" i="92"/>
  <c r="G158" i="92"/>
  <c r="F158" i="92"/>
  <c r="F77" i="90"/>
  <c r="F85" i="90"/>
  <c r="F73" i="90"/>
  <c r="AJ224" i="90"/>
  <c r="AJ242" i="90"/>
  <c r="F231" i="90"/>
  <c r="AJ231" i="90"/>
  <c r="AJ246" i="90"/>
  <c r="I7" i="83"/>
  <c r="I9" i="83"/>
  <c r="A10" i="83"/>
  <c r="A6" i="83"/>
  <c r="A7" i="83"/>
  <c r="A8" i="83"/>
  <c r="X47" i="90"/>
  <c r="H5" i="83"/>
  <c r="H4" i="83"/>
  <c r="X268" i="90"/>
  <c r="AL272" i="90"/>
  <c r="AL279" i="90"/>
  <c r="AN279" i="90"/>
  <c r="AN272" i="90"/>
  <c r="AM288" i="90"/>
  <c r="AM279" i="90"/>
  <c r="AM272" i="90"/>
  <c r="AL288" i="90"/>
  <c r="AN288" i="90"/>
  <c r="S5" i="83"/>
  <c r="F5" i="83"/>
  <c r="AI288" i="90"/>
  <c r="AI279" i="90"/>
  <c r="AI272" i="90"/>
  <c r="S4" i="83"/>
  <c r="F4" i="83"/>
  <c r="I4" i="83"/>
  <c r="I5" i="83"/>
  <c r="C87" i="90"/>
  <c r="AP87" i="90"/>
  <c r="D87" i="90"/>
  <c r="AR87" i="90"/>
  <c r="E87" i="90"/>
  <c r="F87" i="90"/>
  <c r="G87" i="90"/>
  <c r="H87" i="90"/>
  <c r="I87" i="90"/>
  <c r="J87" i="90"/>
  <c r="AX87" i="90"/>
  <c r="K87" i="90"/>
  <c r="L87" i="90"/>
  <c r="AQ87" i="90"/>
  <c r="C86" i="90"/>
  <c r="AP86" i="90"/>
  <c r="L86" i="90"/>
  <c r="AQ86" i="90"/>
  <c r="F86" i="90"/>
  <c r="G86" i="90"/>
  <c r="H86" i="90"/>
  <c r="I86" i="90"/>
  <c r="J86" i="90"/>
  <c r="AX86" i="90"/>
  <c r="K86" i="90"/>
  <c r="D86" i="90"/>
  <c r="AR86" i="90"/>
  <c r="E86" i="90"/>
  <c r="F70" i="83"/>
  <c r="N70" i="83"/>
  <c r="N71" i="83"/>
  <c r="BB4" i="90"/>
  <c r="BB5" i="90"/>
  <c r="P58" i="407"/>
  <c r="P42" i="407"/>
  <c r="P67" i="407"/>
  <c r="P21" i="407"/>
  <c r="P50" i="407"/>
  <c r="P33" i="407"/>
  <c r="P25" i="407"/>
  <c r="P79" i="407"/>
  <c r="P37" i="407"/>
  <c r="P29" i="407"/>
  <c r="P71" i="407"/>
  <c r="P54" i="407"/>
  <c r="P46" i="407"/>
  <c r="D20" i="407"/>
  <c r="D24" i="407"/>
  <c r="D28" i="407"/>
  <c r="D32" i="407"/>
  <c r="D36" i="407"/>
  <c r="D41" i="407"/>
  <c r="BQ2" i="407"/>
  <c r="BM5" i="407"/>
  <c r="P4" i="407"/>
  <c r="BO5" i="407"/>
  <c r="N80" i="407"/>
  <c r="W54" i="407"/>
  <c r="W21" i="407"/>
  <c r="W58" i="407"/>
  <c r="W42" i="407"/>
  <c r="W37" i="407"/>
  <c r="W33" i="407"/>
  <c r="W67" i="407"/>
  <c r="W50" i="407"/>
  <c r="W29" i="407"/>
  <c r="W46" i="407"/>
  <c r="W25" i="407"/>
  <c r="S11" i="407"/>
  <c r="S12" i="407"/>
  <c r="S6" i="407"/>
  <c r="S14" i="407"/>
  <c r="S7" i="407"/>
  <c r="S8" i="407"/>
  <c r="S10" i="407"/>
  <c r="J27" i="407"/>
  <c r="M166" i="407"/>
  <c r="J23" i="407"/>
  <c r="M165" i="407"/>
  <c r="BL5" i="407"/>
  <c r="O74" i="407"/>
  <c r="J31" i="407"/>
  <c r="M167" i="407"/>
  <c r="J35" i="407"/>
  <c r="M168" i="407"/>
  <c r="J39" i="407"/>
  <c r="M169" i="407"/>
  <c r="J44" i="407"/>
  <c r="M170" i="407"/>
  <c r="J48" i="407"/>
  <c r="M171" i="407"/>
  <c r="J69" i="407"/>
  <c r="M176" i="407"/>
  <c r="J52" i="407"/>
  <c r="M172" i="407"/>
  <c r="J73" i="407"/>
  <c r="M177" i="407"/>
  <c r="J56" i="407"/>
  <c r="M173" i="407"/>
  <c r="J60" i="407"/>
  <c r="M174" i="407"/>
  <c r="J81" i="407"/>
  <c r="M179" i="407"/>
  <c r="J65" i="407"/>
  <c r="M175" i="407"/>
  <c r="M181" i="407"/>
  <c r="J85" i="407"/>
  <c r="F18" i="407"/>
  <c r="D18" i="407"/>
  <c r="G18" i="407"/>
  <c r="C18" i="407"/>
  <c r="G21" i="407"/>
  <c r="L20" i="407"/>
  <c r="F21" i="407"/>
  <c r="CI21" i="407"/>
  <c r="C20" i="407"/>
  <c r="L24" i="407"/>
  <c r="Q21" i="407"/>
  <c r="L21" i="407"/>
  <c r="G25" i="407"/>
  <c r="L25" i="407"/>
  <c r="F25" i="407"/>
  <c r="CI25" i="407"/>
  <c r="C24" i="407"/>
  <c r="Q25" i="407"/>
  <c r="Q29" i="407"/>
  <c r="F29" i="407"/>
  <c r="CI29" i="407"/>
  <c r="G29" i="407"/>
  <c r="L29" i="407"/>
  <c r="L28" i="407"/>
  <c r="C28" i="407"/>
  <c r="Q33" i="407"/>
  <c r="F33" i="407"/>
  <c r="CI33" i="407"/>
  <c r="C32" i="407"/>
  <c r="L33" i="407"/>
  <c r="L32" i="407"/>
  <c r="G33" i="407"/>
  <c r="G37" i="407"/>
  <c r="F37" i="407"/>
  <c r="CI37" i="407"/>
  <c r="Q37" i="407"/>
  <c r="L36" i="407"/>
  <c r="C36" i="407"/>
  <c r="L37" i="407"/>
  <c r="L46" i="407"/>
  <c r="C41" i="407"/>
  <c r="L42" i="407"/>
  <c r="Q46" i="407"/>
  <c r="Q42" i="407"/>
  <c r="F46" i="407"/>
  <c r="CI46" i="407"/>
  <c r="F42" i="407"/>
  <c r="CI42" i="407"/>
  <c r="C45" i="407"/>
  <c r="L41" i="407"/>
  <c r="L45" i="407"/>
  <c r="G46" i="407"/>
  <c r="G42" i="407"/>
  <c r="G50" i="407"/>
  <c r="Q50" i="407"/>
  <c r="F50" i="407"/>
  <c r="CI50" i="407"/>
  <c r="C49" i="407"/>
  <c r="R54" i="407"/>
  <c r="L49" i="407"/>
  <c r="L50" i="407"/>
  <c r="R33" i="407"/>
  <c r="L53" i="407"/>
  <c r="R29" i="407"/>
  <c r="E33" i="407"/>
  <c r="E25" i="407"/>
  <c r="E29" i="407"/>
  <c r="R21" i="407"/>
  <c r="R25" i="407"/>
  <c r="L54" i="407"/>
  <c r="R50" i="407"/>
  <c r="E21" i="407"/>
  <c r="E42" i="407"/>
  <c r="Q54" i="407"/>
  <c r="G54" i="407"/>
  <c r="E37" i="407"/>
  <c r="F54" i="407"/>
  <c r="CI54" i="407"/>
  <c r="R46" i="407"/>
  <c r="R37" i="407"/>
  <c r="R42" i="407"/>
  <c r="C53" i="407"/>
  <c r="R58" i="407"/>
  <c r="F58" i="407"/>
  <c r="CI58" i="407"/>
  <c r="C57" i="407"/>
  <c r="L57" i="407"/>
  <c r="Q58" i="407"/>
  <c r="G58" i="407"/>
  <c r="L58" i="407"/>
  <c r="X43" i="90"/>
  <c r="X302" i="90"/>
  <c r="X308" i="90"/>
  <c r="X323" i="90"/>
  <c r="X312" i="90"/>
  <c r="X310" i="90"/>
  <c r="W323" i="90"/>
  <c r="W312" i="90"/>
  <c r="W310" i="90"/>
  <c r="W302" i="90"/>
  <c r="W308" i="90"/>
  <c r="I302" i="90"/>
  <c r="AM302" i="90"/>
  <c r="K302" i="90"/>
  <c r="AN302" i="90"/>
  <c r="H302" i="90"/>
  <c r="AL302" i="90"/>
  <c r="R14" i="285"/>
  <c r="R15" i="285"/>
  <c r="R16" i="285"/>
  <c r="X257" i="90"/>
  <c r="X242" i="90"/>
  <c r="X185" i="90"/>
  <c r="X231" i="90"/>
  <c r="X51" i="90"/>
  <c r="BB34" i="90"/>
  <c r="BB35" i="90"/>
  <c r="G550" i="374"/>
  <c r="E550" i="374"/>
  <c r="F550" i="374"/>
  <c r="G551" i="374"/>
  <c r="E551" i="374"/>
  <c r="F551" i="374"/>
  <c r="G552" i="374"/>
  <c r="E552" i="374"/>
  <c r="F552" i="374"/>
  <c r="G553" i="374"/>
  <c r="E553" i="374"/>
  <c r="F553" i="374"/>
  <c r="G549" i="374"/>
  <c r="E549" i="374"/>
  <c r="F549" i="374"/>
  <c r="W268" i="90"/>
  <c r="W134" i="90"/>
  <c r="W111" i="90"/>
  <c r="W99" i="90"/>
  <c r="W131" i="90"/>
  <c r="W106" i="90"/>
  <c r="W95" i="90"/>
  <c r="W120" i="90"/>
  <c r="X40" i="90"/>
  <c r="X111" i="90"/>
  <c r="X131" i="90"/>
  <c r="X106" i="90"/>
  <c r="X99" i="90"/>
  <c r="X95" i="90"/>
  <c r="X120" i="90"/>
  <c r="X134" i="90"/>
  <c r="AL111" i="90"/>
  <c r="AL134" i="90"/>
  <c r="H95" i="90"/>
  <c r="AL95" i="90"/>
  <c r="AL106" i="90"/>
  <c r="AL99" i="90"/>
  <c r="H120" i="90"/>
  <c r="AL120" i="90"/>
  <c r="AL131" i="90"/>
  <c r="AM134" i="90"/>
  <c r="I95" i="90"/>
  <c r="AM95" i="90"/>
  <c r="AM106" i="90"/>
  <c r="AM99" i="90"/>
  <c r="I120" i="90"/>
  <c r="AM120" i="90"/>
  <c r="AM131" i="90"/>
  <c r="AM111" i="90"/>
  <c r="K120" i="90"/>
  <c r="AN120" i="90"/>
  <c r="AN99" i="90"/>
  <c r="AN131" i="90"/>
  <c r="AN111" i="90"/>
  <c r="AN106" i="90"/>
  <c r="AN134" i="90"/>
  <c r="K95" i="90"/>
  <c r="AN95" i="90"/>
  <c r="K9" i="285"/>
  <c r="K4" i="285"/>
  <c r="L12" i="285"/>
  <c r="L19" i="285"/>
  <c r="E8" i="285"/>
  <c r="E7" i="285"/>
  <c r="M8" i="285"/>
  <c r="M7" i="285"/>
  <c r="P1" i="92"/>
  <c r="P2" i="92"/>
  <c r="O74" i="90"/>
  <c r="K13" i="285"/>
  <c r="K14" i="285"/>
  <c r="K15" i="285"/>
  <c r="K16" i="285"/>
  <c r="L16" i="285"/>
  <c r="D14" i="230"/>
  <c r="E14" i="230"/>
  <c r="D105" i="230"/>
  <c r="E105" i="230"/>
  <c r="D65" i="230"/>
  <c r="E65" i="230"/>
  <c r="D4" i="230"/>
  <c r="E4" i="230"/>
  <c r="D52" i="230"/>
  <c r="E52" i="230"/>
  <c r="D130" i="230"/>
  <c r="E130" i="230"/>
  <c r="D7" i="230"/>
  <c r="E7" i="230"/>
  <c r="D12" i="230"/>
  <c r="E12" i="230"/>
  <c r="D26" i="230"/>
  <c r="E26" i="230"/>
  <c r="D66" i="230"/>
  <c r="E66" i="230"/>
  <c r="D91" i="230"/>
  <c r="E91" i="230"/>
  <c r="D79" i="230"/>
  <c r="E79" i="230"/>
  <c r="D92" i="230"/>
  <c r="E92" i="230"/>
  <c r="D39" i="230"/>
  <c r="E39" i="230"/>
  <c r="D54" i="230"/>
  <c r="E54" i="230"/>
  <c r="D117" i="230"/>
  <c r="E117" i="230"/>
  <c r="D104" i="230"/>
  <c r="E104" i="230"/>
  <c r="D118" i="230"/>
  <c r="E118" i="230"/>
  <c r="D6" i="230"/>
  <c r="E6" i="230"/>
  <c r="D13" i="230"/>
  <c r="E13" i="230"/>
  <c r="D67" i="230"/>
  <c r="E67" i="230"/>
  <c r="D78" i="230"/>
  <c r="E78" i="230"/>
  <c r="D8" i="230"/>
  <c r="E8" i="230"/>
  <c r="D131" i="230"/>
  <c r="E131" i="230"/>
  <c r="D119" i="230"/>
  <c r="E119" i="230"/>
  <c r="D5" i="230"/>
  <c r="E5" i="230"/>
  <c r="D53" i="230"/>
  <c r="E53" i="230"/>
  <c r="D93" i="230"/>
  <c r="E93" i="230"/>
  <c r="D41" i="230"/>
  <c r="E41" i="230"/>
  <c r="D80" i="230"/>
  <c r="E80" i="230"/>
  <c r="D15" i="230"/>
  <c r="E15" i="230"/>
  <c r="D55" i="230"/>
  <c r="E55" i="230"/>
  <c r="D27" i="230"/>
  <c r="E27" i="230"/>
  <c r="D106" i="230"/>
  <c r="E106" i="230"/>
  <c r="D68" i="230"/>
  <c r="E68" i="230"/>
  <c r="D40" i="230"/>
  <c r="E40" i="230"/>
  <c r="D69" i="230"/>
  <c r="E69" i="230"/>
  <c r="D42" i="230"/>
  <c r="E42" i="230"/>
  <c r="D28" i="230"/>
  <c r="E28" i="230"/>
  <c r="D94" i="230"/>
  <c r="E94" i="230"/>
  <c r="D56" i="230"/>
  <c r="E56" i="230"/>
  <c r="D107" i="230"/>
  <c r="E107" i="230"/>
  <c r="D120" i="230"/>
  <c r="E120" i="230"/>
  <c r="D132" i="230"/>
  <c r="E132" i="230"/>
  <c r="D9" i="230"/>
  <c r="E9" i="230"/>
  <c r="D16" i="230"/>
  <c r="E16" i="230"/>
  <c r="D81" i="230"/>
  <c r="E81" i="230"/>
  <c r="D17" i="230"/>
  <c r="E17" i="230"/>
  <c r="D57" i="230"/>
  <c r="E57" i="230"/>
  <c r="D133" i="230"/>
  <c r="E133" i="230"/>
  <c r="D10" i="230"/>
  <c r="E10" i="230"/>
  <c r="D121" i="230"/>
  <c r="E121" i="230"/>
  <c r="D29" i="230"/>
  <c r="E29" i="230"/>
  <c r="D95" i="230"/>
  <c r="E95" i="230"/>
  <c r="D70" i="230"/>
  <c r="E70" i="230"/>
  <c r="D108" i="230"/>
  <c r="E108" i="230"/>
  <c r="D82" i="230"/>
  <c r="E82" i="230"/>
  <c r="D43" i="230"/>
  <c r="E43" i="230"/>
  <c r="D83" i="230"/>
  <c r="E83" i="230"/>
  <c r="D122" i="230"/>
  <c r="E122" i="230"/>
  <c r="D58" i="230"/>
  <c r="E58" i="230"/>
  <c r="D96" i="230"/>
  <c r="E96" i="230"/>
  <c r="D134" i="230"/>
  <c r="E134" i="230"/>
  <c r="D44" i="230"/>
  <c r="E44" i="230"/>
  <c r="D71" i="230"/>
  <c r="E71" i="230"/>
  <c r="D109" i="230"/>
  <c r="E109" i="230"/>
  <c r="D18" i="230"/>
  <c r="E18" i="230"/>
  <c r="D11" i="230"/>
  <c r="E11" i="230"/>
  <c r="D30" i="230"/>
  <c r="E30" i="230"/>
  <c r="D110" i="230"/>
  <c r="E110" i="230"/>
  <c r="D123" i="230"/>
  <c r="E123" i="230"/>
  <c r="D19" i="230"/>
  <c r="E19" i="230"/>
  <c r="D45" i="230"/>
  <c r="E45" i="230"/>
  <c r="D72" i="230"/>
  <c r="E72" i="230"/>
  <c r="D59" i="230"/>
  <c r="E59" i="230"/>
  <c r="D97" i="230"/>
  <c r="E97" i="230"/>
  <c r="D31" i="230"/>
  <c r="E31" i="230"/>
  <c r="D135" i="230"/>
  <c r="E135" i="230"/>
  <c r="D84" i="230"/>
  <c r="E84" i="230"/>
  <c r="D20" i="230"/>
  <c r="E20" i="230"/>
  <c r="D60" i="230"/>
  <c r="E60" i="230"/>
  <c r="D111" i="230"/>
  <c r="E111" i="230"/>
  <c r="D85" i="230"/>
  <c r="E85" i="230"/>
  <c r="D136" i="230"/>
  <c r="E136" i="230"/>
  <c r="D124" i="230"/>
  <c r="E124" i="230"/>
  <c r="D98" i="230"/>
  <c r="E98" i="230"/>
  <c r="D73" i="230"/>
  <c r="E73" i="230"/>
  <c r="D46" i="230"/>
  <c r="E46" i="230"/>
  <c r="D32" i="230"/>
  <c r="E32" i="230"/>
  <c r="D74" i="230"/>
  <c r="E74" i="230"/>
  <c r="D21" i="230"/>
  <c r="E21" i="230"/>
  <c r="D33" i="230"/>
  <c r="E33" i="230"/>
  <c r="D86" i="230"/>
  <c r="E86" i="230"/>
  <c r="D99" i="230"/>
  <c r="E99" i="230"/>
  <c r="D137" i="230"/>
  <c r="E137" i="230"/>
  <c r="D125" i="230"/>
  <c r="E125" i="230"/>
  <c r="D47" i="230"/>
  <c r="E47" i="230"/>
  <c r="D112" i="230"/>
  <c r="E112" i="230"/>
  <c r="D61" i="230"/>
  <c r="E61" i="230"/>
  <c r="D87" i="230"/>
  <c r="E87" i="230"/>
  <c r="D48" i="230"/>
  <c r="E48" i="230"/>
  <c r="D22" i="230"/>
  <c r="E22" i="230"/>
  <c r="D100" i="230"/>
  <c r="E100" i="230"/>
  <c r="D126" i="230"/>
  <c r="E126" i="230"/>
  <c r="D138" i="230"/>
  <c r="E138" i="230"/>
  <c r="D76" i="230"/>
  <c r="E76" i="230"/>
  <c r="D113" i="230"/>
  <c r="E113" i="230"/>
  <c r="D62" i="230"/>
  <c r="E62" i="230"/>
  <c r="D75" i="230"/>
  <c r="E75" i="230"/>
  <c r="D34" i="230"/>
  <c r="E34" i="230"/>
  <c r="D63" i="230"/>
  <c r="E63" i="230"/>
  <c r="D89" i="230"/>
  <c r="E89" i="230"/>
  <c r="D49" i="230"/>
  <c r="E49" i="230"/>
  <c r="D102" i="230"/>
  <c r="E102" i="230"/>
  <c r="D64" i="230"/>
  <c r="E64" i="230"/>
  <c r="D35" i="230"/>
  <c r="E35" i="230"/>
  <c r="D50" i="230"/>
  <c r="E50" i="230"/>
  <c r="D77" i="230"/>
  <c r="E77" i="230"/>
  <c r="D127" i="230"/>
  <c r="E127" i="230"/>
  <c r="D36" i="230"/>
  <c r="E36" i="230"/>
  <c r="D23" i="230"/>
  <c r="E23" i="230"/>
  <c r="D115" i="230"/>
  <c r="E115" i="230"/>
  <c r="D101" i="230"/>
  <c r="E101" i="230"/>
  <c r="D88" i="230"/>
  <c r="E88" i="230"/>
  <c r="D114" i="230"/>
  <c r="E114" i="230"/>
  <c r="D139" i="230"/>
  <c r="E139" i="230"/>
  <c r="D103" i="230"/>
  <c r="E103" i="230"/>
  <c r="D24" i="230"/>
  <c r="E24" i="230"/>
  <c r="D116" i="230"/>
  <c r="E116" i="230"/>
  <c r="D90" i="230"/>
  <c r="E90" i="230"/>
  <c r="D128" i="230"/>
  <c r="E128" i="230"/>
  <c r="D51" i="230"/>
  <c r="E51" i="230"/>
  <c r="D140" i="230"/>
  <c r="E140" i="230"/>
  <c r="D37" i="230"/>
  <c r="E37" i="230"/>
  <c r="D141" i="230"/>
  <c r="E141" i="230"/>
  <c r="D25" i="230"/>
  <c r="E25" i="230"/>
  <c r="D129" i="230"/>
  <c r="E129" i="230"/>
  <c r="D38" i="230"/>
  <c r="E38" i="230"/>
  <c r="D142" i="230"/>
  <c r="E142" i="230"/>
  <c r="K18" i="285"/>
  <c r="L18" i="285"/>
  <c r="J11" i="285"/>
  <c r="J8" i="285"/>
  <c r="K6" i="285"/>
  <c r="L6" i="285"/>
  <c r="L21" i="285"/>
  <c r="S7" i="350"/>
  <c r="S6" i="350"/>
  <c r="S27" i="350"/>
  <c r="M27" i="350"/>
  <c r="S31" i="350"/>
  <c r="M31" i="350"/>
  <c r="S35" i="350"/>
  <c r="M35" i="350"/>
  <c r="S39" i="350"/>
  <c r="M39" i="350"/>
  <c r="S43" i="350"/>
  <c r="M43" i="350"/>
  <c r="S48" i="350"/>
  <c r="M48" i="350"/>
  <c r="S52" i="350"/>
  <c r="M52" i="350"/>
  <c r="S56" i="350"/>
  <c r="M56" i="350"/>
  <c r="S60" i="350"/>
  <c r="M60" i="350"/>
  <c r="S64" i="350"/>
  <c r="M64" i="350"/>
  <c r="S73" i="350"/>
  <c r="M73" i="350"/>
  <c r="S81" i="350"/>
  <c r="M81" i="350"/>
  <c r="S85" i="350"/>
  <c r="M85" i="350"/>
  <c r="S77" i="350"/>
  <c r="M77" i="350"/>
  <c r="S69" i="350"/>
  <c r="M69" i="350"/>
  <c r="I85" i="92"/>
  <c r="J85" i="92"/>
  <c r="L91" i="350"/>
  <c r="X75" i="90"/>
  <c r="X246" i="90"/>
  <c r="X77" i="90"/>
  <c r="X224" i="90"/>
  <c r="X31" i="90"/>
  <c r="X73" i="90"/>
  <c r="X8" i="90"/>
  <c r="X250" i="90"/>
  <c r="X12" i="90"/>
  <c r="X203" i="90"/>
  <c r="AF78" i="90"/>
  <c r="CW18" i="350"/>
  <c r="BH18" i="350"/>
  <c r="CW13" i="350"/>
  <c r="BG13" i="350"/>
  <c r="I13" i="350"/>
  <c r="CW8" i="350"/>
  <c r="CW11" i="350"/>
  <c r="BH11" i="350"/>
  <c r="CW16" i="350"/>
  <c r="BH16" i="350"/>
  <c r="CW12" i="350"/>
  <c r="BH12" i="350"/>
  <c r="CW17" i="350"/>
  <c r="BG17" i="350"/>
  <c r="I17" i="350"/>
  <c r="I113" i="92"/>
  <c r="J106" i="92"/>
  <c r="BH2" i="350"/>
  <c r="H7" i="90"/>
  <c r="AL7" i="90"/>
  <c r="K7" i="90"/>
  <c r="AN7" i="90"/>
  <c r="I7" i="90"/>
  <c r="AM7" i="90"/>
  <c r="P58" i="350"/>
  <c r="P29" i="350"/>
  <c r="P54" i="350"/>
  <c r="P37" i="350"/>
  <c r="P83" i="350"/>
  <c r="P62" i="350"/>
  <c r="P33" i="350"/>
  <c r="P75" i="350"/>
  <c r="P46" i="350"/>
  <c r="P50" i="350"/>
  <c r="P41" i="350"/>
  <c r="W24" i="90"/>
  <c r="W72" i="90"/>
  <c r="X24" i="90"/>
  <c r="X72" i="90"/>
  <c r="AL24" i="90"/>
  <c r="H72" i="90"/>
  <c r="AL72" i="90"/>
  <c r="AM24" i="90"/>
  <c r="I72" i="90"/>
  <c r="AM72" i="90"/>
  <c r="AN24" i="90"/>
  <c r="K72" i="90"/>
  <c r="AN72" i="90"/>
  <c r="W216" i="90"/>
  <c r="W17" i="90"/>
  <c r="X146" i="90"/>
  <c r="X17" i="90"/>
  <c r="BO16" i="350"/>
  <c r="BO17" i="350"/>
  <c r="BO11" i="350"/>
  <c r="BO18" i="350"/>
  <c r="BO12" i="350"/>
  <c r="BO13" i="350"/>
  <c r="BO8" i="350"/>
  <c r="CP16" i="350"/>
  <c r="T16" i="350"/>
  <c r="CP17" i="350"/>
  <c r="T17" i="350"/>
  <c r="CP11" i="350"/>
  <c r="T11" i="350"/>
  <c r="CP18" i="350"/>
  <c r="T18" i="350"/>
  <c r="CP12" i="350"/>
  <c r="T12" i="350"/>
  <c r="CP13" i="350"/>
  <c r="T13" i="350"/>
  <c r="CP8" i="350"/>
  <c r="T8" i="350"/>
  <c r="BI17" i="350"/>
  <c r="BI11" i="350"/>
  <c r="BI18" i="350"/>
  <c r="BI12" i="350"/>
  <c r="BI13" i="350"/>
  <c r="BI8" i="350"/>
  <c r="BI16" i="350"/>
  <c r="BJ18" i="350"/>
  <c r="BJ12" i="350"/>
  <c r="BJ13" i="350"/>
  <c r="BJ8" i="350"/>
  <c r="BJ11" i="350"/>
  <c r="BJ16" i="350"/>
  <c r="BJ17" i="350"/>
  <c r="BK13" i="350"/>
  <c r="BK8" i="350"/>
  <c r="BK18" i="350"/>
  <c r="BK12" i="350"/>
  <c r="BK16" i="350"/>
  <c r="BK17" i="350"/>
  <c r="BK11" i="350"/>
  <c r="CQ12" i="350"/>
  <c r="X12" i="350"/>
  <c r="CQ11" i="350"/>
  <c r="X11" i="350"/>
  <c r="CQ8" i="350"/>
  <c r="X8" i="350"/>
  <c r="CQ18" i="350"/>
  <c r="X18" i="350"/>
  <c r="CQ13" i="350"/>
  <c r="X13" i="350"/>
  <c r="CQ17" i="350"/>
  <c r="X17" i="350"/>
  <c r="CQ16" i="350"/>
  <c r="X16" i="350"/>
  <c r="H17" i="90"/>
  <c r="AL17" i="90"/>
  <c r="N4" i="350"/>
  <c r="O24" i="350"/>
  <c r="B26" i="350"/>
  <c r="BL8" i="350"/>
  <c r="P8" i="350"/>
  <c r="BL13" i="350"/>
  <c r="P13" i="350"/>
  <c r="BL16" i="350"/>
  <c r="BL17" i="350"/>
  <c r="BL11" i="350"/>
  <c r="BL18" i="350"/>
  <c r="P18" i="350"/>
  <c r="BL12" i="350"/>
  <c r="BM8" i="350"/>
  <c r="BM16" i="350"/>
  <c r="BM17" i="350"/>
  <c r="BM11" i="350"/>
  <c r="BM18" i="350"/>
  <c r="BM12" i="350"/>
  <c r="BM13" i="350"/>
  <c r="I17" i="90"/>
  <c r="AM17" i="90"/>
  <c r="O4" i="350"/>
  <c r="S16" i="350"/>
  <c r="S17" i="350"/>
  <c r="S11" i="350"/>
  <c r="S18" i="350"/>
  <c r="S12" i="350"/>
  <c r="S13" i="350"/>
  <c r="S8" i="350"/>
  <c r="BN16" i="350"/>
  <c r="CG16" i="350"/>
  <c r="BN17" i="350"/>
  <c r="CG17" i="350"/>
  <c r="BN11" i="350"/>
  <c r="CG11" i="350"/>
  <c r="BN18" i="350"/>
  <c r="CG18" i="350"/>
  <c r="BN12" i="350"/>
  <c r="CG12" i="350"/>
  <c r="BN13" i="350"/>
  <c r="CG13" i="350"/>
  <c r="BN8" i="350"/>
  <c r="CG8" i="350"/>
  <c r="K17" i="90"/>
  <c r="AN17" i="90"/>
  <c r="Q4" i="350"/>
  <c r="C22" i="350"/>
  <c r="G22" i="350"/>
  <c r="F22" i="350"/>
  <c r="D22" i="350"/>
  <c r="L88" i="350"/>
  <c r="F88" i="350"/>
  <c r="CI88" i="350"/>
  <c r="G88" i="350"/>
  <c r="CJ88" i="350"/>
  <c r="Q89" i="350"/>
  <c r="G91" i="350"/>
  <c r="CJ91" i="350"/>
  <c r="F91" i="350"/>
  <c r="Q92" i="350"/>
  <c r="L94" i="350"/>
  <c r="G94" i="350"/>
  <c r="CJ94" i="350"/>
  <c r="F94" i="350"/>
  <c r="CI94" i="350"/>
  <c r="Q95" i="350"/>
  <c r="Q98" i="350"/>
  <c r="G97" i="350"/>
  <c r="CJ97" i="350"/>
  <c r="L97" i="350"/>
  <c r="F97" i="350"/>
  <c r="CI97" i="350"/>
  <c r="G100" i="350"/>
  <c r="CJ100" i="350"/>
  <c r="Q101" i="350"/>
  <c r="F100" i="350"/>
  <c r="CI100" i="350"/>
  <c r="L100" i="350"/>
  <c r="O1" i="92"/>
  <c r="D3" i="90"/>
  <c r="D92" i="90"/>
  <c r="J127" i="92"/>
  <c r="I106" i="92"/>
  <c r="G2" i="83"/>
  <c r="E6" i="90"/>
  <c r="I51" i="90"/>
  <c r="AM51" i="90"/>
  <c r="AN40" i="90"/>
  <c r="A99" i="92"/>
  <c r="N74" i="90"/>
  <c r="K8" i="285"/>
  <c r="K22" i="285"/>
  <c r="L22" i="285"/>
  <c r="L10" i="285"/>
  <c r="X159" i="90"/>
  <c r="P5" i="83"/>
  <c r="K51" i="90"/>
  <c r="AN51" i="90"/>
  <c r="W288" i="90"/>
  <c r="W242" i="90"/>
  <c r="AM250" i="90"/>
  <c r="I77" i="90"/>
  <c r="I85" i="90"/>
  <c r="W77" i="90"/>
  <c r="AM246" i="90"/>
  <c r="W231" i="90"/>
  <c r="W12" i="90"/>
  <c r="W257" i="90"/>
  <c r="W246" i="90"/>
  <c r="W210" i="90"/>
  <c r="X170" i="90"/>
  <c r="X174" i="90"/>
  <c r="X178" i="90"/>
  <c r="W272" i="90"/>
  <c r="W73" i="90"/>
  <c r="X210" i="90"/>
  <c r="X216" i="90"/>
  <c r="X220" i="90"/>
  <c r="X138" i="90"/>
  <c r="W51" i="90"/>
  <c r="W250" i="90"/>
  <c r="W224" i="90"/>
  <c r="AN6" i="90"/>
  <c r="AN75" i="90"/>
  <c r="AN250" i="90"/>
  <c r="K73" i="90"/>
  <c r="K12" i="90"/>
  <c r="AN12" i="90"/>
  <c r="K77" i="90"/>
  <c r="K85" i="90"/>
  <c r="I31" i="90"/>
  <c r="AM31" i="90"/>
  <c r="K268" i="90"/>
  <c r="AN268" i="90"/>
  <c r="K8" i="90"/>
  <c r="AN8" i="90"/>
  <c r="AN47" i="90"/>
  <c r="AN210" i="90"/>
  <c r="K31" i="90"/>
  <c r="AN31" i="90"/>
  <c r="K75" i="90"/>
  <c r="K203" i="90"/>
  <c r="AN203" i="90"/>
  <c r="AN242" i="90"/>
  <c r="AN224" i="90"/>
  <c r="AN246" i="90"/>
  <c r="AN257" i="90"/>
  <c r="K231" i="90"/>
  <c r="AN231" i="90"/>
  <c r="AN43" i="90"/>
  <c r="H8" i="90"/>
  <c r="AL8" i="90"/>
  <c r="H31" i="90"/>
  <c r="AL31" i="90"/>
  <c r="AM257" i="90"/>
  <c r="AM6" i="90"/>
  <c r="AM77" i="90"/>
  <c r="AL47" i="90"/>
  <c r="I231" i="90"/>
  <c r="AM231" i="90"/>
  <c r="I268" i="90"/>
  <c r="AM268" i="90"/>
  <c r="AL6" i="90"/>
  <c r="AL75" i="90"/>
  <c r="AL40" i="90"/>
  <c r="I73" i="90"/>
  <c r="AL257" i="90"/>
  <c r="AL224" i="90"/>
  <c r="I75" i="90"/>
  <c r="AM224" i="90"/>
  <c r="AM242" i="90"/>
  <c r="AM210" i="90"/>
  <c r="I12" i="90"/>
  <c r="AM12" i="90"/>
  <c r="AM40" i="90"/>
  <c r="AM47" i="90"/>
  <c r="K170" i="92"/>
  <c r="C91" i="92"/>
  <c r="H51" i="90"/>
  <c r="AL51" i="90"/>
  <c r="AL43" i="90"/>
  <c r="H73" i="90"/>
  <c r="AL216" i="90"/>
  <c r="AL246" i="90"/>
  <c r="H75" i="90"/>
  <c r="H77" i="90"/>
  <c r="H85" i="90"/>
  <c r="H231" i="90"/>
  <c r="AL231" i="90"/>
  <c r="AL250" i="90"/>
  <c r="AL242" i="90"/>
  <c r="H12" i="90"/>
  <c r="AL12" i="90"/>
  <c r="H268" i="90"/>
  <c r="AL268" i="90"/>
  <c r="AM43" i="90"/>
  <c r="I203" i="90"/>
  <c r="AM203" i="90"/>
  <c r="I8" i="90"/>
  <c r="AM8" i="90"/>
  <c r="H10" i="83"/>
  <c r="AU87" i="90"/>
  <c r="AV86" i="90"/>
  <c r="AU86" i="90"/>
  <c r="AV87" i="90"/>
  <c r="AJ289" i="90"/>
  <c r="AI289" i="90"/>
  <c r="AN289" i="90"/>
  <c r="AM289" i="90"/>
  <c r="AK289" i="90"/>
  <c r="AL289" i="90"/>
  <c r="AK253" i="90"/>
  <c r="AJ253" i="90"/>
  <c r="AI253" i="90"/>
  <c r="AN253" i="90"/>
  <c r="AL253" i="90"/>
  <c r="AM253" i="90"/>
  <c r="AJ258" i="90"/>
  <c r="AI258" i="90"/>
  <c r="AN258" i="90"/>
  <c r="AM258" i="90"/>
  <c r="AK258" i="90"/>
  <c r="AL258" i="90"/>
  <c r="AN260" i="90"/>
  <c r="AM260" i="90"/>
  <c r="AL260" i="90"/>
  <c r="AK260" i="90"/>
  <c r="AJ260" i="90"/>
  <c r="AI260" i="90"/>
  <c r="AJ262" i="90"/>
  <c r="AI262" i="90"/>
  <c r="AN262" i="90"/>
  <c r="AM262" i="90"/>
  <c r="AK262" i="90"/>
  <c r="AL262" i="90"/>
  <c r="AL264" i="90"/>
  <c r="AM264" i="90"/>
  <c r="AN264" i="90"/>
  <c r="AI264" i="90"/>
  <c r="AK264" i="90"/>
  <c r="AJ264" i="90"/>
  <c r="AI266" i="90"/>
  <c r="AJ266" i="90"/>
  <c r="AK266" i="90"/>
  <c r="AL266" i="90"/>
  <c r="AN266" i="90"/>
  <c r="AM266" i="90"/>
  <c r="AM269" i="90"/>
  <c r="AL269" i="90"/>
  <c r="AK269" i="90"/>
  <c r="AJ269" i="90"/>
  <c r="AI269" i="90"/>
  <c r="AN269" i="90"/>
  <c r="AN271" i="90"/>
  <c r="AM271" i="90"/>
  <c r="AL271" i="90"/>
  <c r="AK271" i="90"/>
  <c r="AI271" i="90"/>
  <c r="AJ271" i="90"/>
  <c r="AJ54" i="90"/>
  <c r="AI54" i="90"/>
  <c r="AL54" i="90"/>
  <c r="AN54" i="90"/>
  <c r="AM54" i="90"/>
  <c r="AK54" i="90"/>
  <c r="AK294" i="90"/>
  <c r="AL294" i="90"/>
  <c r="AM294" i="90"/>
  <c r="AN294" i="90"/>
  <c r="AJ294" i="90"/>
  <c r="AI294" i="90"/>
  <c r="AJ273" i="90"/>
  <c r="AI273" i="90"/>
  <c r="AN273" i="90"/>
  <c r="AM273" i="90"/>
  <c r="AK273" i="90"/>
  <c r="AL273" i="90"/>
  <c r="AN275" i="90"/>
  <c r="AI275" i="90"/>
  <c r="AJ275" i="90"/>
  <c r="AK275" i="90"/>
  <c r="AM275" i="90"/>
  <c r="AL275" i="90"/>
  <c r="AI277" i="90"/>
  <c r="AJ277" i="90"/>
  <c r="AK277" i="90"/>
  <c r="AL277" i="90"/>
  <c r="AM277" i="90"/>
  <c r="AN277" i="90"/>
  <c r="AI212" i="90"/>
  <c r="AJ212" i="90"/>
  <c r="AK212" i="90"/>
  <c r="AM212" i="90"/>
  <c r="AL212" i="90"/>
  <c r="AN212" i="90"/>
  <c r="AK214" i="90"/>
  <c r="AL214" i="90"/>
  <c r="AM214" i="90"/>
  <c r="AN214" i="90"/>
  <c r="AJ214" i="90"/>
  <c r="AI214" i="90"/>
  <c r="AN151" i="90"/>
  <c r="AM151" i="90"/>
  <c r="AL151" i="90"/>
  <c r="AK151" i="90"/>
  <c r="AJ151" i="90"/>
  <c r="AI151" i="90"/>
  <c r="AN153" i="90"/>
  <c r="AM153" i="90"/>
  <c r="AL153" i="90"/>
  <c r="AK153" i="90"/>
  <c r="AJ153" i="90"/>
  <c r="AI153" i="90"/>
  <c r="AL232" i="90"/>
  <c r="AK232" i="90"/>
  <c r="AJ232" i="90"/>
  <c r="AI232" i="90"/>
  <c r="AM232" i="90"/>
  <c r="AN232" i="90"/>
  <c r="AL237" i="90"/>
  <c r="AK237" i="90"/>
  <c r="AJ237" i="90"/>
  <c r="AI237" i="90"/>
  <c r="AM237" i="90"/>
  <c r="AN237" i="90"/>
  <c r="AI293" i="90"/>
  <c r="AJ293" i="90"/>
  <c r="AK293" i="90"/>
  <c r="AL293" i="90"/>
  <c r="AM293" i="90"/>
  <c r="AN293" i="90"/>
  <c r="AI254" i="90"/>
  <c r="AJ254" i="90"/>
  <c r="AK254" i="90"/>
  <c r="AL254" i="90"/>
  <c r="AN254" i="90"/>
  <c r="AM254" i="90"/>
  <c r="AN281" i="90"/>
  <c r="AM281" i="90"/>
  <c r="AL281" i="90"/>
  <c r="AK281" i="90"/>
  <c r="AJ281" i="90"/>
  <c r="AI281" i="90"/>
  <c r="AK283" i="90"/>
  <c r="AJ283" i="90"/>
  <c r="AI283" i="90"/>
  <c r="AN283" i="90"/>
  <c r="AL283" i="90"/>
  <c r="AM283" i="90"/>
  <c r="AN285" i="90"/>
  <c r="AM285" i="90"/>
  <c r="AL285" i="90"/>
  <c r="AK285" i="90"/>
  <c r="AJ285" i="90"/>
  <c r="AI285" i="90"/>
  <c r="AI287" i="90"/>
  <c r="AJ287" i="90"/>
  <c r="AK287" i="90"/>
  <c r="AL287" i="90"/>
  <c r="AN287" i="90"/>
  <c r="AM287" i="90"/>
  <c r="AN244" i="90"/>
  <c r="AM244" i="90"/>
  <c r="AL244" i="90"/>
  <c r="AK244" i="90"/>
  <c r="AJ244" i="90"/>
  <c r="AI244" i="90"/>
  <c r="AL62" i="90"/>
  <c r="AM62" i="90"/>
  <c r="AN62" i="90"/>
  <c r="AJ62" i="90"/>
  <c r="AI62" i="90"/>
  <c r="AK62" i="90"/>
  <c r="AN59" i="90"/>
  <c r="AI59" i="90"/>
  <c r="AL59" i="90"/>
  <c r="AJ59" i="90"/>
  <c r="AK59" i="90"/>
  <c r="AM59" i="90"/>
  <c r="AN233" i="90"/>
  <c r="AM233" i="90"/>
  <c r="AL233" i="90"/>
  <c r="AK233" i="90"/>
  <c r="AJ233" i="90"/>
  <c r="AI233" i="90"/>
  <c r="AL42" i="90"/>
  <c r="AK42" i="90"/>
  <c r="AJ42" i="90"/>
  <c r="AN42" i="90"/>
  <c r="AI42" i="90"/>
  <c r="AM42" i="90"/>
  <c r="AK49" i="90"/>
  <c r="AJ49" i="90"/>
  <c r="AI49" i="90"/>
  <c r="AM49" i="90"/>
  <c r="AN49" i="90"/>
  <c r="AL49" i="90"/>
  <c r="AI205" i="90"/>
  <c r="AN205" i="90"/>
  <c r="AL205" i="90"/>
  <c r="AJ205" i="90"/>
  <c r="AM205" i="90"/>
  <c r="AK205" i="90"/>
  <c r="AI207" i="90"/>
  <c r="AJ207" i="90"/>
  <c r="AK207" i="90"/>
  <c r="AM207" i="90"/>
  <c r="AL207" i="90"/>
  <c r="AN207" i="90"/>
  <c r="AK209" i="90"/>
  <c r="AL209" i="90"/>
  <c r="AM209" i="90"/>
  <c r="AN209" i="90"/>
  <c r="AJ209" i="90"/>
  <c r="AI209" i="90"/>
  <c r="AI156" i="90"/>
  <c r="AJ156" i="90"/>
  <c r="AK156" i="90"/>
  <c r="AL156" i="90"/>
  <c r="AM156" i="90"/>
  <c r="AN156" i="90"/>
  <c r="AM158" i="90"/>
  <c r="AN158" i="90"/>
  <c r="AK158" i="90"/>
  <c r="AI158" i="90"/>
  <c r="AJ158" i="90"/>
  <c r="AL158" i="90"/>
  <c r="AM196" i="90"/>
  <c r="AL196" i="90"/>
  <c r="AK196" i="90"/>
  <c r="AJ196" i="90"/>
  <c r="AN196" i="90"/>
  <c r="AI196" i="90"/>
  <c r="AI198" i="90"/>
  <c r="AN198" i="90"/>
  <c r="AL198" i="90"/>
  <c r="AJ198" i="90"/>
  <c r="AM198" i="90"/>
  <c r="AK198" i="90"/>
  <c r="AT86" i="90"/>
  <c r="AS86" i="90"/>
  <c r="AT87" i="90"/>
  <c r="AI240" i="90"/>
  <c r="AJ240" i="90"/>
  <c r="AK240" i="90"/>
  <c r="AL240" i="90"/>
  <c r="AN240" i="90"/>
  <c r="AM240" i="90"/>
  <c r="AJ235" i="90"/>
  <c r="AI235" i="90"/>
  <c r="AN235" i="90"/>
  <c r="AM235" i="90"/>
  <c r="AK235" i="90"/>
  <c r="AL235" i="90"/>
  <c r="AN239" i="90"/>
  <c r="AI239" i="90"/>
  <c r="AJ239" i="90"/>
  <c r="AK239" i="90"/>
  <c r="AM239" i="90"/>
  <c r="AL239" i="90"/>
  <c r="AS87" i="90"/>
  <c r="AL226" i="90"/>
  <c r="AK226" i="90"/>
  <c r="AJ226" i="90"/>
  <c r="AI226" i="90"/>
  <c r="AM226" i="90"/>
  <c r="AN226" i="90"/>
  <c r="AM228" i="90"/>
  <c r="AN228" i="90"/>
  <c r="AI228" i="90"/>
  <c r="AJ228" i="90"/>
  <c r="AL228" i="90"/>
  <c r="AK228" i="90"/>
  <c r="AN52" i="90"/>
  <c r="AM52" i="90"/>
  <c r="AL52" i="90"/>
  <c r="AK52" i="90"/>
  <c r="AJ52" i="90"/>
  <c r="AI52" i="90"/>
  <c r="AJ57" i="90"/>
  <c r="AK57" i="90"/>
  <c r="AL57" i="90"/>
  <c r="AM57" i="90"/>
  <c r="AN57" i="90"/>
  <c r="AI57" i="90"/>
  <c r="AI230" i="90"/>
  <c r="AJ230" i="90"/>
  <c r="AK230" i="90"/>
  <c r="AL230" i="90"/>
  <c r="AM230" i="90"/>
  <c r="AN230" i="90"/>
  <c r="AL248" i="90"/>
  <c r="AK248" i="90"/>
  <c r="AJ248" i="90"/>
  <c r="AI248" i="90"/>
  <c r="AM248" i="90"/>
  <c r="AN248" i="90"/>
  <c r="AK41" i="90"/>
  <c r="AJ41" i="90"/>
  <c r="AI41" i="90"/>
  <c r="AN41" i="90"/>
  <c r="AM41" i="90"/>
  <c r="AL41" i="90"/>
  <c r="AK218" i="90"/>
  <c r="AL218" i="90"/>
  <c r="AM218" i="90"/>
  <c r="AN218" i="90"/>
  <c r="AJ218" i="90"/>
  <c r="AI218" i="90"/>
  <c r="AI222" i="90"/>
  <c r="AJ222" i="90"/>
  <c r="AK222" i="90"/>
  <c r="AL222" i="90"/>
  <c r="AN222" i="90"/>
  <c r="AM222" i="90"/>
  <c r="AK140" i="90"/>
  <c r="AL140" i="90"/>
  <c r="AM140" i="90"/>
  <c r="AN140" i="90"/>
  <c r="AI140" i="90"/>
  <c r="AJ140" i="90"/>
  <c r="AN142" i="90"/>
  <c r="AL142" i="90"/>
  <c r="AI142" i="90"/>
  <c r="AJ142" i="90"/>
  <c r="AK142" i="90"/>
  <c r="AM142" i="90"/>
  <c r="AJ144" i="90"/>
  <c r="AK144" i="90"/>
  <c r="AL144" i="90"/>
  <c r="AM144" i="90"/>
  <c r="AN144" i="90"/>
  <c r="AI144" i="90"/>
  <c r="AJ148" i="90"/>
  <c r="AN148" i="90"/>
  <c r="AM148" i="90"/>
  <c r="AL148" i="90"/>
  <c r="AK148" i="90"/>
  <c r="AI148" i="90"/>
  <c r="AJ160" i="90"/>
  <c r="AI160" i="90"/>
  <c r="AN160" i="90"/>
  <c r="AM160" i="90"/>
  <c r="AL160" i="90"/>
  <c r="AK160" i="90"/>
  <c r="AN162" i="90"/>
  <c r="AL162" i="90"/>
  <c r="AM162" i="90"/>
  <c r="AI162" i="90"/>
  <c r="AJ162" i="90"/>
  <c r="AK162" i="90"/>
  <c r="AI164" i="90"/>
  <c r="AJ164" i="90"/>
  <c r="AK164" i="90"/>
  <c r="AL164" i="90"/>
  <c r="AM164" i="90"/>
  <c r="AN164" i="90"/>
  <c r="AM166" i="90"/>
  <c r="AN166" i="90"/>
  <c r="AK166" i="90"/>
  <c r="AI166" i="90"/>
  <c r="AJ166" i="90"/>
  <c r="AL166" i="90"/>
  <c r="AI168" i="90"/>
  <c r="AJ168" i="90"/>
  <c r="AK168" i="90"/>
  <c r="AL168" i="90"/>
  <c r="AM168" i="90"/>
  <c r="AN168" i="90"/>
  <c r="AN172" i="90"/>
  <c r="AI172" i="90"/>
  <c r="AM172" i="90"/>
  <c r="AL172" i="90"/>
  <c r="AK172" i="90"/>
  <c r="AJ172" i="90"/>
  <c r="AM176" i="90"/>
  <c r="AL176" i="90"/>
  <c r="AK176" i="90"/>
  <c r="AJ176" i="90"/>
  <c r="AI176" i="90"/>
  <c r="AN176" i="90"/>
  <c r="AM180" i="90"/>
  <c r="AL180" i="90"/>
  <c r="AK180" i="90"/>
  <c r="AJ180" i="90"/>
  <c r="AN180" i="90"/>
  <c r="AI180" i="90"/>
  <c r="AK182" i="90"/>
  <c r="AL182" i="90"/>
  <c r="AM182" i="90"/>
  <c r="AN182" i="90"/>
  <c r="AJ182" i="90"/>
  <c r="AI182" i="90"/>
  <c r="AI184" i="90"/>
  <c r="AJ184" i="90"/>
  <c r="AL184" i="90"/>
  <c r="AN184" i="90"/>
  <c r="AK184" i="90"/>
  <c r="AM184" i="90"/>
  <c r="AN186" i="90"/>
  <c r="AM186" i="90"/>
  <c r="AL186" i="90"/>
  <c r="AK186" i="90"/>
  <c r="AI186" i="90"/>
  <c r="AJ186" i="90"/>
  <c r="AJ188" i="90"/>
  <c r="AI188" i="90"/>
  <c r="AM188" i="90"/>
  <c r="AK188" i="90"/>
  <c r="AN188" i="90"/>
  <c r="AL188" i="90"/>
  <c r="AM190" i="90"/>
  <c r="AL190" i="90"/>
  <c r="AK190" i="90"/>
  <c r="AJ190" i="90"/>
  <c r="AN190" i="90"/>
  <c r="AI190" i="90"/>
  <c r="AL192" i="90"/>
  <c r="AM192" i="90"/>
  <c r="AN192" i="90"/>
  <c r="AI192" i="90"/>
  <c r="AK192" i="90"/>
  <c r="AJ192" i="90"/>
  <c r="AI194" i="90"/>
  <c r="AJ194" i="90"/>
  <c r="AL194" i="90"/>
  <c r="AN194" i="90"/>
  <c r="AK194" i="90"/>
  <c r="AM194" i="90"/>
  <c r="AL201" i="90"/>
  <c r="AK201" i="90"/>
  <c r="AJ201" i="90"/>
  <c r="AI201" i="90"/>
  <c r="AM201" i="90"/>
  <c r="AN201" i="90"/>
  <c r="AI56" i="90"/>
  <c r="AJ56" i="90"/>
  <c r="AN56" i="90"/>
  <c r="AK56" i="90"/>
  <c r="AL56" i="90"/>
  <c r="AM56" i="90"/>
  <c r="AN251" i="90"/>
  <c r="AM251" i="90"/>
  <c r="AL251" i="90"/>
  <c r="AK251" i="90"/>
  <c r="AJ251" i="90"/>
  <c r="AI251" i="90"/>
  <c r="AI255" i="90"/>
  <c r="AJ255" i="90"/>
  <c r="AK255" i="90"/>
  <c r="AL255" i="90"/>
  <c r="AM255" i="90"/>
  <c r="AN255" i="90"/>
  <c r="AL259" i="90"/>
  <c r="AK259" i="90"/>
  <c r="AJ259" i="90"/>
  <c r="AI259" i="90"/>
  <c r="AM259" i="90"/>
  <c r="AN259" i="90"/>
  <c r="AN261" i="90"/>
  <c r="AM261" i="90"/>
  <c r="AL261" i="90"/>
  <c r="AK261" i="90"/>
  <c r="AI261" i="90"/>
  <c r="AJ261" i="90"/>
  <c r="AL263" i="90"/>
  <c r="AK263" i="90"/>
  <c r="AJ263" i="90"/>
  <c r="AI263" i="90"/>
  <c r="AM263" i="90"/>
  <c r="AN263" i="90"/>
  <c r="AM265" i="90"/>
  <c r="AN265" i="90"/>
  <c r="AI265" i="90"/>
  <c r="AJ265" i="90"/>
  <c r="AL265" i="90"/>
  <c r="AK265" i="90"/>
  <c r="AI267" i="90"/>
  <c r="AJ267" i="90"/>
  <c r="AK267" i="90"/>
  <c r="AL267" i="90"/>
  <c r="AM267" i="90"/>
  <c r="AN267" i="90"/>
  <c r="AN270" i="90"/>
  <c r="AM270" i="90"/>
  <c r="AL270" i="90"/>
  <c r="AK270" i="90"/>
  <c r="AJ270" i="90"/>
  <c r="AI270" i="90"/>
  <c r="AI55" i="90"/>
  <c r="AJ55" i="90"/>
  <c r="AK55" i="90"/>
  <c r="AM55" i="90"/>
  <c r="AL55" i="90"/>
  <c r="AN55" i="90"/>
  <c r="AM44" i="90"/>
  <c r="AL44" i="90"/>
  <c r="AK44" i="90"/>
  <c r="AJ44" i="90"/>
  <c r="AI44" i="90"/>
  <c r="AN44" i="90"/>
  <c r="AJ149" i="90"/>
  <c r="AI149" i="90"/>
  <c r="AL149" i="90"/>
  <c r="AN149" i="90"/>
  <c r="AM149" i="90"/>
  <c r="AK149" i="90"/>
  <c r="AY87" i="90"/>
  <c r="AM243" i="90"/>
  <c r="AL243" i="90"/>
  <c r="AK243" i="90"/>
  <c r="AJ243" i="90"/>
  <c r="AI243" i="90"/>
  <c r="AN243" i="90"/>
  <c r="AI292" i="90"/>
  <c r="AJ292" i="90"/>
  <c r="AK292" i="90"/>
  <c r="AL292" i="90"/>
  <c r="AN292" i="90"/>
  <c r="AM292" i="90"/>
  <c r="AL274" i="90"/>
  <c r="AM274" i="90"/>
  <c r="AN274" i="90"/>
  <c r="AI274" i="90"/>
  <c r="AK274" i="90"/>
  <c r="AJ274" i="90"/>
  <c r="AI276" i="90"/>
  <c r="AJ276" i="90"/>
  <c r="AK276" i="90"/>
  <c r="AL276" i="90"/>
  <c r="AN276" i="90"/>
  <c r="AM276" i="90"/>
  <c r="AK278" i="90"/>
  <c r="AL278" i="90"/>
  <c r="AM278" i="90"/>
  <c r="AN278" i="90"/>
  <c r="AJ278" i="90"/>
  <c r="AI278" i="90"/>
  <c r="AN45" i="90"/>
  <c r="AM45" i="90"/>
  <c r="AL45" i="90"/>
  <c r="AK45" i="90"/>
  <c r="AJ45" i="90"/>
  <c r="AI45" i="90"/>
  <c r="AN211" i="90"/>
  <c r="AM211" i="90"/>
  <c r="AK211" i="90"/>
  <c r="AI211" i="90"/>
  <c r="AL211" i="90"/>
  <c r="AJ211" i="90"/>
  <c r="AJ213" i="90"/>
  <c r="AK213" i="90"/>
  <c r="AL213" i="90"/>
  <c r="AM213" i="90"/>
  <c r="AI213" i="90"/>
  <c r="AN213" i="90"/>
  <c r="AM215" i="90"/>
  <c r="AN215" i="90"/>
  <c r="AJ215" i="90"/>
  <c r="AL215" i="90"/>
  <c r="AI215" i="90"/>
  <c r="AK215" i="90"/>
  <c r="AL150" i="90"/>
  <c r="AN150" i="90"/>
  <c r="AK150" i="90"/>
  <c r="AJ150" i="90"/>
  <c r="AI150" i="90"/>
  <c r="AM150" i="90"/>
  <c r="AN152" i="90"/>
  <c r="AM152" i="90"/>
  <c r="AL152" i="90"/>
  <c r="AK152" i="90"/>
  <c r="AI152" i="90"/>
  <c r="AJ152" i="90"/>
  <c r="AN154" i="90"/>
  <c r="AI154" i="90"/>
  <c r="AJ154" i="90"/>
  <c r="AL154" i="90"/>
  <c r="AK154" i="90"/>
  <c r="AM154" i="90"/>
  <c r="AI46" i="90"/>
  <c r="AJ46" i="90"/>
  <c r="AK46" i="90"/>
  <c r="AM46" i="90"/>
  <c r="AL46" i="90"/>
  <c r="AN46" i="90"/>
  <c r="AY86" i="90"/>
  <c r="AW86" i="90"/>
  <c r="AI241" i="90"/>
  <c r="AJ241" i="90"/>
  <c r="AK241" i="90"/>
  <c r="AL241" i="90"/>
  <c r="AM241" i="90"/>
  <c r="AN241" i="90"/>
  <c r="AN234" i="90"/>
  <c r="AM234" i="90"/>
  <c r="AL234" i="90"/>
  <c r="AK234" i="90"/>
  <c r="AI234" i="90"/>
  <c r="AJ234" i="90"/>
  <c r="AK236" i="90"/>
  <c r="AJ236" i="90"/>
  <c r="AI236" i="90"/>
  <c r="AN236" i="90"/>
  <c r="AL236" i="90"/>
  <c r="AM236" i="90"/>
  <c r="AL238" i="90"/>
  <c r="AM238" i="90"/>
  <c r="AN238" i="90"/>
  <c r="AI238" i="90"/>
  <c r="AK238" i="90"/>
  <c r="AJ238" i="90"/>
  <c r="AL290" i="90"/>
  <c r="AM290" i="90"/>
  <c r="AN290" i="90"/>
  <c r="AI290" i="90"/>
  <c r="AK290" i="90"/>
  <c r="AJ290" i="90"/>
  <c r="AI252" i="90"/>
  <c r="AN252" i="90"/>
  <c r="AM252" i="90"/>
  <c r="AL252" i="90"/>
  <c r="AJ252" i="90"/>
  <c r="AK252" i="90"/>
  <c r="AJ256" i="90"/>
  <c r="AK256" i="90"/>
  <c r="AL256" i="90"/>
  <c r="AM256" i="90"/>
  <c r="AN256" i="90"/>
  <c r="AI256" i="90"/>
  <c r="AM280" i="90"/>
  <c r="AL280" i="90"/>
  <c r="AK280" i="90"/>
  <c r="AJ280" i="90"/>
  <c r="AI280" i="90"/>
  <c r="AN280" i="90"/>
  <c r="AI282" i="90"/>
  <c r="AN282" i="90"/>
  <c r="AM282" i="90"/>
  <c r="AL282" i="90"/>
  <c r="AJ282" i="90"/>
  <c r="AK282" i="90"/>
  <c r="AM284" i="90"/>
  <c r="AL284" i="90"/>
  <c r="AK284" i="90"/>
  <c r="AJ284" i="90"/>
  <c r="AI284" i="90"/>
  <c r="AN284" i="90"/>
  <c r="AN286" i="90"/>
  <c r="AI286" i="90"/>
  <c r="AJ286" i="90"/>
  <c r="AK286" i="90"/>
  <c r="AM286" i="90"/>
  <c r="AL286" i="90"/>
  <c r="AN245" i="90"/>
  <c r="AM245" i="90"/>
  <c r="AL245" i="90"/>
  <c r="AK245" i="90"/>
  <c r="AI245" i="90"/>
  <c r="AJ245" i="90"/>
  <c r="AJ61" i="90"/>
  <c r="AK61" i="90"/>
  <c r="AL61" i="90"/>
  <c r="AM61" i="90"/>
  <c r="AN61" i="90"/>
  <c r="AI61" i="90"/>
  <c r="AN63" i="90"/>
  <c r="AI63" i="90"/>
  <c r="AJ63" i="90"/>
  <c r="AK63" i="90"/>
  <c r="AL63" i="90"/>
  <c r="AM63" i="90"/>
  <c r="AI60" i="90"/>
  <c r="AN60" i="90"/>
  <c r="AJ60" i="90"/>
  <c r="AK60" i="90"/>
  <c r="AL60" i="90"/>
  <c r="AM60" i="90"/>
  <c r="AJ48" i="90"/>
  <c r="AL48" i="90"/>
  <c r="AI48" i="90"/>
  <c r="AN48" i="90"/>
  <c r="AM48" i="90"/>
  <c r="AK48" i="90"/>
  <c r="AL50" i="90"/>
  <c r="AK50" i="90"/>
  <c r="AJ50" i="90"/>
  <c r="AI50" i="90"/>
  <c r="AN50" i="90"/>
  <c r="AM50" i="90"/>
  <c r="AN204" i="90"/>
  <c r="AM204" i="90"/>
  <c r="AL204" i="90"/>
  <c r="AJ204" i="90"/>
  <c r="AK204" i="90"/>
  <c r="AI204" i="90"/>
  <c r="AJ206" i="90"/>
  <c r="AI206" i="90"/>
  <c r="AM206" i="90"/>
  <c r="AK206" i="90"/>
  <c r="AN206" i="90"/>
  <c r="AL206" i="90"/>
  <c r="AJ208" i="90"/>
  <c r="AK208" i="90"/>
  <c r="AL208" i="90"/>
  <c r="AM208" i="90"/>
  <c r="AI208" i="90"/>
  <c r="AN208" i="90"/>
  <c r="AN155" i="90"/>
  <c r="AI155" i="90"/>
  <c r="AJ155" i="90"/>
  <c r="AK155" i="90"/>
  <c r="AL155" i="90"/>
  <c r="AM155" i="90"/>
  <c r="AK157" i="90"/>
  <c r="AL157" i="90"/>
  <c r="AM157" i="90"/>
  <c r="AN157" i="90"/>
  <c r="AI157" i="90"/>
  <c r="AJ157" i="90"/>
  <c r="AN197" i="90"/>
  <c r="AM197" i="90"/>
  <c r="AL197" i="90"/>
  <c r="AJ197" i="90"/>
  <c r="AK197" i="90"/>
  <c r="AI197" i="90"/>
  <c r="AW87" i="90"/>
  <c r="AJ225" i="90"/>
  <c r="AI225" i="90"/>
  <c r="AN225" i="90"/>
  <c r="AM225" i="90"/>
  <c r="AK225" i="90"/>
  <c r="AL225" i="90"/>
  <c r="AM227" i="90"/>
  <c r="AL227" i="90"/>
  <c r="AK227" i="90"/>
  <c r="AJ227" i="90"/>
  <c r="AI227" i="90"/>
  <c r="AN227" i="90"/>
  <c r="AI229" i="90"/>
  <c r="AJ229" i="90"/>
  <c r="AK229" i="90"/>
  <c r="AL229" i="90"/>
  <c r="AN229" i="90"/>
  <c r="AM229" i="90"/>
  <c r="AJ53" i="90"/>
  <c r="AN53" i="90"/>
  <c r="AM53" i="90"/>
  <c r="AL53" i="90"/>
  <c r="AK53" i="90"/>
  <c r="AI53" i="90"/>
  <c r="AL58" i="90"/>
  <c r="AJ58" i="90"/>
  <c r="AM58" i="90"/>
  <c r="AN58" i="90"/>
  <c r="AI58" i="90"/>
  <c r="AK58" i="90"/>
  <c r="AJ247" i="90"/>
  <c r="AI247" i="90"/>
  <c r="AN247" i="90"/>
  <c r="AM247" i="90"/>
  <c r="AK247" i="90"/>
  <c r="AL247" i="90"/>
  <c r="AM249" i="90"/>
  <c r="AL249" i="90"/>
  <c r="AK249" i="90"/>
  <c r="AJ249" i="90"/>
  <c r="AI249" i="90"/>
  <c r="AN249" i="90"/>
  <c r="AN291" i="90"/>
  <c r="AI291" i="90"/>
  <c r="AJ291" i="90"/>
  <c r="AK291" i="90"/>
  <c r="AM291" i="90"/>
  <c r="AL291" i="90"/>
  <c r="AN217" i="90"/>
  <c r="AM217" i="90"/>
  <c r="AL217" i="90"/>
  <c r="AK217" i="90"/>
  <c r="AI217" i="90"/>
  <c r="AJ217" i="90"/>
  <c r="AL219" i="90"/>
  <c r="AM219" i="90"/>
  <c r="AN219" i="90"/>
  <c r="AI219" i="90"/>
  <c r="AK219" i="90"/>
  <c r="AJ219" i="90"/>
  <c r="AI221" i="90"/>
  <c r="AN221" i="90"/>
  <c r="AM221" i="90"/>
  <c r="AL221" i="90"/>
  <c r="AJ221" i="90"/>
  <c r="AK221" i="90"/>
  <c r="AI223" i="90"/>
  <c r="AJ223" i="90"/>
  <c r="AK223" i="90"/>
  <c r="AL223" i="90"/>
  <c r="AM223" i="90"/>
  <c r="AN223" i="90"/>
  <c r="AI139" i="90"/>
  <c r="AN139" i="90"/>
  <c r="AM139" i="90"/>
  <c r="AL139" i="90"/>
  <c r="AK139" i="90"/>
  <c r="AJ139" i="90"/>
  <c r="AL141" i="90"/>
  <c r="AM141" i="90"/>
  <c r="AN141" i="90"/>
  <c r="AI141" i="90"/>
  <c r="AJ141" i="90"/>
  <c r="AK141" i="90"/>
  <c r="AI143" i="90"/>
  <c r="AJ143" i="90"/>
  <c r="AK143" i="90"/>
  <c r="AL143" i="90"/>
  <c r="AN143" i="90"/>
  <c r="AM143" i="90"/>
  <c r="AL145" i="90"/>
  <c r="AM145" i="90"/>
  <c r="AJ145" i="90"/>
  <c r="AN145" i="90"/>
  <c r="AI145" i="90"/>
  <c r="AK145" i="90"/>
  <c r="AN147" i="90"/>
  <c r="AM147" i="90"/>
  <c r="AL147" i="90"/>
  <c r="AK147" i="90"/>
  <c r="AJ147" i="90"/>
  <c r="AI147" i="90"/>
  <c r="AL161" i="90"/>
  <c r="AK161" i="90"/>
  <c r="AM161" i="90"/>
  <c r="AN161" i="90"/>
  <c r="AJ161" i="90"/>
  <c r="AI161" i="90"/>
  <c r="AM163" i="90"/>
  <c r="AI163" i="90"/>
  <c r="AJ163" i="90"/>
  <c r="AK163" i="90"/>
  <c r="AL163" i="90"/>
  <c r="AN163" i="90"/>
  <c r="AK165" i="90"/>
  <c r="AL165" i="90"/>
  <c r="AM165" i="90"/>
  <c r="AN165" i="90"/>
  <c r="AI165" i="90"/>
  <c r="AJ165" i="90"/>
  <c r="AM167" i="90"/>
  <c r="AI167" i="90"/>
  <c r="AJ167" i="90"/>
  <c r="AK167" i="90"/>
  <c r="AL167" i="90"/>
  <c r="AN167" i="90"/>
  <c r="AK169" i="90"/>
  <c r="AL169" i="90"/>
  <c r="AI169" i="90"/>
  <c r="AM169" i="90"/>
  <c r="AN169" i="90"/>
  <c r="AJ169" i="90"/>
  <c r="AM171" i="90"/>
  <c r="AL171" i="90"/>
  <c r="AK171" i="90"/>
  <c r="AJ171" i="90"/>
  <c r="AI171" i="90"/>
  <c r="AN171" i="90"/>
  <c r="AI173" i="90"/>
  <c r="AN173" i="90"/>
  <c r="AM173" i="90"/>
  <c r="AL173" i="90"/>
  <c r="AK173" i="90"/>
  <c r="AJ173" i="90"/>
  <c r="AK175" i="90"/>
  <c r="AJ175" i="90"/>
  <c r="AL175" i="90"/>
  <c r="AI175" i="90"/>
  <c r="AM175" i="90"/>
  <c r="AN175" i="90"/>
  <c r="AN177" i="90"/>
  <c r="AI177" i="90"/>
  <c r="AM177" i="90"/>
  <c r="AL177" i="90"/>
  <c r="AK177" i="90"/>
  <c r="AJ177" i="90"/>
  <c r="AN179" i="90"/>
  <c r="AL179" i="90"/>
  <c r="AI179" i="90"/>
  <c r="AJ179" i="90"/>
  <c r="AM179" i="90"/>
  <c r="AK179" i="90"/>
  <c r="AN181" i="90"/>
  <c r="AM181" i="90"/>
  <c r="AL181" i="90"/>
  <c r="AK181" i="90"/>
  <c r="AI181" i="90"/>
  <c r="AJ181" i="90"/>
  <c r="AM183" i="90"/>
  <c r="AN183" i="90"/>
  <c r="AJ183" i="90"/>
  <c r="AL183" i="90"/>
  <c r="AI183" i="90"/>
  <c r="AK183" i="90"/>
  <c r="AN187" i="90"/>
  <c r="AM187" i="90"/>
  <c r="AK187" i="90"/>
  <c r="AI187" i="90"/>
  <c r="AL187" i="90"/>
  <c r="AJ187" i="90"/>
  <c r="AL189" i="90"/>
  <c r="AK189" i="90"/>
  <c r="AJ189" i="90"/>
  <c r="AI189" i="90"/>
  <c r="AM189" i="90"/>
  <c r="AN189" i="90"/>
  <c r="AN191" i="90"/>
  <c r="AM191" i="90"/>
  <c r="AL191" i="90"/>
  <c r="AK191" i="90"/>
  <c r="AI191" i="90"/>
  <c r="AJ191" i="90"/>
  <c r="AN193" i="90"/>
  <c r="AI193" i="90"/>
  <c r="AK193" i="90"/>
  <c r="AM193" i="90"/>
  <c r="AJ193" i="90"/>
  <c r="AL193" i="90"/>
  <c r="AK200" i="90"/>
  <c r="AJ200" i="90"/>
  <c r="AI200" i="90"/>
  <c r="AN200" i="90"/>
  <c r="AL200" i="90"/>
  <c r="AM200" i="90"/>
  <c r="AM202" i="90"/>
  <c r="AL202" i="90"/>
  <c r="AK202" i="90"/>
  <c r="AJ202" i="90"/>
  <c r="AN202" i="90"/>
  <c r="AI202" i="90"/>
  <c r="AI14" i="90"/>
  <c r="AN14" i="90"/>
  <c r="AM14" i="90"/>
  <c r="AL14" i="90"/>
  <c r="AK14" i="90"/>
  <c r="AJ14" i="90"/>
  <c r="AI33" i="90"/>
  <c r="AJ33" i="90"/>
  <c r="AK33" i="90"/>
  <c r="AL33" i="90"/>
  <c r="AM33" i="90"/>
  <c r="AN33" i="90"/>
  <c r="AL35" i="90"/>
  <c r="AM35" i="90"/>
  <c r="AN35" i="90"/>
  <c r="AI35" i="90"/>
  <c r="AJ35" i="90"/>
  <c r="AK35" i="90"/>
  <c r="AI39" i="90"/>
  <c r="AJ39" i="90"/>
  <c r="AK39" i="90"/>
  <c r="AL39" i="90"/>
  <c r="AM39" i="90"/>
  <c r="AN39" i="90"/>
  <c r="AN13" i="90"/>
  <c r="AM13" i="90"/>
  <c r="AL13" i="90"/>
  <c r="AK13" i="90"/>
  <c r="AJ13" i="90"/>
  <c r="AI13" i="90"/>
  <c r="AK15" i="90"/>
  <c r="AJ15" i="90"/>
  <c r="AI15" i="90"/>
  <c r="AN15" i="90"/>
  <c r="AM15" i="90"/>
  <c r="AL15" i="90"/>
  <c r="AM32" i="90"/>
  <c r="AL32" i="90"/>
  <c r="AK32" i="90"/>
  <c r="AJ32" i="90"/>
  <c r="AI32" i="90"/>
  <c r="AN32" i="90"/>
  <c r="AK34" i="90"/>
  <c r="AL34" i="90"/>
  <c r="AM34" i="90"/>
  <c r="AN34" i="90"/>
  <c r="AI34" i="90"/>
  <c r="AJ34" i="90"/>
  <c r="AN36" i="90"/>
  <c r="AI36" i="90"/>
  <c r="AJ36" i="90"/>
  <c r="AK36" i="90"/>
  <c r="AL36" i="90"/>
  <c r="AM36" i="90"/>
  <c r="AN38" i="90"/>
  <c r="AI38" i="90"/>
  <c r="AJ38" i="90"/>
  <c r="AK38" i="90"/>
  <c r="AL38" i="90"/>
  <c r="AM38" i="90"/>
  <c r="AM16" i="90"/>
  <c r="AL16" i="90"/>
  <c r="AK16" i="90"/>
  <c r="AJ16" i="90"/>
  <c r="AI16" i="90"/>
  <c r="AN16" i="90"/>
  <c r="AK77" i="90"/>
  <c r="X195" i="90"/>
  <c r="H8" i="83"/>
  <c r="H6" i="83"/>
  <c r="AF76" i="90"/>
  <c r="AF79" i="90"/>
  <c r="G70" i="83"/>
  <c r="G71" i="83"/>
  <c r="H70" i="83"/>
  <c r="H71" i="83"/>
  <c r="I72" i="83"/>
  <c r="I70" i="83"/>
  <c r="I71" i="83"/>
  <c r="H85" i="92"/>
  <c r="K85" i="92"/>
  <c r="J630" i="18"/>
  <c r="AK73" i="90"/>
  <c r="AJ268" i="90"/>
  <c r="AL199" i="90"/>
  <c r="AH73" i="90"/>
  <c r="AM199" i="90"/>
  <c r="AH75" i="90"/>
  <c r="AN199" i="90"/>
  <c r="AL159" i="90"/>
  <c r="AL146" i="90"/>
  <c r="AL220" i="90"/>
  <c r="H203" i="90"/>
  <c r="AL203" i="90"/>
  <c r="AL210" i="90"/>
  <c r="H138" i="90"/>
  <c r="AL138" i="90"/>
  <c r="I116" i="92"/>
  <c r="AL178" i="90"/>
  <c r="I112" i="92"/>
  <c r="I108" i="92"/>
  <c r="AN216" i="90"/>
  <c r="I114" i="92"/>
  <c r="I107" i="92"/>
  <c r="I110" i="92"/>
  <c r="I109" i="92"/>
  <c r="I115" i="92"/>
  <c r="AN220" i="90"/>
  <c r="AN146" i="90"/>
  <c r="AL174" i="90"/>
  <c r="I111" i="92"/>
  <c r="AN174" i="90"/>
  <c r="J173" i="92"/>
  <c r="K172" i="92"/>
  <c r="F100" i="92"/>
  <c r="E91" i="92"/>
  <c r="K171" i="92"/>
  <c r="K138" i="90"/>
  <c r="AN138" i="90"/>
  <c r="AM216" i="90"/>
  <c r="AN159" i="90"/>
  <c r="H170" i="90"/>
  <c r="AL170" i="90"/>
  <c r="K170" i="90"/>
  <c r="AN170" i="90"/>
  <c r="AM159" i="90"/>
  <c r="AN178" i="90"/>
  <c r="AM146" i="90"/>
  <c r="I138" i="90"/>
  <c r="AM138" i="90"/>
  <c r="AM178" i="90"/>
  <c r="AM220" i="90"/>
  <c r="I170" i="90"/>
  <c r="AM170" i="90"/>
  <c r="AM185" i="90"/>
  <c r="W199" i="90"/>
  <c r="W138" i="90"/>
  <c r="W220" i="90"/>
  <c r="W203" i="90"/>
  <c r="W43" i="90"/>
  <c r="W170" i="90"/>
  <c r="W31" i="90"/>
  <c r="W195" i="90"/>
  <c r="W174" i="90"/>
  <c r="W75" i="90"/>
  <c r="W279" i="90"/>
  <c r="W185" i="90"/>
  <c r="W146" i="90"/>
  <c r="W47" i="90"/>
  <c r="W8" i="90"/>
  <c r="W178" i="90"/>
  <c r="W159" i="90"/>
  <c r="W40" i="90"/>
  <c r="X199" i="90"/>
  <c r="AJ73" i="90"/>
  <c r="AJ75" i="90"/>
  <c r="AL185" i="90"/>
  <c r="AM174" i="90"/>
  <c r="AL195" i="90"/>
  <c r="L79" i="90"/>
  <c r="AC79" i="90"/>
  <c r="AM195" i="90"/>
  <c r="AN185" i="90"/>
  <c r="AN195" i="90"/>
  <c r="AJ288" i="90"/>
  <c r="AJ279" i="90"/>
  <c r="AJ272" i="90"/>
  <c r="J629" i="18"/>
  <c r="E83" i="92"/>
  <c r="M83" i="92"/>
  <c r="J628" i="18"/>
  <c r="A560" i="18"/>
  <c r="P15" i="92"/>
  <c r="G560" i="18"/>
  <c r="B13" i="83"/>
  <c r="C13" i="83"/>
  <c r="D13" i="83"/>
  <c r="B44" i="86"/>
  <c r="B51" i="86"/>
  <c r="L10" i="83"/>
  <c r="K10" i="83"/>
  <c r="K5" i="83"/>
  <c r="J5" i="83"/>
  <c r="B49" i="86"/>
  <c r="L5" i="83"/>
  <c r="K4" i="83"/>
  <c r="L8" i="83"/>
  <c r="J10" i="83"/>
  <c r="S10" i="83"/>
  <c r="K6" i="83"/>
  <c r="L6" i="83"/>
  <c r="B46" i="86"/>
  <c r="J6" i="83"/>
  <c r="S6" i="83"/>
  <c r="F6" i="83"/>
  <c r="B48" i="86"/>
  <c r="J8" i="83"/>
  <c r="S8" i="83"/>
  <c r="F8" i="83"/>
  <c r="B47" i="86"/>
  <c r="L4" i="83"/>
  <c r="B52" i="86"/>
  <c r="B50" i="86"/>
  <c r="J4" i="83"/>
  <c r="K8" i="83"/>
  <c r="AR89" i="90"/>
  <c r="D89" i="90"/>
  <c r="D78" i="90"/>
  <c r="AP89" i="90"/>
  <c r="C89" i="90"/>
  <c r="C78" i="90"/>
  <c r="T78" i="90"/>
  <c r="P86" i="90"/>
  <c r="AL86" i="90"/>
  <c r="AQ89" i="90"/>
  <c r="L89" i="90"/>
  <c r="B78" i="90"/>
  <c r="P87" i="90"/>
  <c r="AK87" i="90"/>
  <c r="AX89" i="90"/>
  <c r="J89" i="90"/>
  <c r="J78" i="90"/>
  <c r="AA78" i="90"/>
  <c r="BA89" i="90"/>
  <c r="N89" i="90"/>
  <c r="N78" i="90"/>
  <c r="D66" i="407"/>
  <c r="D70" i="407"/>
  <c r="D74" i="407"/>
  <c r="D78" i="407"/>
  <c r="D45" i="407"/>
  <c r="D49" i="407"/>
  <c r="D53" i="407"/>
  <c r="D57" i="407"/>
  <c r="D62" i="407"/>
  <c r="W41" i="407"/>
  <c r="L44" i="407"/>
  <c r="L27" i="407"/>
  <c r="W24" i="407"/>
  <c r="W20" i="407"/>
  <c r="L23" i="407"/>
  <c r="W28" i="407"/>
  <c r="L31" i="407"/>
  <c r="W53" i="407"/>
  <c r="L56" i="407"/>
  <c r="U85" i="407"/>
  <c r="E85" i="407"/>
  <c r="E86" i="407"/>
  <c r="W45" i="407"/>
  <c r="L48" i="407"/>
  <c r="L52" i="407"/>
  <c r="W49" i="407"/>
  <c r="K80" i="407"/>
  <c r="B80" i="407"/>
  <c r="CH80" i="407"/>
  <c r="W66" i="407"/>
  <c r="L69" i="407"/>
  <c r="B76" i="407"/>
  <c r="CH76" i="407"/>
  <c r="P75" i="407"/>
  <c r="J77" i="407"/>
  <c r="M178" i="407"/>
  <c r="L35" i="407"/>
  <c r="W32" i="407"/>
  <c r="L60" i="407"/>
  <c r="W57" i="407"/>
  <c r="W36" i="407"/>
  <c r="L39" i="407"/>
  <c r="CJ33" i="407"/>
  <c r="EH3" i="407"/>
  <c r="Q27" i="407"/>
  <c r="D29" i="407"/>
  <c r="CJ25" i="407"/>
  <c r="DV3" i="407"/>
  <c r="CJ54" i="407"/>
  <c r="FL3" i="407"/>
  <c r="Q44" i="407"/>
  <c r="D46" i="407"/>
  <c r="CJ29" i="407"/>
  <c r="EB3" i="407"/>
  <c r="Q19" i="407"/>
  <c r="D21" i="407"/>
  <c r="Q35" i="407"/>
  <c r="D37" i="407"/>
  <c r="Q31" i="407"/>
  <c r="D33" i="407"/>
  <c r="Q56" i="407"/>
  <c r="D58" i="407"/>
  <c r="CJ58" i="407"/>
  <c r="FR3" i="407"/>
  <c r="CJ50" i="407"/>
  <c r="FF3" i="407"/>
  <c r="Q52" i="407"/>
  <c r="D54" i="407"/>
  <c r="CJ42" i="407"/>
  <c r="ET3" i="407"/>
  <c r="Q48" i="407"/>
  <c r="D50" i="407"/>
  <c r="CJ46" i="407"/>
  <c r="EZ3" i="407"/>
  <c r="Q39" i="407"/>
  <c r="D42" i="407"/>
  <c r="CJ37" i="407"/>
  <c r="EN3" i="407"/>
  <c r="Q23" i="407"/>
  <c r="D25" i="407"/>
  <c r="CJ21" i="407"/>
  <c r="DP3" i="407"/>
  <c r="K4" i="407"/>
  <c r="E302" i="90"/>
  <c r="AI302" i="90"/>
  <c r="N15" i="92"/>
  <c r="H15" i="92"/>
  <c r="G6" i="404"/>
  <c r="B6" i="404"/>
  <c r="B3" i="404"/>
  <c r="F5" i="404"/>
  <c r="H1" i="404"/>
  <c r="N5" i="92"/>
  <c r="N6" i="92"/>
  <c r="C88" i="92"/>
  <c r="L14" i="285"/>
  <c r="J105" i="92"/>
  <c r="B86" i="92"/>
  <c r="L15" i="285"/>
  <c r="A83" i="92"/>
  <c r="H83" i="92"/>
  <c r="M5" i="92"/>
  <c r="M6" i="92"/>
  <c r="AI131" i="90"/>
  <c r="AI111" i="90"/>
  <c r="AI134" i="90"/>
  <c r="E95" i="90"/>
  <c r="AI95" i="90"/>
  <c r="AI106" i="90"/>
  <c r="AI99" i="90"/>
  <c r="E120" i="90"/>
  <c r="AI120" i="90"/>
  <c r="L8" i="285"/>
  <c r="K113" i="92"/>
  <c r="L13" i="285"/>
  <c r="K7" i="285"/>
  <c r="L7" i="285"/>
  <c r="AG93" i="350"/>
  <c r="M1" i="83"/>
  <c r="E547" i="374"/>
  <c r="L79" i="350"/>
  <c r="Q83" i="350"/>
  <c r="Q67" i="350"/>
  <c r="F79" i="350"/>
  <c r="I196" i="350"/>
  <c r="L66" i="350"/>
  <c r="F75" i="350"/>
  <c r="CI75" i="350"/>
  <c r="G67" i="350"/>
  <c r="FX3" i="350"/>
  <c r="L24" i="350"/>
  <c r="Q71" i="350"/>
  <c r="C82" i="350"/>
  <c r="L28" i="350"/>
  <c r="G29" i="350"/>
  <c r="CJ29" i="350"/>
  <c r="G71" i="350"/>
  <c r="CJ71" i="350"/>
  <c r="F25" i="350"/>
  <c r="CI25" i="350"/>
  <c r="G83" i="350"/>
  <c r="CJ83" i="350"/>
  <c r="Q75" i="350"/>
  <c r="Q29" i="350"/>
  <c r="C24" i="350"/>
  <c r="L33" i="350"/>
  <c r="L29" i="350"/>
  <c r="F29" i="350"/>
  <c r="CI29" i="350"/>
  <c r="C70" i="350"/>
  <c r="Q25" i="350"/>
  <c r="F67" i="350"/>
  <c r="CI67" i="350"/>
  <c r="L83" i="350"/>
  <c r="L74" i="350"/>
  <c r="G75" i="350"/>
  <c r="CJ75" i="350"/>
  <c r="L71" i="350"/>
  <c r="L67" i="350"/>
  <c r="L78" i="350"/>
  <c r="L82" i="350"/>
  <c r="C28" i="350"/>
  <c r="C74" i="350"/>
  <c r="G25" i="350"/>
  <c r="CJ25" i="350"/>
  <c r="C66" i="350"/>
  <c r="Q79" i="350"/>
  <c r="F83" i="350"/>
  <c r="CI83" i="350"/>
  <c r="L75" i="350"/>
  <c r="L25" i="350"/>
  <c r="L70" i="350"/>
  <c r="C78" i="350"/>
  <c r="G79" i="350"/>
  <c r="F71" i="350"/>
  <c r="CI71" i="350"/>
  <c r="P25" i="350"/>
  <c r="B17" i="83"/>
  <c r="H20" i="83"/>
  <c r="BH13" i="350"/>
  <c r="BP13" i="350"/>
  <c r="BG12" i="350"/>
  <c r="I12" i="350"/>
  <c r="BG16" i="350"/>
  <c r="I16" i="350"/>
  <c r="BG18" i="350"/>
  <c r="I18" i="350"/>
  <c r="BG11" i="350"/>
  <c r="I11" i="350"/>
  <c r="BH17" i="350"/>
  <c r="BP17" i="350"/>
  <c r="CY13" i="350"/>
  <c r="CX13" i="350"/>
  <c r="CY8" i="350"/>
  <c r="CX8" i="350"/>
  <c r="CY18" i="350"/>
  <c r="CX18" i="350"/>
  <c r="CY17" i="350"/>
  <c r="CX17" i="350"/>
  <c r="BH8" i="350"/>
  <c r="BP8" i="350"/>
  <c r="CY12" i="350"/>
  <c r="CX12" i="350"/>
  <c r="CY16" i="350"/>
  <c r="CX16" i="350"/>
  <c r="BG8" i="350"/>
  <c r="I8" i="350"/>
  <c r="CY11" i="350"/>
  <c r="CX11" i="350"/>
  <c r="CI91" i="350"/>
  <c r="D24" i="350"/>
  <c r="D28" i="350"/>
  <c r="D32" i="350"/>
  <c r="D36" i="350"/>
  <c r="D40" i="350"/>
  <c r="D45" i="350"/>
  <c r="BQ2" i="350"/>
  <c r="E7" i="90"/>
  <c r="AI7" i="90"/>
  <c r="P11" i="350"/>
  <c r="BW11" i="350"/>
  <c r="EQ11" i="350"/>
  <c r="B65" i="83"/>
  <c r="E72" i="90"/>
  <c r="AI72" i="90"/>
  <c r="E17" i="90"/>
  <c r="AI17" i="90"/>
  <c r="AI24" i="90"/>
  <c r="P12" i="350"/>
  <c r="BV12" i="350"/>
  <c r="EK12" i="350"/>
  <c r="D82" i="90"/>
  <c r="AR82" i="90"/>
  <c r="D299" i="90"/>
  <c r="P17" i="350"/>
  <c r="BX17" i="350"/>
  <c r="EW17" i="350"/>
  <c r="P16" i="350"/>
  <c r="BR16" i="350"/>
  <c r="DM16" i="350"/>
  <c r="CB13" i="350"/>
  <c r="FU13" i="350"/>
  <c r="FW13" i="350"/>
  <c r="FX13" i="350"/>
  <c r="CE8" i="350"/>
  <c r="BP11" i="350"/>
  <c r="CB18" i="350"/>
  <c r="FU18" i="350"/>
  <c r="BP16" i="350"/>
  <c r="BO5" i="350"/>
  <c r="N84" i="350"/>
  <c r="K84" i="350"/>
  <c r="CE13" i="350"/>
  <c r="GM13" i="350"/>
  <c r="BP18" i="350"/>
  <c r="BQ18" i="350"/>
  <c r="DH18" i="350"/>
  <c r="P4" i="350"/>
  <c r="BM5" i="350"/>
  <c r="CC13" i="350"/>
  <c r="GA13" i="350"/>
  <c r="BV13" i="350"/>
  <c r="EK13" i="350"/>
  <c r="BZ13" i="350"/>
  <c r="FI13" i="350"/>
  <c r="CF13" i="350"/>
  <c r="GS13" i="350"/>
  <c r="BS13" i="350"/>
  <c r="BW13" i="350"/>
  <c r="EQ13" i="350"/>
  <c r="CD13" i="350"/>
  <c r="GG13" i="350"/>
  <c r="BT13" i="350"/>
  <c r="CA13" i="350"/>
  <c r="FO13" i="350"/>
  <c r="FR13" i="350"/>
  <c r="BY13" i="350"/>
  <c r="FC13" i="350"/>
  <c r="BX13" i="350"/>
  <c r="EW13" i="350"/>
  <c r="BU13" i="350"/>
  <c r="EE13" i="350"/>
  <c r="BR13" i="350"/>
  <c r="DM13" i="350"/>
  <c r="BL5" i="350"/>
  <c r="O78" i="350"/>
  <c r="J35" i="350"/>
  <c r="J27" i="350"/>
  <c r="J39" i="350"/>
  <c r="J31" i="350"/>
  <c r="J43" i="350"/>
  <c r="J48" i="350"/>
  <c r="J52" i="350"/>
  <c r="J73" i="350"/>
  <c r="J77" i="350"/>
  <c r="J56" i="350"/>
  <c r="J60" i="350"/>
  <c r="J64" i="350"/>
  <c r="J85" i="350"/>
  <c r="J69" i="350"/>
  <c r="CE18" i="350"/>
  <c r="GM18" i="350"/>
  <c r="BR8" i="350"/>
  <c r="DM8" i="350"/>
  <c r="BS8" i="350"/>
  <c r="DS8" i="350"/>
  <c r="BY8" i="350"/>
  <c r="FC8" i="350"/>
  <c r="CA8" i="350"/>
  <c r="FO8" i="350"/>
  <c r="BU8" i="350"/>
  <c r="EE8" i="350"/>
  <c r="CD8" i="350"/>
  <c r="BX8" i="350"/>
  <c r="EW8" i="350"/>
  <c r="CF8" i="350"/>
  <c r="BT8" i="350"/>
  <c r="DY8" i="350"/>
  <c r="BW8" i="350"/>
  <c r="EQ8" i="350"/>
  <c r="CC8" i="350"/>
  <c r="GA8" i="350"/>
  <c r="BV8" i="350"/>
  <c r="EK8" i="350"/>
  <c r="BZ8" i="350"/>
  <c r="FI8" i="350"/>
  <c r="CB8" i="350"/>
  <c r="FU8" i="350"/>
  <c r="BP12" i="350"/>
  <c r="BU18" i="350"/>
  <c r="EE18" i="350"/>
  <c r="BR18" i="350"/>
  <c r="DM18" i="350"/>
  <c r="CC18" i="350"/>
  <c r="GA18" i="350"/>
  <c r="BZ18" i="350"/>
  <c r="FI18" i="350"/>
  <c r="CF18" i="350"/>
  <c r="GS18" i="350"/>
  <c r="BT18" i="350"/>
  <c r="DY18" i="350"/>
  <c r="BV18" i="350"/>
  <c r="EK18" i="350"/>
  <c r="CA18" i="350"/>
  <c r="FO18" i="350"/>
  <c r="CD18" i="350"/>
  <c r="GG18" i="350"/>
  <c r="BS18" i="350"/>
  <c r="DS18" i="350"/>
  <c r="BW18" i="350"/>
  <c r="EQ18" i="350"/>
  <c r="BX18" i="350"/>
  <c r="EW18" i="350"/>
  <c r="BY18" i="350"/>
  <c r="FC18" i="350"/>
  <c r="F101" i="92"/>
  <c r="I101" i="92"/>
  <c r="K7" i="83"/>
  <c r="B53" i="86"/>
  <c r="K4" i="350"/>
  <c r="N67" i="350"/>
  <c r="E51" i="90"/>
  <c r="AI51" i="90"/>
  <c r="E8" i="90"/>
  <c r="AI8" i="90"/>
  <c r="AN73" i="90"/>
  <c r="AM73" i="90"/>
  <c r="AN77" i="90"/>
  <c r="I105" i="92"/>
  <c r="J86" i="92"/>
  <c r="K106" i="92"/>
  <c r="K107" i="92"/>
  <c r="AM75" i="90"/>
  <c r="K109" i="92"/>
  <c r="AB3" i="90"/>
  <c r="L7" i="83"/>
  <c r="J9" i="83"/>
  <c r="J7" i="83"/>
  <c r="G2" i="285"/>
  <c r="J2" i="285"/>
  <c r="L9" i="83"/>
  <c r="K112" i="92"/>
  <c r="K110" i="92"/>
  <c r="AH208" i="90"/>
  <c r="AH245" i="90"/>
  <c r="AH280" i="90"/>
  <c r="AH163" i="90"/>
  <c r="AH143" i="90"/>
  <c r="AH152" i="90"/>
  <c r="AH62" i="90"/>
  <c r="AH214" i="90"/>
  <c r="AH54" i="90"/>
  <c r="E75" i="90"/>
  <c r="AW89" i="90"/>
  <c r="I89" i="90"/>
  <c r="I78" i="90"/>
  <c r="AV89" i="90"/>
  <c r="H89" i="90"/>
  <c r="H78" i="90"/>
  <c r="AL77" i="90"/>
  <c r="AL73" i="90"/>
  <c r="AY89" i="90"/>
  <c r="K89" i="90"/>
  <c r="K78" i="90"/>
  <c r="AU89" i="90"/>
  <c r="G89" i="90"/>
  <c r="G78" i="90"/>
  <c r="AH227" i="90"/>
  <c r="AH158" i="90"/>
  <c r="AH59" i="90"/>
  <c r="AH271" i="90"/>
  <c r="AH259" i="90"/>
  <c r="AH201" i="90"/>
  <c r="AH190" i="90"/>
  <c r="AH182" i="90"/>
  <c r="AH180" i="90"/>
  <c r="AH154" i="90"/>
  <c r="AH150" i="90"/>
  <c r="AH45" i="90"/>
  <c r="AH197" i="90"/>
  <c r="AH155" i="90"/>
  <c r="AH256" i="90"/>
  <c r="AH252" i="90"/>
  <c r="AH52" i="90"/>
  <c r="H1" i="83"/>
  <c r="L1" i="83"/>
  <c r="AT89" i="90"/>
  <c r="F89" i="90"/>
  <c r="F78" i="90"/>
  <c r="AS89" i="90"/>
  <c r="E89" i="90"/>
  <c r="E78" i="90"/>
  <c r="AL87" i="90"/>
  <c r="AJ87" i="90"/>
  <c r="AH183" i="90"/>
  <c r="AH147" i="90"/>
  <c r="AH221" i="90"/>
  <c r="AH217" i="90"/>
  <c r="AH58" i="90"/>
  <c r="AH229" i="90"/>
  <c r="AH234" i="90"/>
  <c r="AH241" i="90"/>
  <c r="AH276" i="90"/>
  <c r="AH149" i="90"/>
  <c r="AH261" i="90"/>
  <c r="AH255" i="90"/>
  <c r="AH194" i="90"/>
  <c r="AH176" i="90"/>
  <c r="AH164" i="90"/>
  <c r="AH140" i="90"/>
  <c r="AH207" i="90"/>
  <c r="AH287" i="90"/>
  <c r="AH254" i="90"/>
  <c r="AH232" i="90"/>
  <c r="AH277" i="90"/>
  <c r="AH273" i="90"/>
  <c r="AH161" i="90"/>
  <c r="AH291" i="90"/>
  <c r="AH225" i="90"/>
  <c r="AH63" i="90"/>
  <c r="AM86" i="90"/>
  <c r="AH267" i="90"/>
  <c r="AH188" i="90"/>
  <c r="AH248" i="90"/>
  <c r="AI86" i="90"/>
  <c r="AH285" i="90"/>
  <c r="AH283" i="90"/>
  <c r="AH237" i="90"/>
  <c r="AH151" i="90"/>
  <c r="AK86" i="90"/>
  <c r="AH173" i="90"/>
  <c r="AH145" i="90"/>
  <c r="AH223" i="90"/>
  <c r="AH236" i="90"/>
  <c r="AH46" i="90"/>
  <c r="AH222" i="90"/>
  <c r="AH230" i="90"/>
  <c r="AH228" i="90"/>
  <c r="AH239" i="90"/>
  <c r="AH198" i="90"/>
  <c r="AH49" i="90"/>
  <c r="AH212" i="90"/>
  <c r="AH266" i="90"/>
  <c r="AH260" i="90"/>
  <c r="AH258" i="90"/>
  <c r="AH202" i="90"/>
  <c r="AH193" i="90"/>
  <c r="AH167" i="90"/>
  <c r="AH141" i="90"/>
  <c r="AH219" i="90"/>
  <c r="AH206" i="90"/>
  <c r="AH61" i="90"/>
  <c r="AH286" i="90"/>
  <c r="AH282" i="90"/>
  <c r="AH238" i="90"/>
  <c r="AN86" i="90"/>
  <c r="AH211" i="90"/>
  <c r="AH274" i="90"/>
  <c r="AN87" i="90"/>
  <c r="AH263" i="90"/>
  <c r="AH251" i="90"/>
  <c r="AH192" i="90"/>
  <c r="AH186" i="90"/>
  <c r="AH160" i="90"/>
  <c r="AH144" i="90"/>
  <c r="AH218" i="90"/>
  <c r="AH57" i="90"/>
  <c r="AI87" i="90"/>
  <c r="AJ86" i="90"/>
  <c r="AH196" i="90"/>
  <c r="AH153" i="90"/>
  <c r="AH189" i="90"/>
  <c r="AH187" i="90"/>
  <c r="AH175" i="90"/>
  <c r="AH171" i="90"/>
  <c r="AH169" i="90"/>
  <c r="AH139" i="90"/>
  <c r="AH249" i="90"/>
  <c r="AH48" i="90"/>
  <c r="AH60" i="90"/>
  <c r="AH292" i="90"/>
  <c r="AH44" i="90"/>
  <c r="AH270" i="90"/>
  <c r="AH56" i="90"/>
  <c r="AH168" i="90"/>
  <c r="AH142" i="90"/>
  <c r="AH41" i="90"/>
  <c r="AH156" i="90"/>
  <c r="AH269" i="90"/>
  <c r="AH247" i="90"/>
  <c r="AH53" i="90"/>
  <c r="AM87" i="90"/>
  <c r="AH204" i="90"/>
  <c r="AH50" i="90"/>
  <c r="AH290" i="90"/>
  <c r="AH213" i="90"/>
  <c r="AH278" i="90"/>
  <c r="AH172" i="90"/>
  <c r="AH162" i="90"/>
  <c r="AH226" i="90"/>
  <c r="AH235" i="90"/>
  <c r="AH209" i="90"/>
  <c r="AH233" i="90"/>
  <c r="AH275" i="90"/>
  <c r="AH264" i="90"/>
  <c r="AH262" i="90"/>
  <c r="AH253" i="90"/>
  <c r="AH289" i="90"/>
  <c r="AH38" i="90"/>
  <c r="AH200" i="90"/>
  <c r="AH191" i="90"/>
  <c r="AH181" i="90"/>
  <c r="AH179" i="90"/>
  <c r="AH177" i="90"/>
  <c r="AH165" i="90"/>
  <c r="AH157" i="90"/>
  <c r="AH284" i="90"/>
  <c r="AH215" i="90"/>
  <c r="AH243" i="90"/>
  <c r="AH55" i="90"/>
  <c r="AH265" i="90"/>
  <c r="AH184" i="90"/>
  <c r="AH166" i="90"/>
  <c r="AH148" i="90"/>
  <c r="AH240" i="90"/>
  <c r="AH205" i="90"/>
  <c r="AH42" i="90"/>
  <c r="AH244" i="90"/>
  <c r="AH281" i="90"/>
  <c r="AH293" i="90"/>
  <c r="AH294" i="90"/>
  <c r="AH16" i="90"/>
  <c r="AH13" i="90"/>
  <c r="AH39" i="90"/>
  <c r="AH33" i="90"/>
  <c r="AH14" i="90"/>
  <c r="AH36" i="90"/>
  <c r="AH32" i="90"/>
  <c r="AH15" i="90"/>
  <c r="AH34" i="90"/>
  <c r="AH35" i="90"/>
  <c r="AI210" i="90"/>
  <c r="O70" i="83"/>
  <c r="O71" i="83"/>
  <c r="J72" i="83"/>
  <c r="K72" i="83"/>
  <c r="I8" i="83"/>
  <c r="I6" i="83"/>
  <c r="F10" i="83"/>
  <c r="I10" i="83"/>
  <c r="K9" i="83"/>
  <c r="E231" i="90"/>
  <c r="AI231" i="90"/>
  <c r="E268" i="90"/>
  <c r="AI268" i="90"/>
  <c r="AI220" i="90"/>
  <c r="E31" i="90"/>
  <c r="AI31" i="90"/>
  <c r="AI159" i="90"/>
  <c r="AI195" i="90"/>
  <c r="AI224" i="90"/>
  <c r="AI40" i="90"/>
  <c r="E73" i="90"/>
  <c r="AI185" i="90"/>
  <c r="AI257" i="90"/>
  <c r="K115" i="92"/>
  <c r="AI146" i="90"/>
  <c r="AI250" i="90"/>
  <c r="E170" i="90"/>
  <c r="AI170" i="90"/>
  <c r="E203" i="90"/>
  <c r="AI203" i="90"/>
  <c r="AI246" i="90"/>
  <c r="K108" i="92"/>
  <c r="AI216" i="90"/>
  <c r="E12" i="90"/>
  <c r="AI12" i="90"/>
  <c r="K111" i="92"/>
  <c r="AI43" i="90"/>
  <c r="AI174" i="90"/>
  <c r="K114" i="92"/>
  <c r="K116" i="92"/>
  <c r="AI47" i="90"/>
  <c r="AI178" i="90"/>
  <c r="O15" i="92"/>
  <c r="G100" i="92"/>
  <c r="F91" i="92"/>
  <c r="J174" i="92"/>
  <c r="K173" i="92"/>
  <c r="AI199" i="90"/>
  <c r="E77" i="90"/>
  <c r="E85" i="90"/>
  <c r="AI242" i="90"/>
  <c r="AI6" i="90"/>
  <c r="E138" i="90"/>
  <c r="AI138" i="90"/>
  <c r="F168" i="407"/>
  <c r="A104" i="407"/>
  <c r="AE32" i="407"/>
  <c r="F167" i="407"/>
  <c r="A103" i="407"/>
  <c r="AE28" i="407"/>
  <c r="F169" i="407"/>
  <c r="A105" i="407"/>
  <c r="AE36" i="407"/>
  <c r="F165" i="407"/>
  <c r="A101" i="407"/>
  <c r="AE20" i="407"/>
  <c r="AE66" i="407"/>
  <c r="F176" i="407"/>
  <c r="A112" i="407"/>
  <c r="F166" i="407"/>
  <c r="A102" i="407"/>
  <c r="AE24" i="407"/>
  <c r="F172" i="407"/>
  <c r="A108" i="407"/>
  <c r="AE49" i="407"/>
  <c r="F171" i="407"/>
  <c r="A107" i="407"/>
  <c r="AE45" i="407"/>
  <c r="F174" i="407"/>
  <c r="A110" i="407"/>
  <c r="AE57" i="407"/>
  <c r="AE53" i="407"/>
  <c r="F173" i="407"/>
  <c r="A109" i="407"/>
  <c r="F170" i="407"/>
  <c r="A106" i="407"/>
  <c r="AE41" i="407"/>
  <c r="Q38" i="407"/>
  <c r="CJ38" i="407"/>
  <c r="E169" i="407"/>
  <c r="G105" i="407"/>
  <c r="H105" i="407"/>
  <c r="AE37" i="407"/>
  <c r="AE25" i="407"/>
  <c r="CJ26" i="407"/>
  <c r="E166" i="407"/>
  <c r="G102" i="407"/>
  <c r="H102" i="407"/>
  <c r="Q26" i="407"/>
  <c r="E172" i="407"/>
  <c r="G108" i="407"/>
  <c r="H108" i="407"/>
  <c r="Q51" i="407"/>
  <c r="AE50" i="407"/>
  <c r="CJ51" i="407"/>
  <c r="E165" i="407"/>
  <c r="G101" i="407"/>
  <c r="H101" i="407"/>
  <c r="Q22" i="407"/>
  <c r="AE21" i="407"/>
  <c r="CJ22" i="407"/>
  <c r="E174" i="407"/>
  <c r="G110" i="407"/>
  <c r="H110" i="407"/>
  <c r="Q59" i="407"/>
  <c r="CJ59" i="407"/>
  <c r="AE58" i="407"/>
  <c r="CJ30" i="407"/>
  <c r="Q30" i="407"/>
  <c r="E167" i="407"/>
  <c r="G103" i="407"/>
  <c r="H103" i="407"/>
  <c r="AE29" i="407"/>
  <c r="E170" i="407"/>
  <c r="G106" i="407"/>
  <c r="H106" i="407"/>
  <c r="Q43" i="407"/>
  <c r="AE42" i="407"/>
  <c r="CJ43" i="407"/>
  <c r="E173" i="407"/>
  <c r="G109" i="407"/>
  <c r="H109" i="407"/>
  <c r="CJ55" i="407"/>
  <c r="Q55" i="407"/>
  <c r="AE54" i="407"/>
  <c r="AE33" i="407"/>
  <c r="CJ34" i="407"/>
  <c r="E168" i="407"/>
  <c r="G104" i="407"/>
  <c r="H104" i="407"/>
  <c r="Q34" i="407"/>
  <c r="E171" i="407"/>
  <c r="G107" i="407"/>
  <c r="H107" i="407"/>
  <c r="AE46" i="407"/>
  <c r="CJ47" i="407"/>
  <c r="Q47" i="407"/>
  <c r="BO2" i="407"/>
  <c r="BI5" i="407"/>
  <c r="N63" i="407"/>
  <c r="O5" i="92"/>
  <c r="O6" i="92"/>
  <c r="AB299" i="90"/>
  <c r="CJ67" i="350"/>
  <c r="CI79" i="350"/>
  <c r="GD3" i="350"/>
  <c r="GJ3" i="350"/>
  <c r="GV3" i="350"/>
  <c r="DP3" i="350"/>
  <c r="DV3" i="350"/>
  <c r="GP3" i="350"/>
  <c r="CJ79" i="350"/>
  <c r="DS13" i="350"/>
  <c r="DT13" i="350"/>
  <c r="DW13" i="350"/>
  <c r="DY13" i="350"/>
  <c r="EA13" i="350"/>
  <c r="EB13" i="350"/>
  <c r="E15" i="350"/>
  <c r="E14" i="350"/>
  <c r="BQ13" i="350"/>
  <c r="DH13" i="350"/>
  <c r="E10" i="350"/>
  <c r="E9" i="350"/>
  <c r="FL8" i="350"/>
  <c r="BQ8" i="350"/>
  <c r="E5" i="350"/>
  <c r="D49" i="350"/>
  <c r="D53" i="350"/>
  <c r="D57" i="350"/>
  <c r="D61" i="350"/>
  <c r="D66" i="350"/>
  <c r="D70" i="350"/>
  <c r="D74" i="350"/>
  <c r="D78" i="350"/>
  <c r="D82" i="350"/>
  <c r="BY11" i="350"/>
  <c r="FC11" i="350"/>
  <c r="FD11" i="350"/>
  <c r="FG11" i="350"/>
  <c r="BU11" i="350"/>
  <c r="EE11" i="350"/>
  <c r="EF11" i="350"/>
  <c r="EI11" i="350"/>
  <c r="CF11" i="350"/>
  <c r="GS11" i="350"/>
  <c r="BT11" i="350"/>
  <c r="DY11" i="350"/>
  <c r="DZ11" i="350"/>
  <c r="EC11" i="350"/>
  <c r="BS11" i="350"/>
  <c r="DS11" i="350"/>
  <c r="DT11" i="350"/>
  <c r="DW11" i="350"/>
  <c r="CB11" i="350"/>
  <c r="FU11" i="350"/>
  <c r="BV11" i="350"/>
  <c r="EK11" i="350"/>
  <c r="EM11" i="350"/>
  <c r="EN11" i="350"/>
  <c r="CC11" i="350"/>
  <c r="GA11" i="350"/>
  <c r="GB11" i="350"/>
  <c r="GE11" i="350"/>
  <c r="CE11" i="350"/>
  <c r="GM11" i="350"/>
  <c r="GO11" i="350"/>
  <c r="GP11" i="350"/>
  <c r="BZ11" i="350"/>
  <c r="FI11" i="350"/>
  <c r="FK11" i="350"/>
  <c r="BQ11" i="350"/>
  <c r="DH11" i="350"/>
  <c r="BX11" i="350"/>
  <c r="EW11" i="350"/>
  <c r="EY11" i="350"/>
  <c r="BR11" i="350"/>
  <c r="DM11" i="350"/>
  <c r="CD11" i="350"/>
  <c r="GG11" i="350"/>
  <c r="GI11" i="350"/>
  <c r="GJ11" i="350"/>
  <c r="CA11" i="350"/>
  <c r="FO11" i="350"/>
  <c r="FQ11" i="350"/>
  <c r="FR11" i="350"/>
  <c r="BO2" i="350"/>
  <c r="BT12" i="350"/>
  <c r="DY12" i="350"/>
  <c r="DZ12" i="350"/>
  <c r="EC12" i="350"/>
  <c r="BS12" i="350"/>
  <c r="DS12" i="350"/>
  <c r="DU12" i="350"/>
  <c r="DV12" i="350"/>
  <c r="CE16" i="350"/>
  <c r="GM16" i="350"/>
  <c r="GO16" i="350"/>
  <c r="BS16" i="350"/>
  <c r="DS16" i="350"/>
  <c r="DU16" i="350"/>
  <c r="DV16" i="350"/>
  <c r="BT17" i="350"/>
  <c r="DY17" i="350"/>
  <c r="EA17" i="350"/>
  <c r="EB17" i="350"/>
  <c r="CD17" i="350"/>
  <c r="GG17" i="350"/>
  <c r="GI17" i="350"/>
  <c r="GJ17" i="350"/>
  <c r="CE17" i="350"/>
  <c r="GM17" i="350"/>
  <c r="GN17" i="350"/>
  <c r="GQ17" i="350"/>
  <c r="CA17" i="350"/>
  <c r="FO17" i="350"/>
  <c r="FR17" i="350"/>
  <c r="CF17" i="350"/>
  <c r="GS17" i="350"/>
  <c r="BS17" i="350"/>
  <c r="DS17" i="350"/>
  <c r="DT17" i="350"/>
  <c r="DW17" i="350"/>
  <c r="BW17" i="350"/>
  <c r="EQ17" i="350"/>
  <c r="ES17" i="350"/>
  <c r="ET17" i="350"/>
  <c r="CB17" i="350"/>
  <c r="FU17" i="350"/>
  <c r="BU17" i="350"/>
  <c r="EE17" i="350"/>
  <c r="EG17" i="350"/>
  <c r="EH17" i="350"/>
  <c r="BZ17" i="350"/>
  <c r="FI17" i="350"/>
  <c r="FL17" i="350"/>
  <c r="BV17" i="350"/>
  <c r="EK17" i="350"/>
  <c r="EL17" i="350"/>
  <c r="EO17" i="350"/>
  <c r="BR17" i="350"/>
  <c r="DM17" i="350"/>
  <c r="BW16" i="350"/>
  <c r="EQ16" i="350"/>
  <c r="ER16" i="350"/>
  <c r="EU16" i="350"/>
  <c r="BU16" i="350"/>
  <c r="EE16" i="350"/>
  <c r="EG16" i="350"/>
  <c r="CD16" i="350"/>
  <c r="GG16" i="350"/>
  <c r="GI16" i="350"/>
  <c r="GJ16" i="350"/>
  <c r="CB16" i="350"/>
  <c r="FU16" i="350"/>
  <c r="BY16" i="350"/>
  <c r="FC16" i="350"/>
  <c r="FF16" i="350"/>
  <c r="BQ16" i="350"/>
  <c r="DH16" i="350"/>
  <c r="BT16" i="350"/>
  <c r="DY16" i="350"/>
  <c r="DZ16" i="350"/>
  <c r="EC16" i="350"/>
  <c r="CF16" i="350"/>
  <c r="GS16" i="350"/>
  <c r="BZ16" i="350"/>
  <c r="FI16" i="350"/>
  <c r="BX16" i="350"/>
  <c r="EW16" i="350"/>
  <c r="EZ16" i="350"/>
  <c r="CF12" i="350"/>
  <c r="GS12" i="350"/>
  <c r="BU12" i="350"/>
  <c r="EE12" i="350"/>
  <c r="EG12" i="350"/>
  <c r="EH12" i="350"/>
  <c r="BZ12" i="350"/>
  <c r="FI12" i="350"/>
  <c r="FK12" i="350"/>
  <c r="FL12" i="350"/>
  <c r="CC12" i="350"/>
  <c r="GA12" i="350"/>
  <c r="GB12" i="350"/>
  <c r="GE12" i="350"/>
  <c r="CB12" i="350"/>
  <c r="FU12" i="350"/>
  <c r="BR12" i="350"/>
  <c r="DM12" i="350"/>
  <c r="BY12" i="350"/>
  <c r="FC12" i="350"/>
  <c r="FE12" i="350"/>
  <c r="FF12" i="350"/>
  <c r="CD12" i="350"/>
  <c r="GG12" i="350"/>
  <c r="BW12" i="350"/>
  <c r="EQ12" i="350"/>
  <c r="ER12" i="350"/>
  <c r="EU12" i="350"/>
  <c r="CE12" i="350"/>
  <c r="GM12" i="350"/>
  <c r="GO12" i="350"/>
  <c r="GP12" i="350"/>
  <c r="BX12" i="350"/>
  <c r="EW12" i="350"/>
  <c r="EY12" i="350"/>
  <c r="BQ12" i="350"/>
  <c r="DH12" i="350"/>
  <c r="CA12" i="350"/>
  <c r="FO12" i="350"/>
  <c r="FR12" i="350"/>
  <c r="BY17" i="350"/>
  <c r="FC17" i="350"/>
  <c r="FF17" i="350"/>
  <c r="CC17" i="350"/>
  <c r="GA17" i="350"/>
  <c r="BV16" i="350"/>
  <c r="EK16" i="350"/>
  <c r="EM16" i="350"/>
  <c r="EN16" i="350"/>
  <c r="CC16" i="350"/>
  <c r="GA16" i="350"/>
  <c r="GC16" i="350"/>
  <c r="GD16" i="350"/>
  <c r="CA16" i="350"/>
  <c r="FO16" i="350"/>
  <c r="FP16" i="350"/>
  <c r="FS16" i="350"/>
  <c r="BQ17" i="350"/>
  <c r="DH17" i="350"/>
  <c r="FV13" i="350"/>
  <c r="FY13" i="350"/>
  <c r="FW8" i="350"/>
  <c r="FX8" i="350"/>
  <c r="FV8" i="350"/>
  <c r="FY8" i="350"/>
  <c r="EY18" i="350"/>
  <c r="EZ18" i="350"/>
  <c r="EX18" i="350"/>
  <c r="FA18" i="350"/>
  <c r="FJ18" i="350"/>
  <c r="FM18" i="350"/>
  <c r="FK18" i="350"/>
  <c r="FL18" i="350"/>
  <c r="EX8" i="350"/>
  <c r="FA8" i="350"/>
  <c r="EY8" i="350"/>
  <c r="EZ8" i="350"/>
  <c r="P79" i="350"/>
  <c r="J81" i="350"/>
  <c r="ES13" i="350"/>
  <c r="ET13" i="350"/>
  <c r="ER13" i="350"/>
  <c r="EU13" i="350"/>
  <c r="ET11" i="350"/>
  <c r="ES11" i="350"/>
  <c r="ER11" i="350"/>
  <c r="EU11" i="350"/>
  <c r="DT18" i="350"/>
  <c r="DW18" i="350"/>
  <c r="FK8" i="350"/>
  <c r="FJ8" i="350"/>
  <c r="FM8" i="350"/>
  <c r="EG8" i="350"/>
  <c r="EH8" i="350"/>
  <c r="EF8" i="350"/>
  <c r="EI8" i="350"/>
  <c r="EF13" i="350"/>
  <c r="EI13" i="350"/>
  <c r="EG13" i="350"/>
  <c r="EH13" i="350"/>
  <c r="ES18" i="350"/>
  <c r="ET18" i="350"/>
  <c r="ER18" i="350"/>
  <c r="EU18" i="350"/>
  <c r="EF18" i="350"/>
  <c r="EI18" i="350"/>
  <c r="EG18" i="350"/>
  <c r="EH18" i="350"/>
  <c r="EM8" i="350"/>
  <c r="EN8" i="350"/>
  <c r="EL8" i="350"/>
  <c r="EO8" i="350"/>
  <c r="FQ8" i="350"/>
  <c r="FR8" i="350"/>
  <c r="FP8" i="350"/>
  <c r="FS8" i="350"/>
  <c r="EY13" i="350"/>
  <c r="EZ13" i="350"/>
  <c r="EX13" i="350"/>
  <c r="FA13" i="350"/>
  <c r="FJ13" i="350"/>
  <c r="FM13" i="350"/>
  <c r="FK13" i="350"/>
  <c r="FL13" i="350"/>
  <c r="FP18" i="350"/>
  <c r="FS18" i="350"/>
  <c r="FQ18" i="350"/>
  <c r="FD8" i="350"/>
  <c r="FG8" i="350"/>
  <c r="FE8" i="350"/>
  <c r="FF8" i="350"/>
  <c r="FE13" i="350"/>
  <c r="FF13" i="350"/>
  <c r="FD13" i="350"/>
  <c r="FG13" i="350"/>
  <c r="EM13" i="350"/>
  <c r="EN13" i="350"/>
  <c r="EL13" i="350"/>
  <c r="EO13" i="350"/>
  <c r="EL18" i="350"/>
  <c r="EO18" i="350"/>
  <c r="EM18" i="350"/>
  <c r="EN18" i="350"/>
  <c r="ES8" i="350"/>
  <c r="ET8" i="350"/>
  <c r="ER8" i="350"/>
  <c r="EU8" i="350"/>
  <c r="DT8" i="350"/>
  <c r="DW8" i="350"/>
  <c r="FQ13" i="350"/>
  <c r="FP13" i="350"/>
  <c r="FS13" i="350"/>
  <c r="DZ18" i="350"/>
  <c r="EC18" i="350"/>
  <c r="EA18" i="350"/>
  <c r="EB18" i="350"/>
  <c r="DZ8" i="350"/>
  <c r="EC8" i="350"/>
  <c r="EA8" i="350"/>
  <c r="EB8" i="350"/>
  <c r="EM12" i="350"/>
  <c r="EN12" i="350"/>
  <c r="EL12" i="350"/>
  <c r="EO12" i="350"/>
  <c r="FW18" i="350"/>
  <c r="FX18" i="350"/>
  <c r="FV18" i="350"/>
  <c r="FY18" i="350"/>
  <c r="FD18" i="350"/>
  <c r="FG18" i="350"/>
  <c r="FE18" i="350"/>
  <c r="FF18" i="350"/>
  <c r="FR18" i="350"/>
  <c r="EY17" i="350"/>
  <c r="EZ17" i="350"/>
  <c r="EX17" i="350"/>
  <c r="FA17" i="350"/>
  <c r="D77" i="92"/>
  <c r="K3" i="90"/>
  <c r="P67" i="350"/>
  <c r="K68" i="350"/>
  <c r="BI5" i="350"/>
  <c r="N71" i="350"/>
  <c r="AB92" i="90"/>
  <c r="C86" i="92"/>
  <c r="K105" i="92"/>
  <c r="E86" i="92"/>
  <c r="E82" i="92"/>
  <c r="J70" i="83"/>
  <c r="J71" i="83"/>
  <c r="P89" i="90"/>
  <c r="AL89" i="90"/>
  <c r="P78" i="90"/>
  <c r="AJ78" i="90"/>
  <c r="AH87" i="90"/>
  <c r="AH86" i="90"/>
  <c r="L72" i="83"/>
  <c r="K70" i="83"/>
  <c r="K71" i="83"/>
  <c r="K174" i="92"/>
  <c r="J175" i="92"/>
  <c r="AI77" i="90"/>
  <c r="AI73" i="90"/>
  <c r="AI75" i="90"/>
  <c r="G91" i="92"/>
  <c r="G88" i="92"/>
  <c r="H100" i="92"/>
  <c r="BK101" i="407"/>
  <c r="E101" i="407"/>
  <c r="BL101" i="407"/>
  <c r="C101" i="407"/>
  <c r="BK106" i="407"/>
  <c r="E106" i="407"/>
  <c r="BL106" i="407"/>
  <c r="C106" i="407"/>
  <c r="E108" i="407"/>
  <c r="BK108" i="407"/>
  <c r="C108" i="407"/>
  <c r="BL108" i="407"/>
  <c r="BK105" i="407"/>
  <c r="E105" i="407"/>
  <c r="C105" i="407"/>
  <c r="BL105" i="407"/>
  <c r="BK109" i="407"/>
  <c r="E109" i="407"/>
  <c r="BL109" i="407"/>
  <c r="C109" i="407"/>
  <c r="BK102" i="407"/>
  <c r="E102" i="407"/>
  <c r="BL102" i="407"/>
  <c r="C102" i="407"/>
  <c r="E103" i="407"/>
  <c r="BK103" i="407"/>
  <c r="BL103" i="407"/>
  <c r="C103" i="407"/>
  <c r="E107" i="407"/>
  <c r="BK107" i="407"/>
  <c r="BL107" i="407"/>
  <c r="C107" i="407"/>
  <c r="AB322" i="90"/>
  <c r="Z321" i="90"/>
  <c r="W320" i="90"/>
  <c r="W318" i="90"/>
  <c r="AB317" i="90"/>
  <c r="Y316" i="90"/>
  <c r="U315" i="90"/>
  <c r="AB320" i="90"/>
  <c r="X319" i="90"/>
  <c r="AB318" i="90"/>
  <c r="Y317" i="90"/>
  <c r="Z316" i="90"/>
  <c r="Y321" i="90"/>
  <c r="V320" i="90"/>
  <c r="Z319" i="90"/>
  <c r="V318" i="90"/>
  <c r="X316" i="90"/>
  <c r="AB315" i="90"/>
  <c r="Y322" i="90"/>
  <c r="W321" i="90"/>
  <c r="Z315" i="90"/>
  <c r="W319" i="90"/>
  <c r="Y315" i="90"/>
  <c r="Y318" i="90"/>
  <c r="X318" i="90"/>
  <c r="U317" i="90"/>
  <c r="Z322" i="90"/>
  <c r="X321" i="90"/>
  <c r="U320" i="90"/>
  <c r="Y319" i="90"/>
  <c r="U318" i="90"/>
  <c r="Z317" i="90"/>
  <c r="W316" i="90"/>
  <c r="U316" i="90"/>
  <c r="X322" i="90"/>
  <c r="X317" i="90"/>
  <c r="V317" i="90"/>
  <c r="U322" i="90"/>
  <c r="X320" i="90"/>
  <c r="V315" i="90"/>
  <c r="V321" i="90"/>
  <c r="AB319" i="90"/>
  <c r="W322" i="90"/>
  <c r="U321" i="90"/>
  <c r="Z320" i="90"/>
  <c r="V319" i="90"/>
  <c r="Z318" i="90"/>
  <c r="W317" i="90"/>
  <c r="AB316" i="90"/>
  <c r="X315" i="90"/>
  <c r="V322" i="90"/>
  <c r="AB321" i="90"/>
  <c r="Y320" i="90"/>
  <c r="U319" i="90"/>
  <c r="W315" i="90"/>
  <c r="BK112" i="407"/>
  <c r="BL112" i="407"/>
  <c r="J112" i="407"/>
  <c r="B112" i="407"/>
  <c r="E112" i="407"/>
  <c r="C112" i="407"/>
  <c r="BK110" i="407"/>
  <c r="E110" i="407"/>
  <c r="BL110" i="407"/>
  <c r="C110" i="407"/>
  <c r="E104" i="407"/>
  <c r="BK104" i="407"/>
  <c r="C104" i="407"/>
  <c r="BL104" i="407"/>
  <c r="P63" i="407"/>
  <c r="B64" i="407"/>
  <c r="CH64" i="407"/>
  <c r="K64" i="407"/>
  <c r="DA12" i="407"/>
  <c r="DA6" i="407"/>
  <c r="DA8" i="407"/>
  <c r="DA11" i="407"/>
  <c r="DA14" i="407"/>
  <c r="DA10" i="407"/>
  <c r="DA7" i="407"/>
  <c r="BF12" i="407"/>
  <c r="BF7" i="407"/>
  <c r="BF14" i="407"/>
  <c r="BF8" i="407"/>
  <c r="BF11" i="407"/>
  <c r="BF6" i="407"/>
  <c r="BF10" i="407"/>
  <c r="D38" i="407"/>
  <c r="D43" i="407"/>
  <c r="D34" i="407"/>
  <c r="D22" i="407"/>
  <c r="D30" i="407"/>
  <c r="D26" i="407"/>
  <c r="D68" i="407"/>
  <c r="D47" i="407"/>
  <c r="D51" i="407"/>
  <c r="D72" i="407"/>
  <c r="D76" i="407"/>
  <c r="D55" i="407"/>
  <c r="D59" i="407"/>
  <c r="D80" i="407"/>
  <c r="D64" i="407"/>
  <c r="D85" i="407"/>
  <c r="V324" i="90"/>
  <c r="AB313" i="90"/>
  <c r="Z311" i="90"/>
  <c r="X309" i="90"/>
  <c r="V307" i="90"/>
  <c r="W305" i="90"/>
  <c r="W303" i="90"/>
  <c r="U324" i="90"/>
  <c r="Y311" i="90"/>
  <c r="W309" i="90"/>
  <c r="U307" i="90"/>
  <c r="Z306" i="90"/>
  <c r="V305" i="90"/>
  <c r="Z304" i="90"/>
  <c r="V303" i="90"/>
  <c r="W307" i="90"/>
  <c r="AB324" i="90"/>
  <c r="Z313" i="90"/>
  <c r="X311" i="90"/>
  <c r="V309" i="90"/>
  <c r="AB307" i="90"/>
  <c r="Y306" i="90"/>
  <c r="U305" i="90"/>
  <c r="Y304" i="90"/>
  <c r="U303" i="90"/>
  <c r="X304" i="90"/>
  <c r="AB306" i="90"/>
  <c r="Y313" i="90"/>
  <c r="W311" i="90"/>
  <c r="U309" i="90"/>
  <c r="X306" i="90"/>
  <c r="AB305" i="90"/>
  <c r="AB303" i="90"/>
  <c r="X305" i="90"/>
  <c r="Z324" i="90"/>
  <c r="X313" i="90"/>
  <c r="V311" i="90"/>
  <c r="AB309" i="90"/>
  <c r="Z307" i="90"/>
  <c r="W306" i="90"/>
  <c r="W304" i="90"/>
  <c r="U304" i="90"/>
  <c r="X303" i="90"/>
  <c r="Y324" i="90"/>
  <c r="W313" i="90"/>
  <c r="U311" i="90"/>
  <c r="Y307" i="90"/>
  <c r="V306" i="90"/>
  <c r="Z305" i="90"/>
  <c r="Z303" i="90"/>
  <c r="AB304" i="90"/>
  <c r="X324" i="90"/>
  <c r="V313" i="90"/>
  <c r="AB311" i="90"/>
  <c r="Z309" i="90"/>
  <c r="X307" i="90"/>
  <c r="U306" i="90"/>
  <c r="Y305" i="90"/>
  <c r="Y303" i="90"/>
  <c r="W324" i="90"/>
  <c r="U313" i="90"/>
  <c r="Y309" i="90"/>
  <c r="D5" i="404"/>
  <c r="C5" i="404"/>
  <c r="C3" i="404"/>
  <c r="U70" i="90"/>
  <c r="AB70" i="90"/>
  <c r="Y70" i="90"/>
  <c r="X70" i="90"/>
  <c r="W70" i="90"/>
  <c r="V70" i="90"/>
  <c r="Z70" i="90"/>
  <c r="W15" i="90"/>
  <c r="U14" i="90"/>
  <c r="Z16" i="90"/>
  <c r="Z15" i="90"/>
  <c r="V14" i="90"/>
  <c r="X15" i="90"/>
  <c r="X14" i="90"/>
  <c r="Z14" i="90"/>
  <c r="W16" i="90"/>
  <c r="Y15" i="90"/>
  <c r="Y14" i="90"/>
  <c r="U16" i="90"/>
  <c r="U15" i="90"/>
  <c r="W14" i="90"/>
  <c r="V15" i="90"/>
  <c r="AB14" i="90"/>
  <c r="Y16" i="90"/>
  <c r="AB16" i="90"/>
  <c r="V16" i="90"/>
  <c r="X16" i="90"/>
  <c r="AB15" i="90"/>
  <c r="U137" i="90"/>
  <c r="X136" i="90"/>
  <c r="U133" i="90"/>
  <c r="X132" i="90"/>
  <c r="Z130" i="90"/>
  <c r="U129" i="90"/>
  <c r="X128" i="90"/>
  <c r="V126" i="90"/>
  <c r="Y125" i="90"/>
  <c r="AB124" i="90"/>
  <c r="W123" i="90"/>
  <c r="Z122" i="90"/>
  <c r="U121" i="90"/>
  <c r="W119" i="90"/>
  <c r="Z118" i="90"/>
  <c r="U117" i="90"/>
  <c r="X115" i="90"/>
  <c r="V113" i="90"/>
  <c r="Y112" i="90"/>
  <c r="V109" i="90"/>
  <c r="Y108" i="90"/>
  <c r="AB107" i="90"/>
  <c r="V105" i="90"/>
  <c r="Y101" i="90"/>
  <c r="AB100" i="90"/>
  <c r="V98" i="90"/>
  <c r="Y97" i="90"/>
  <c r="AB96" i="90"/>
  <c r="Z96" i="90"/>
  <c r="Z125" i="90"/>
  <c r="V117" i="90"/>
  <c r="Z97" i="90"/>
  <c r="AB137" i="90"/>
  <c r="W136" i="90"/>
  <c r="Z135" i="90"/>
  <c r="AB133" i="90"/>
  <c r="W132" i="90"/>
  <c r="Y130" i="90"/>
  <c r="AB129" i="90"/>
  <c r="W128" i="90"/>
  <c r="Z127" i="90"/>
  <c r="U126" i="90"/>
  <c r="X125" i="90"/>
  <c r="V123" i="90"/>
  <c r="Y122" i="90"/>
  <c r="AB121" i="90"/>
  <c r="V119" i="90"/>
  <c r="Y118" i="90"/>
  <c r="AB117" i="90"/>
  <c r="W115" i="90"/>
  <c r="Z114" i="90"/>
  <c r="U113" i="90"/>
  <c r="X112" i="90"/>
  <c r="Z110" i="90"/>
  <c r="U109" i="90"/>
  <c r="X108" i="90"/>
  <c r="U105" i="90"/>
  <c r="X101" i="90"/>
  <c r="U98" i="90"/>
  <c r="X97" i="90"/>
  <c r="AB135" i="90"/>
  <c r="U124" i="90"/>
  <c r="W113" i="90"/>
  <c r="V136" i="90"/>
  <c r="Y135" i="90"/>
  <c r="V132" i="90"/>
  <c r="X130" i="90"/>
  <c r="V128" i="90"/>
  <c r="Y127" i="90"/>
  <c r="AB126" i="90"/>
  <c r="W125" i="90"/>
  <c r="Z124" i="90"/>
  <c r="U123" i="90"/>
  <c r="X122" i="90"/>
  <c r="U119" i="90"/>
  <c r="X118" i="90"/>
  <c r="V115" i="90"/>
  <c r="Y114" i="90"/>
  <c r="AB113" i="90"/>
  <c r="W112" i="90"/>
  <c r="Y110" i="90"/>
  <c r="AB109" i="90"/>
  <c r="W108" i="90"/>
  <c r="Z107" i="90"/>
  <c r="AB105" i="90"/>
  <c r="W101" i="90"/>
  <c r="Z100" i="90"/>
  <c r="AB98" i="90"/>
  <c r="W97" i="90"/>
  <c r="Y136" i="90"/>
  <c r="Y115" i="90"/>
  <c r="Z112" i="90"/>
  <c r="AB110" i="90"/>
  <c r="Z108" i="90"/>
  <c r="Z137" i="90"/>
  <c r="U136" i="90"/>
  <c r="X135" i="90"/>
  <c r="Z133" i="90"/>
  <c r="U132" i="90"/>
  <c r="W130" i="90"/>
  <c r="Z129" i="90"/>
  <c r="U128" i="90"/>
  <c r="X127" i="90"/>
  <c r="V125" i="90"/>
  <c r="Y124" i="90"/>
  <c r="AB123" i="90"/>
  <c r="W122" i="90"/>
  <c r="Z121" i="90"/>
  <c r="AB119" i="90"/>
  <c r="W118" i="90"/>
  <c r="Z117" i="90"/>
  <c r="U115" i="90"/>
  <c r="X114" i="90"/>
  <c r="V112" i="90"/>
  <c r="X110" i="90"/>
  <c r="V108" i="90"/>
  <c r="Y107" i="90"/>
  <c r="V101" i="90"/>
  <c r="Y100" i="90"/>
  <c r="V97" i="90"/>
  <c r="Y96" i="90"/>
  <c r="V129" i="90"/>
  <c r="W126" i="90"/>
  <c r="V121" i="90"/>
  <c r="X119" i="90"/>
  <c r="AB114" i="90"/>
  <c r="U107" i="90"/>
  <c r="U100" i="90"/>
  <c r="Y137" i="90"/>
  <c r="AB136" i="90"/>
  <c r="W135" i="90"/>
  <c r="Y133" i="90"/>
  <c r="AB132" i="90"/>
  <c r="V130" i="90"/>
  <c r="Y129" i="90"/>
  <c r="AB128" i="90"/>
  <c r="W127" i="90"/>
  <c r="Z126" i="90"/>
  <c r="U125" i="90"/>
  <c r="X124" i="90"/>
  <c r="V122" i="90"/>
  <c r="Y121" i="90"/>
  <c r="V118" i="90"/>
  <c r="Y117" i="90"/>
  <c r="AB115" i="90"/>
  <c r="W114" i="90"/>
  <c r="Z113" i="90"/>
  <c r="U112" i="90"/>
  <c r="W110" i="90"/>
  <c r="Z109" i="90"/>
  <c r="U108" i="90"/>
  <c r="X107" i="90"/>
  <c r="Z105" i="90"/>
  <c r="U101" i="90"/>
  <c r="X100" i="90"/>
  <c r="Z98" i="90"/>
  <c r="U97" i="90"/>
  <c r="X96" i="90"/>
  <c r="X123" i="90"/>
  <c r="X137" i="90"/>
  <c r="V135" i="90"/>
  <c r="X133" i="90"/>
  <c r="U130" i="90"/>
  <c r="X129" i="90"/>
  <c r="V127" i="90"/>
  <c r="Y126" i="90"/>
  <c r="AB125" i="90"/>
  <c r="W124" i="90"/>
  <c r="Z123" i="90"/>
  <c r="U122" i="90"/>
  <c r="X121" i="90"/>
  <c r="Z119" i="90"/>
  <c r="U118" i="90"/>
  <c r="X117" i="90"/>
  <c r="V114" i="90"/>
  <c r="Y113" i="90"/>
  <c r="AB112" i="90"/>
  <c r="V110" i="90"/>
  <c r="Y109" i="90"/>
  <c r="AB108" i="90"/>
  <c r="W107" i="90"/>
  <c r="Y105" i="90"/>
  <c r="AB101" i="90"/>
  <c r="W100" i="90"/>
  <c r="Y98" i="90"/>
  <c r="AB97" i="90"/>
  <c r="W96" i="90"/>
  <c r="V137" i="90"/>
  <c r="V133" i="90"/>
  <c r="Y132" i="90"/>
  <c r="Y128" i="90"/>
  <c r="AB127" i="90"/>
  <c r="W137" i="90"/>
  <c r="Z136" i="90"/>
  <c r="U135" i="90"/>
  <c r="W133" i="90"/>
  <c r="Z132" i="90"/>
  <c r="AB130" i="90"/>
  <c r="W129" i="90"/>
  <c r="Z128" i="90"/>
  <c r="U127" i="90"/>
  <c r="X126" i="90"/>
  <c r="V124" i="90"/>
  <c r="Y123" i="90"/>
  <c r="AB122" i="90"/>
  <c r="W121" i="90"/>
  <c r="Y119" i="90"/>
  <c r="AB118" i="90"/>
  <c r="W117" i="90"/>
  <c r="Z115" i="90"/>
  <c r="U114" i="90"/>
  <c r="X113" i="90"/>
  <c r="U110" i="90"/>
  <c r="X109" i="90"/>
  <c r="V107" i="90"/>
  <c r="X105" i="90"/>
  <c r="V100" i="90"/>
  <c r="X98" i="90"/>
  <c r="U96" i="90"/>
  <c r="W109" i="90"/>
  <c r="W105" i="90"/>
  <c r="Z101" i="90"/>
  <c r="W98" i="90"/>
  <c r="AB22" i="90"/>
  <c r="Z22" i="90"/>
  <c r="W22" i="90"/>
  <c r="V22" i="90"/>
  <c r="U22" i="90"/>
  <c r="Y22" i="90"/>
  <c r="X22" i="90"/>
  <c r="AB20" i="90"/>
  <c r="X20" i="90"/>
  <c r="U20" i="90"/>
  <c r="Z20" i="90"/>
  <c r="Y20" i="90"/>
  <c r="W20" i="90"/>
  <c r="V20" i="90"/>
  <c r="AB10" i="90"/>
  <c r="Z10" i="90"/>
  <c r="Y10" i="90"/>
  <c r="X10" i="90"/>
  <c r="W10" i="90"/>
  <c r="V10" i="90"/>
  <c r="U10" i="90"/>
  <c r="AB9" i="90"/>
  <c r="U9" i="90"/>
  <c r="Z9" i="90"/>
  <c r="Y9" i="90"/>
  <c r="X9" i="90"/>
  <c r="W9" i="90"/>
  <c r="DA7" i="350"/>
  <c r="BF7" i="350"/>
  <c r="DA6" i="350"/>
  <c r="BF6" i="350"/>
  <c r="D545" i="374"/>
  <c r="C545" i="374"/>
  <c r="C543" i="374"/>
  <c r="DZ13" i="350"/>
  <c r="EC13" i="350"/>
  <c r="DU13" i="350"/>
  <c r="DV13" i="350"/>
  <c r="DU8" i="350"/>
  <c r="DV8" i="350"/>
  <c r="DU18" i="350"/>
  <c r="DV18" i="350"/>
  <c r="EG11" i="350"/>
  <c r="EH11" i="350"/>
  <c r="EA11" i="350"/>
  <c r="EB11" i="350"/>
  <c r="GH11" i="350"/>
  <c r="GK11" i="350"/>
  <c r="AB181" i="90"/>
  <c r="EZ11" i="350"/>
  <c r="EX11" i="350"/>
  <c r="FA11" i="350"/>
  <c r="FP11" i="350"/>
  <c r="FS11" i="350"/>
  <c r="FF11" i="350"/>
  <c r="DU11" i="350"/>
  <c r="DV11" i="350"/>
  <c r="FE11" i="350"/>
  <c r="EL11" i="350"/>
  <c r="EO11" i="350"/>
  <c r="GC11" i="350"/>
  <c r="GD11" i="350"/>
  <c r="BF18" i="350"/>
  <c r="FJ11" i="350"/>
  <c r="FM11" i="350"/>
  <c r="FL11" i="350"/>
  <c r="DA16" i="350"/>
  <c r="DA13" i="350"/>
  <c r="GN11" i="350"/>
  <c r="GQ11" i="350"/>
  <c r="Y260" i="90"/>
  <c r="V249" i="90"/>
  <c r="Y13" i="90"/>
  <c r="U53" i="90"/>
  <c r="X278" i="90"/>
  <c r="Z263" i="90"/>
  <c r="AB263" i="90"/>
  <c r="Z227" i="90"/>
  <c r="W237" i="90"/>
  <c r="Y33" i="90"/>
  <c r="W56" i="90"/>
  <c r="W193" i="90"/>
  <c r="Z58" i="90"/>
  <c r="AB277" i="90"/>
  <c r="X52" i="90"/>
  <c r="Y229" i="90"/>
  <c r="Z260" i="90"/>
  <c r="AB275" i="90"/>
  <c r="Z41" i="90"/>
  <c r="U240" i="90"/>
  <c r="W228" i="90"/>
  <c r="W235" i="90"/>
  <c r="X271" i="90"/>
  <c r="U262" i="90"/>
  <c r="Y243" i="90"/>
  <c r="W41" i="90"/>
  <c r="AB253" i="90"/>
  <c r="X256" i="90"/>
  <c r="U34" i="90"/>
  <c r="X194" i="90"/>
  <c r="V78" i="90"/>
  <c r="AB286" i="90"/>
  <c r="X237" i="90"/>
  <c r="Z278" i="90"/>
  <c r="U269" i="90"/>
  <c r="AB63" i="90"/>
  <c r="AB56" i="90"/>
  <c r="X252" i="90"/>
  <c r="Z285" i="90"/>
  <c r="X264" i="90"/>
  <c r="X277" i="90"/>
  <c r="AB209" i="90"/>
  <c r="X227" i="90"/>
  <c r="W269" i="90"/>
  <c r="W244" i="90"/>
  <c r="W58" i="90"/>
  <c r="U241" i="90"/>
  <c r="AB285" i="90"/>
  <c r="Y274" i="90"/>
  <c r="V35" i="90"/>
  <c r="X260" i="90"/>
  <c r="X255" i="90"/>
  <c r="W286" i="90"/>
  <c r="X274" i="90"/>
  <c r="U55" i="90"/>
  <c r="U169" i="90"/>
  <c r="Z205" i="90"/>
  <c r="Z165" i="90"/>
  <c r="Z213" i="90"/>
  <c r="AB184" i="90"/>
  <c r="AB156" i="90"/>
  <c r="AB213" i="90"/>
  <c r="AB183" i="90"/>
  <c r="V158" i="90"/>
  <c r="V215" i="90"/>
  <c r="Y189" i="90"/>
  <c r="W167" i="90"/>
  <c r="W141" i="90"/>
  <c r="V205" i="90"/>
  <c r="U183" i="90"/>
  <c r="Y151" i="90"/>
  <c r="Z179" i="90"/>
  <c r="AB153" i="90"/>
  <c r="Z160" i="90"/>
  <c r="V182" i="90"/>
  <c r="V162" i="90"/>
  <c r="U197" i="90"/>
  <c r="X154" i="90"/>
  <c r="Z204" i="90"/>
  <c r="V179" i="90"/>
  <c r="V151" i="90"/>
  <c r="U206" i="90"/>
  <c r="X180" i="90"/>
  <c r="Z145" i="90"/>
  <c r="X208" i="90"/>
  <c r="U184" i="90"/>
  <c r="Y161" i="90"/>
  <c r="U139" i="90"/>
  <c r="Y197" i="90"/>
  <c r="Z180" i="90"/>
  <c r="V223" i="90"/>
  <c r="V147" i="90"/>
  <c r="X215" i="90"/>
  <c r="U145" i="90"/>
  <c r="X176" i="90"/>
  <c r="AB152" i="90"/>
  <c r="AB189" i="90"/>
  <c r="K92" i="90"/>
  <c r="U233" i="90"/>
  <c r="Y45" i="90"/>
  <c r="X48" i="90"/>
  <c r="AB36" i="90"/>
  <c r="V61" i="90"/>
  <c r="Y286" i="90"/>
  <c r="W273" i="90"/>
  <c r="V275" i="90"/>
  <c r="U261" i="90"/>
  <c r="V245" i="90"/>
  <c r="AB228" i="90"/>
  <c r="AB13" i="90"/>
  <c r="W13" i="90"/>
  <c r="AB256" i="90"/>
  <c r="AB284" i="90"/>
  <c r="U275" i="90"/>
  <c r="Z48" i="90"/>
  <c r="Z35" i="90"/>
  <c r="X11" i="90"/>
  <c r="AB251" i="90"/>
  <c r="AB291" i="90"/>
  <c r="W282" i="90"/>
  <c r="AB278" i="90"/>
  <c r="W258" i="90"/>
  <c r="X249" i="90"/>
  <c r="V243" i="90"/>
  <c r="Z230" i="90"/>
  <c r="Z36" i="90"/>
  <c r="Y36" i="90"/>
  <c r="Y254" i="90"/>
  <c r="AB287" i="90"/>
  <c r="Y280" i="90"/>
  <c r="W278" i="90"/>
  <c r="Y262" i="90"/>
  <c r="W248" i="90"/>
  <c r="Y241" i="90"/>
  <c r="V230" i="90"/>
  <c r="W11" i="90"/>
  <c r="X254" i="90"/>
  <c r="U294" i="90"/>
  <c r="AB266" i="90"/>
  <c r="X273" i="90"/>
  <c r="W50" i="90"/>
  <c r="Z39" i="90"/>
  <c r="X251" i="90"/>
  <c r="V274" i="90"/>
  <c r="W245" i="90"/>
  <c r="Z240" i="90"/>
  <c r="Z32" i="90"/>
  <c r="U280" i="90"/>
  <c r="Y263" i="90"/>
  <c r="U243" i="90"/>
  <c r="V254" i="90"/>
  <c r="AB274" i="90"/>
  <c r="AB248" i="90"/>
  <c r="W236" i="90"/>
  <c r="X60" i="90"/>
  <c r="X156" i="90"/>
  <c r="V153" i="90"/>
  <c r="Y192" i="90"/>
  <c r="W153" i="90"/>
  <c r="Z173" i="90"/>
  <c r="AB148" i="90"/>
  <c r="Z201" i="90"/>
  <c r="AB173" i="90"/>
  <c r="Y144" i="90"/>
  <c r="V206" i="90"/>
  <c r="AB182" i="90"/>
  <c r="V157" i="90"/>
  <c r="Z219" i="90"/>
  <c r="X196" i="90"/>
  <c r="Y179" i="90"/>
  <c r="V213" i="90"/>
  <c r="Z143" i="90"/>
  <c r="X206" i="90"/>
  <c r="Y215" i="90"/>
  <c r="X167" i="90"/>
  <c r="W148" i="90"/>
  <c r="W184" i="90"/>
  <c r="AB50" i="90"/>
  <c r="Y60" i="90"/>
  <c r="U48" i="90"/>
  <c r="X34" i="90"/>
  <c r="U63" i="90"/>
  <c r="AB293" i="90"/>
  <c r="V276" i="90"/>
  <c r="AB271" i="90"/>
  <c r="W52" i="90"/>
  <c r="AB240" i="90"/>
  <c r="Y232" i="90"/>
  <c r="U33" i="90"/>
  <c r="V42" i="90"/>
  <c r="AB252" i="90"/>
  <c r="V293" i="90"/>
  <c r="V286" i="90"/>
  <c r="Y46" i="90"/>
  <c r="Y42" i="90"/>
  <c r="V252" i="90"/>
  <c r="V292" i="90"/>
  <c r="X281" i="90"/>
  <c r="Y276" i="90"/>
  <c r="V259" i="90"/>
  <c r="AB243" i="90"/>
  <c r="Z238" i="90"/>
  <c r="X228" i="90"/>
  <c r="Z38" i="90"/>
  <c r="V253" i="90"/>
  <c r="U291" i="90"/>
  <c r="W280" i="90"/>
  <c r="U276" i="90"/>
  <c r="U258" i="90"/>
  <c r="W240" i="90"/>
  <c r="Y237" i="90"/>
  <c r="AB227" i="90"/>
  <c r="V13" i="90"/>
  <c r="Z233" i="90"/>
  <c r="Z255" i="90"/>
  <c r="Z291" i="90"/>
  <c r="Z284" i="90"/>
  <c r="V270" i="90"/>
  <c r="Y49" i="90"/>
  <c r="X41" i="90"/>
  <c r="Z256" i="90"/>
  <c r="W276" i="90"/>
  <c r="Y52" i="90"/>
  <c r="V237" i="90"/>
  <c r="V221" i="90"/>
  <c r="W145" i="90"/>
  <c r="W190" i="90"/>
  <c r="AB140" i="90"/>
  <c r="X200" i="90"/>
  <c r="X171" i="90"/>
  <c r="W143" i="90"/>
  <c r="Y200" i="90"/>
  <c r="X169" i="90"/>
  <c r="X143" i="90"/>
  <c r="Z200" i="90"/>
  <c r="X179" i="90"/>
  <c r="U156" i="90"/>
  <c r="W215" i="90"/>
  <c r="V193" i="90"/>
  <c r="W176" i="90"/>
  <c r="V202" i="90"/>
  <c r="W223" i="90"/>
  <c r="Y196" i="90"/>
  <c r="W165" i="90"/>
  <c r="Z152" i="90"/>
  <c r="AB144" i="90"/>
  <c r="W175" i="90"/>
  <c r="V48" i="90"/>
  <c r="U32" i="90"/>
  <c r="U62" i="90"/>
  <c r="U11" i="90"/>
  <c r="V49" i="90"/>
  <c r="U252" i="90"/>
  <c r="W287" i="90"/>
  <c r="Z286" i="90"/>
  <c r="U264" i="90"/>
  <c r="AB52" i="90"/>
  <c r="AB226" i="90"/>
  <c r="W229" i="90"/>
  <c r="AB11" i="90"/>
  <c r="AB254" i="90"/>
  <c r="AB290" i="90"/>
  <c r="AB283" i="90"/>
  <c r="Z42" i="90"/>
  <c r="Y34" i="90"/>
  <c r="U13" i="90"/>
  <c r="W254" i="90"/>
  <c r="AB294" i="90"/>
  <c r="Z271" i="90"/>
  <c r="W274" i="90"/>
  <c r="X262" i="90"/>
  <c r="X58" i="90"/>
  <c r="V234" i="90"/>
  <c r="V226" i="90"/>
  <c r="U42" i="90"/>
  <c r="Z252" i="90"/>
  <c r="W294" i="90"/>
  <c r="X269" i="90"/>
  <c r="Z273" i="90"/>
  <c r="AB261" i="90"/>
  <c r="AB57" i="90"/>
  <c r="Z229" i="90"/>
  <c r="Y225" i="90"/>
  <c r="AB42" i="90"/>
  <c r="Z60" i="90"/>
  <c r="Y251" i="90"/>
  <c r="Y287" i="90"/>
  <c r="X282" i="90"/>
  <c r="U266" i="90"/>
  <c r="Z44" i="90"/>
  <c r="Y35" i="90"/>
  <c r="Y55" i="90"/>
  <c r="Z270" i="90"/>
  <c r="Z236" i="90"/>
  <c r="V232" i="90"/>
  <c r="Z63" i="90"/>
  <c r="U283" i="90"/>
  <c r="U248" i="90"/>
  <c r="X236" i="90"/>
  <c r="X36" i="90"/>
  <c r="Z276" i="90"/>
  <c r="X265" i="90"/>
  <c r="W53" i="90"/>
  <c r="X230" i="90"/>
  <c r="X202" i="90"/>
  <c r="V144" i="90"/>
  <c r="V180" i="90"/>
  <c r="X221" i="90"/>
  <c r="U196" i="90"/>
  <c r="U167" i="90"/>
  <c r="AB223" i="90"/>
  <c r="V196" i="90"/>
  <c r="V167" i="90"/>
  <c r="U140" i="90"/>
  <c r="Y198" i="90"/>
  <c r="U175" i="90"/>
  <c r="Z153" i="90"/>
  <c r="U213" i="90"/>
  <c r="U192" i="90"/>
  <c r="Y175" i="90"/>
  <c r="V209" i="90"/>
  <c r="W171" i="90"/>
  <c r="U217" i="90"/>
  <c r="V188" i="90"/>
  <c r="X162" i="90"/>
  <c r="V217" i="90"/>
  <c r="X189" i="90"/>
  <c r="Y162" i="90"/>
  <c r="W217" i="90"/>
  <c r="U193" i="90"/>
  <c r="Y169" i="90"/>
  <c r="Z144" i="90"/>
  <c r="Y208" i="90"/>
  <c r="X187" i="90"/>
  <c r="AB161" i="90"/>
  <c r="V183" i="90"/>
  <c r="Y168" i="90"/>
  <c r="Z168" i="90"/>
  <c r="Y142" i="90"/>
  <c r="W214" i="90"/>
  <c r="U211" i="90"/>
  <c r="U154" i="90"/>
  <c r="Y44" i="90"/>
  <c r="X50" i="90"/>
  <c r="X35" i="90"/>
  <c r="V11" i="90"/>
  <c r="Z251" i="90"/>
  <c r="U289" i="90"/>
  <c r="Y273" i="90"/>
  <c r="Z261" i="90"/>
  <c r="W230" i="90"/>
  <c r="W226" i="90"/>
  <c r="X49" i="90"/>
  <c r="U39" i="90"/>
  <c r="X63" i="90"/>
  <c r="Z55" i="90"/>
  <c r="U282" i="90"/>
  <c r="U273" i="90"/>
  <c r="Y50" i="90"/>
  <c r="U41" i="90"/>
  <c r="V59" i="90"/>
  <c r="Y253" i="90"/>
  <c r="V271" i="90"/>
  <c r="U281" i="90"/>
  <c r="W267" i="90"/>
  <c r="V239" i="90"/>
  <c r="Y247" i="90"/>
  <c r="U236" i="90"/>
  <c r="X45" i="90"/>
  <c r="V39" i="90"/>
  <c r="V60" i="90"/>
  <c r="V54" i="90"/>
  <c r="AB289" i="90"/>
  <c r="X280" i="90"/>
  <c r="Z266" i="90"/>
  <c r="Y58" i="90"/>
  <c r="U247" i="90"/>
  <c r="X235" i="90"/>
  <c r="X46" i="90"/>
  <c r="U35" i="90"/>
  <c r="W62" i="90"/>
  <c r="Y293" i="90"/>
  <c r="V285" i="90"/>
  <c r="V269" i="90"/>
  <c r="X263" i="90"/>
  <c r="W284" i="90"/>
  <c r="Y258" i="90"/>
  <c r="U244" i="90"/>
  <c r="Y11" i="90"/>
  <c r="Z54" i="90"/>
  <c r="AB269" i="90"/>
  <c r="X234" i="90"/>
  <c r="U230" i="90"/>
  <c r="X59" i="90"/>
  <c r="AB273" i="90"/>
  <c r="W259" i="90"/>
  <c r="AB241" i="90"/>
  <c r="V34" i="90"/>
  <c r="Y294" i="90"/>
  <c r="AB264" i="90"/>
  <c r="V208" i="90"/>
  <c r="Y181" i="90"/>
  <c r="AB163" i="90"/>
  <c r="W166" i="90"/>
  <c r="Y187" i="90"/>
  <c r="W139" i="90"/>
  <c r="Z161" i="90"/>
  <c r="V36" i="90"/>
  <c r="AB32" i="90"/>
  <c r="U286" i="90"/>
  <c r="W265" i="90"/>
  <c r="AB235" i="90"/>
  <c r="W42" i="90"/>
  <c r="U54" i="90"/>
  <c r="Y277" i="90"/>
  <c r="Y32" i="90"/>
  <c r="W252" i="90"/>
  <c r="W283" i="90"/>
  <c r="U58" i="90"/>
  <c r="W238" i="90"/>
  <c r="AB255" i="90"/>
  <c r="Z282" i="90"/>
  <c r="AB245" i="90"/>
  <c r="Z237" i="90"/>
  <c r="AB54" i="90"/>
  <c r="Z274" i="90"/>
  <c r="X42" i="90"/>
  <c r="Y290" i="90"/>
  <c r="Z248" i="90"/>
  <c r="W253" i="90"/>
  <c r="AB262" i="90"/>
  <c r="Y236" i="90"/>
  <c r="Z294" i="90"/>
  <c r="Z244" i="90"/>
  <c r="Z226" i="90"/>
  <c r="V281" i="90"/>
  <c r="Z262" i="90"/>
  <c r="Z239" i="90"/>
  <c r="AB55" i="90"/>
  <c r="V273" i="90"/>
  <c r="U245" i="90"/>
  <c r="AB234" i="90"/>
  <c r="AB276" i="90"/>
  <c r="W35" i="90"/>
  <c r="X244" i="90"/>
  <c r="X287" i="90"/>
  <c r="U234" i="90"/>
  <c r="V267" i="90"/>
  <c r="Y248" i="90"/>
  <c r="Z292" i="90"/>
  <c r="AB238" i="90"/>
  <c r="W255" i="90"/>
  <c r="X291" i="90"/>
  <c r="W285" i="90"/>
  <c r="U78" i="90"/>
  <c r="K82" i="90"/>
  <c r="AY82" i="90"/>
  <c r="V294" i="90"/>
  <c r="Y54" i="90"/>
  <c r="Z232" i="90"/>
  <c r="W275" i="90"/>
  <c r="Y230" i="90"/>
  <c r="Y282" i="90"/>
  <c r="Z243" i="90"/>
  <c r="AB259" i="90"/>
  <c r="U287" i="90"/>
  <c r="Y284" i="90"/>
  <c r="W241" i="90"/>
  <c r="Z290" i="90"/>
  <c r="Y57" i="90"/>
  <c r="U61" i="90"/>
  <c r="Z280" i="90"/>
  <c r="Z259" i="90"/>
  <c r="W57" i="90"/>
  <c r="Z264" i="90"/>
  <c r="V247" i="90"/>
  <c r="Z71" i="90"/>
  <c r="AB190" i="90"/>
  <c r="X38" i="90"/>
  <c r="Y61" i="90"/>
  <c r="Y184" i="90"/>
  <c r="Z192" i="90"/>
  <c r="Z163" i="90"/>
  <c r="X151" i="90"/>
  <c r="U147" i="90"/>
  <c r="U172" i="90"/>
  <c r="Y167" i="90"/>
  <c r="X141" i="90"/>
  <c r="V41" i="90"/>
  <c r="V283" i="90"/>
  <c r="AB260" i="90"/>
  <c r="U239" i="90"/>
  <c r="Y39" i="90"/>
  <c r="AB34" i="90"/>
  <c r="U278" i="90"/>
  <c r="U265" i="90"/>
  <c r="AB232" i="90"/>
  <c r="AB167" i="90"/>
  <c r="Z183" i="90"/>
  <c r="X152" i="90"/>
  <c r="V140" i="90"/>
  <c r="Z197" i="90"/>
  <c r="V156" i="90"/>
  <c r="U164" i="90"/>
  <c r="Y217" i="90"/>
  <c r="W39" i="90"/>
  <c r="W48" i="90"/>
  <c r="Z61" i="90"/>
  <c r="U284" i="90"/>
  <c r="W263" i="90"/>
  <c r="Y234" i="90"/>
  <c r="W38" i="90"/>
  <c r="W293" i="90"/>
  <c r="V277" i="90"/>
  <c r="AB41" i="90"/>
  <c r="X292" i="90"/>
  <c r="AB270" i="90"/>
  <c r="Z57" i="90"/>
  <c r="V227" i="90"/>
  <c r="U290" i="90"/>
  <c r="Z269" i="90"/>
  <c r="Y56" i="90"/>
  <c r="U226" i="90"/>
  <c r="U36" i="90"/>
  <c r="X290" i="90"/>
  <c r="Z275" i="90"/>
  <c r="AB35" i="90"/>
  <c r="Y283" i="90"/>
  <c r="U237" i="90"/>
  <c r="X289" i="90"/>
  <c r="V241" i="90"/>
  <c r="W227" i="90"/>
  <c r="AB267" i="90"/>
  <c r="Z225" i="90"/>
  <c r="W33" i="90"/>
  <c r="Y270" i="90"/>
  <c r="U228" i="90"/>
  <c r="Z234" i="90"/>
  <c r="Z13" i="90"/>
  <c r="AB292" i="90"/>
  <c r="Y265" i="90"/>
  <c r="V52" i="90"/>
  <c r="U229" i="90"/>
  <c r="X258" i="90"/>
  <c r="X55" i="90"/>
  <c r="V238" i="90"/>
  <c r="W271" i="90"/>
  <c r="V50" i="90"/>
  <c r="Z249" i="90"/>
  <c r="Y256" i="90"/>
  <c r="X238" i="90"/>
  <c r="AB258" i="90"/>
  <c r="AB61" i="90"/>
  <c r="X239" i="90"/>
  <c r="V235" i="90"/>
  <c r="V228" i="90"/>
  <c r="Y78" i="90"/>
  <c r="AB176" i="90"/>
  <c r="AB198" i="90"/>
  <c r="U57" i="90"/>
  <c r="X61" i="90"/>
  <c r="U218" i="90"/>
  <c r="AB165" i="90"/>
  <c r="Y219" i="90"/>
  <c r="AB211" i="90"/>
  <c r="Z188" i="90"/>
  <c r="AB162" i="90"/>
  <c r="X139" i="90"/>
  <c r="U49" i="90"/>
  <c r="AB49" i="90"/>
  <c r="Z46" i="90"/>
  <c r="U255" i="90"/>
  <c r="AB281" i="90"/>
  <c r="V53" i="90"/>
  <c r="U227" i="90"/>
  <c r="V233" i="90"/>
  <c r="Z283" i="90"/>
  <c r="W36" i="90"/>
  <c r="Y292" i="90"/>
  <c r="U271" i="90"/>
  <c r="V56" i="90"/>
  <c r="Z49" i="90"/>
  <c r="X233" i="90"/>
  <c r="U292" i="90"/>
  <c r="X270" i="90"/>
  <c r="Y53" i="90"/>
  <c r="U50" i="90"/>
  <c r="AB60" i="90"/>
  <c r="Y289" i="90"/>
  <c r="X266" i="90"/>
  <c r="Z45" i="90"/>
  <c r="U267" i="90"/>
  <c r="W232" i="90"/>
  <c r="Z289" i="90"/>
  <c r="U52" i="90"/>
  <c r="X39" i="90"/>
  <c r="V282" i="90"/>
  <c r="AB247" i="90"/>
  <c r="X32" i="90"/>
  <c r="W281" i="90"/>
  <c r="AB58" i="90"/>
  <c r="W239" i="90"/>
  <c r="W289" i="90"/>
  <c r="X261" i="90"/>
  <c r="X245" i="90"/>
  <c r="W225" i="90"/>
  <c r="Z53" i="90"/>
  <c r="V290" i="90"/>
  <c r="W234" i="90"/>
  <c r="W260" i="90"/>
  <c r="V58" i="90"/>
  <c r="X294" i="90"/>
  <c r="V225" i="90"/>
  <c r="Y267" i="90"/>
  <c r="U274" i="90"/>
  <c r="Y233" i="90"/>
  <c r="AB78" i="90"/>
  <c r="W196" i="90"/>
  <c r="AB219" i="90"/>
  <c r="X44" i="90"/>
  <c r="W45" i="90"/>
  <c r="W44" i="90"/>
  <c r="W264" i="90"/>
  <c r="Y202" i="90"/>
  <c r="W152" i="90"/>
  <c r="AB212" i="90"/>
  <c r="U202" i="90"/>
  <c r="U163" i="90"/>
  <c r="W156" i="90"/>
  <c r="X214" i="90"/>
  <c r="AB48" i="90"/>
  <c r="Y48" i="90"/>
  <c r="V46" i="90"/>
  <c r="U251" i="90"/>
  <c r="V278" i="90"/>
  <c r="Y245" i="90"/>
  <c r="O1" i="83"/>
  <c r="C14" i="83"/>
  <c r="H21" i="83"/>
  <c r="V62" i="90"/>
  <c r="Z287" i="90"/>
  <c r="AB59" i="90"/>
  <c r="W290" i="90"/>
  <c r="Z267" i="90"/>
  <c r="AB249" i="90"/>
  <c r="U44" i="90"/>
  <c r="Z59" i="90"/>
  <c r="V289" i="90"/>
  <c r="Y266" i="90"/>
  <c r="W249" i="90"/>
  <c r="AB44" i="90"/>
  <c r="W61" i="90"/>
  <c r="X285" i="90"/>
  <c r="U260" i="90"/>
  <c r="V264" i="90"/>
  <c r="Y227" i="90"/>
  <c r="W277" i="90"/>
  <c r="AB53" i="90"/>
  <c r="W270" i="90"/>
  <c r="X241" i="90"/>
  <c r="Y62" i="90"/>
  <c r="X267" i="90"/>
  <c r="Z247" i="90"/>
  <c r="Z235" i="90"/>
  <c r="V32" i="90"/>
  <c r="Z281" i="90"/>
  <c r="Y261" i="90"/>
  <c r="V236" i="90"/>
  <c r="Y59" i="90"/>
  <c r="Y249" i="90"/>
  <c r="X284" i="90"/>
  <c r="AB225" i="90"/>
  <c r="X57" i="90"/>
  <c r="W256" i="90"/>
  <c r="Y244" i="90"/>
  <c r="AB282" i="90"/>
  <c r="X225" i="90"/>
  <c r="W261" i="90"/>
  <c r="U249" i="90"/>
  <c r="Z293" i="90"/>
  <c r="Z265" i="90"/>
  <c r="Z277" i="90"/>
  <c r="W218" i="90"/>
  <c r="Z218" i="90"/>
  <c r="U46" i="90"/>
  <c r="W266" i="90"/>
  <c r="X283" i="90"/>
  <c r="V287" i="90"/>
  <c r="W219" i="90"/>
  <c r="Z191" i="90"/>
  <c r="Z171" i="90"/>
  <c r="AB171" i="90"/>
  <c r="AB143" i="90"/>
  <c r="V148" i="90"/>
  <c r="Z169" i="90"/>
  <c r="X13" i="90"/>
  <c r="V38" i="90"/>
  <c r="X293" i="90"/>
  <c r="AB265" i="90"/>
  <c r="Y240" i="90"/>
  <c r="X253" i="90"/>
  <c r="Y281" i="90"/>
  <c r="Y255" i="90"/>
  <c r="Y285" i="90"/>
  <c r="V260" i="90"/>
  <c r="X240" i="90"/>
  <c r="Z11" i="90"/>
  <c r="V251" i="90"/>
  <c r="U285" i="90"/>
  <c r="Y259" i="90"/>
  <c r="AB239" i="90"/>
  <c r="Y38" i="90"/>
  <c r="W54" i="90"/>
  <c r="V280" i="90"/>
  <c r="V45" i="90"/>
  <c r="Y291" i="90"/>
  <c r="X56" i="90"/>
  <c r="W60" i="90"/>
  <c r="V266" i="90"/>
  <c r="V240" i="90"/>
  <c r="Y252" i="90"/>
  <c r="U263" i="90"/>
  <c r="X229" i="90"/>
  <c r="W291" i="90"/>
  <c r="X259" i="90"/>
  <c r="W247" i="90"/>
  <c r="X226" i="90"/>
  <c r="Z254" i="90"/>
  <c r="Y278" i="90"/>
  <c r="V57" i="90"/>
  <c r="Y238" i="90"/>
  <c r="V263" i="90"/>
  <c r="Z228" i="90"/>
  <c r="Y235" i="90"/>
  <c r="X54" i="90"/>
  <c r="AB230" i="90"/>
  <c r="U277" i="90"/>
  <c r="V44" i="90"/>
  <c r="V262" i="90"/>
  <c r="V256" i="90"/>
  <c r="X232" i="90"/>
  <c r="V229" i="90"/>
  <c r="U38" i="90"/>
  <c r="Z34" i="90"/>
  <c r="W78" i="90"/>
  <c r="U60" i="90"/>
  <c r="Y264" i="90"/>
  <c r="X276" i="90"/>
  <c r="X247" i="90"/>
  <c r="V55" i="90"/>
  <c r="V244" i="90"/>
  <c r="W32" i="90"/>
  <c r="AB280" i="90"/>
  <c r="U254" i="90"/>
  <c r="U232" i="90"/>
  <c r="AB237" i="90"/>
  <c r="U259" i="90"/>
  <c r="V265" i="90"/>
  <c r="Y226" i="90"/>
  <c r="Z245" i="90"/>
  <c r="U225" i="90"/>
  <c r="Y275" i="90"/>
  <c r="X53" i="90"/>
  <c r="Z78" i="90"/>
  <c r="V258" i="90"/>
  <c r="Z52" i="90"/>
  <c r="AB244" i="90"/>
  <c r="W292" i="90"/>
  <c r="Z253" i="90"/>
  <c r="V255" i="90"/>
  <c r="X243" i="90"/>
  <c r="Y63" i="90"/>
  <c r="AB33" i="90"/>
  <c r="V63" i="90"/>
  <c r="X62" i="90"/>
  <c r="W55" i="90"/>
  <c r="V186" i="90"/>
  <c r="Y271" i="90"/>
  <c r="W262" i="90"/>
  <c r="Z241" i="90"/>
  <c r="U59" i="90"/>
  <c r="U256" i="90"/>
  <c r="V248" i="90"/>
  <c r="AB233" i="90"/>
  <c r="W34" i="90"/>
  <c r="W63" i="90"/>
  <c r="W46" i="90"/>
  <c r="AB39" i="90"/>
  <c r="Y211" i="90"/>
  <c r="Z56" i="90"/>
  <c r="U293" i="90"/>
  <c r="U56" i="90"/>
  <c r="Y41" i="90"/>
  <c r="W251" i="90"/>
  <c r="U238" i="90"/>
  <c r="V261" i="90"/>
  <c r="Z62" i="90"/>
  <c r="Y228" i="90"/>
  <c r="AB229" i="90"/>
  <c r="Y239" i="90"/>
  <c r="X275" i="90"/>
  <c r="W243" i="90"/>
  <c r="U235" i="90"/>
  <c r="Z33" i="90"/>
  <c r="U270" i="90"/>
  <c r="U45" i="90"/>
  <c r="U160" i="90"/>
  <c r="BF11" i="350"/>
  <c r="DA11" i="350"/>
  <c r="Y147" i="90"/>
  <c r="W181" i="90"/>
  <c r="Y223" i="90"/>
  <c r="AB177" i="90"/>
  <c r="DA8" i="350"/>
  <c r="BF8" i="350"/>
  <c r="DA12" i="350"/>
  <c r="BF13" i="350"/>
  <c r="DA17" i="350"/>
  <c r="DA18" i="350"/>
  <c r="U198" i="90"/>
  <c r="V145" i="90"/>
  <c r="AB208" i="90"/>
  <c r="X186" i="90"/>
  <c r="U212" i="90"/>
  <c r="U182" i="90"/>
  <c r="Y160" i="90"/>
  <c r="X157" i="90"/>
  <c r="Z207" i="90"/>
  <c r="AB169" i="90"/>
  <c r="W186" i="90"/>
  <c r="AB200" i="90"/>
  <c r="V214" i="90"/>
  <c r="Y143" i="90"/>
  <c r="X160" i="90"/>
  <c r="AB172" i="90"/>
  <c r="X188" i="90"/>
  <c r="U205" i="90"/>
  <c r="X218" i="90"/>
  <c r="W151" i="90"/>
  <c r="W168" i="90"/>
  <c r="U186" i="90"/>
  <c r="AB202" i="90"/>
  <c r="Z222" i="90"/>
  <c r="Y154" i="90"/>
  <c r="Y172" i="90"/>
  <c r="W189" i="90"/>
  <c r="AB205" i="90"/>
  <c r="AB139" i="90"/>
  <c r="V161" i="90"/>
  <c r="Z184" i="90"/>
  <c r="U208" i="90"/>
  <c r="Y148" i="90"/>
  <c r="Z176" i="90"/>
  <c r="Z206" i="90"/>
  <c r="V163" i="90"/>
  <c r="AB207" i="90"/>
  <c r="Z167" i="90"/>
  <c r="AB68" i="90"/>
  <c r="AB218" i="90"/>
  <c r="V212" i="90"/>
  <c r="X140" i="90"/>
  <c r="U191" i="90"/>
  <c r="W204" i="90"/>
  <c r="V173" i="90"/>
  <c r="Z217" i="90"/>
  <c r="V175" i="90"/>
  <c r="Z189" i="90"/>
  <c r="U204" i="90"/>
  <c r="Y218" i="90"/>
  <c r="U148" i="90"/>
  <c r="Z162" i="90"/>
  <c r="W177" i="90"/>
  <c r="AB191" i="90"/>
  <c r="W207" i="90"/>
  <c r="AB222" i="90"/>
  <c r="U157" i="90"/>
  <c r="Z172" i="90"/>
  <c r="Y190" i="90"/>
  <c r="V207" i="90"/>
  <c r="U141" i="90"/>
  <c r="W161" i="90"/>
  <c r="U177" i="90"/>
  <c r="AB193" i="90"/>
  <c r="W209" i="90"/>
  <c r="X145" i="90"/>
  <c r="U168" i="90"/>
  <c r="X191" i="90"/>
  <c r="AB215" i="90"/>
  <c r="Y156" i="90"/>
  <c r="X183" i="90"/>
  <c r="W212" i="90"/>
  <c r="AB168" i="90"/>
  <c r="Y68" i="90"/>
  <c r="X207" i="90"/>
  <c r="U223" i="90"/>
  <c r="Y152" i="90"/>
  <c r="V166" i="90"/>
  <c r="Z181" i="90"/>
  <c r="V194" i="90"/>
  <c r="Z211" i="90"/>
  <c r="W142" i="90"/>
  <c r="W160" i="90"/>
  <c r="W179" i="90"/>
  <c r="U194" i="90"/>
  <c r="Z212" i="90"/>
  <c r="X144" i="90"/>
  <c r="Y163" i="90"/>
  <c r="Y182" i="90"/>
  <c r="W198" i="90"/>
  <c r="AB214" i="90"/>
  <c r="V152" i="90"/>
  <c r="X172" i="90"/>
  <c r="AB194" i="90"/>
  <c r="V219" i="90"/>
  <c r="W163" i="90"/>
  <c r="V190" i="90"/>
  <c r="W222" i="90"/>
  <c r="X184" i="90"/>
  <c r="Y193" i="90"/>
  <c r="AB142" i="90"/>
  <c r="X193" i="90"/>
  <c r="AB196" i="90"/>
  <c r="X223" i="90"/>
  <c r="W183" i="90"/>
  <c r="W67" i="90"/>
  <c r="U142" i="90"/>
  <c r="Y164" i="90"/>
  <c r="Y183" i="90"/>
  <c r="Y204" i="90"/>
  <c r="Z139" i="90"/>
  <c r="X164" i="90"/>
  <c r="U189" i="90"/>
  <c r="V211" i="90"/>
  <c r="Z158" i="90"/>
  <c r="U200" i="90"/>
  <c r="AB69" i="90"/>
  <c r="DT12" i="350"/>
  <c r="DW12" i="350"/>
  <c r="W59" i="90"/>
  <c r="V33" i="90"/>
  <c r="AB45" i="90"/>
  <c r="AB236" i="90"/>
  <c r="X248" i="90"/>
  <c r="Z258" i="90"/>
  <c r="Y269" i="90"/>
  <c r="V284" i="90"/>
  <c r="V291" i="90"/>
  <c r="U253" i="90"/>
  <c r="W233" i="90"/>
  <c r="X33" i="90"/>
  <c r="W49" i="90"/>
  <c r="AB38" i="90"/>
  <c r="AB62" i="90"/>
  <c r="AB46" i="90"/>
  <c r="Y207" i="90"/>
  <c r="AB180" i="90"/>
  <c r="U221" i="90"/>
  <c r="W205" i="90"/>
  <c r="X158" i="90"/>
  <c r="V222" i="90"/>
  <c r="U222" i="90"/>
  <c r="Y177" i="90"/>
  <c r="W140" i="90"/>
  <c r="W213" i="90"/>
  <c r="X166" i="90"/>
  <c r="V204" i="90"/>
  <c r="W157" i="90"/>
  <c r="X177" i="90"/>
  <c r="Y188" i="90"/>
  <c r="Z198" i="90"/>
  <c r="Z209" i="90"/>
  <c r="AB221" i="90"/>
  <c r="AB145" i="90"/>
  <c r="W158" i="90"/>
  <c r="X168" i="90"/>
  <c r="Y180" i="90"/>
  <c r="Z190" i="90"/>
  <c r="AB201" i="90"/>
  <c r="U214" i="90"/>
  <c r="V141" i="90"/>
  <c r="Y153" i="90"/>
  <c r="AB164" i="90"/>
  <c r="U176" i="90"/>
  <c r="V187" i="90"/>
  <c r="W197" i="90"/>
  <c r="W208" i="90"/>
  <c r="X219" i="90"/>
  <c r="Y145" i="90"/>
  <c r="U158" i="90"/>
  <c r="V168" i="90"/>
  <c r="W180" i="90"/>
  <c r="X190" i="90"/>
  <c r="Y201" i="90"/>
  <c r="X211" i="90"/>
  <c r="Y222" i="90"/>
  <c r="Z148" i="90"/>
  <c r="W162" i="90"/>
  <c r="Y173" i="90"/>
  <c r="AB186" i="90"/>
  <c r="V198" i="90"/>
  <c r="X212" i="90"/>
  <c r="AB141" i="90"/>
  <c r="Z157" i="90"/>
  <c r="W172" i="90"/>
  <c r="Z186" i="90"/>
  <c r="V200" i="90"/>
  <c r="Z215" i="90"/>
  <c r="W147" i="90"/>
  <c r="W173" i="90"/>
  <c r="V201" i="90"/>
  <c r="AB67" i="90"/>
  <c r="Z154" i="90"/>
  <c r="U166" i="90"/>
  <c r="V177" i="90"/>
  <c r="W188" i="90"/>
  <c r="X198" i="90"/>
  <c r="X209" i="90"/>
  <c r="Y221" i="90"/>
  <c r="Z147" i="90"/>
  <c r="V160" i="90"/>
  <c r="W169" i="90"/>
  <c r="X181" i="90"/>
  <c r="Y191" i="90"/>
  <c r="Z202" i="90"/>
  <c r="Y212" i="90"/>
  <c r="Z223" i="90"/>
  <c r="U151" i="90"/>
  <c r="X163" i="90"/>
  <c r="Z175" i="90"/>
  <c r="U188" i="90"/>
  <c r="X201" i="90"/>
  <c r="Z214" i="90"/>
  <c r="U143" i="90"/>
  <c r="AB158" i="90"/>
  <c r="X173" i="90"/>
  <c r="AB187" i="90"/>
  <c r="W201" i="90"/>
  <c r="U219" i="90"/>
  <c r="V154" i="90"/>
  <c r="U181" i="90"/>
  <c r="V71" i="90"/>
  <c r="X71" i="90"/>
  <c r="Z50" i="90"/>
  <c r="V164" i="90"/>
  <c r="X205" i="90"/>
  <c r="Y158" i="90"/>
  <c r="Z142" i="90"/>
  <c r="Z208" i="90"/>
  <c r="Y206" i="90"/>
  <c r="V165" i="90"/>
  <c r="U201" i="90"/>
  <c r="X286" i="90"/>
  <c r="Z151" i="90"/>
  <c r="V192" i="90"/>
  <c r="Y141" i="90"/>
  <c r="U173" i="90"/>
  <c r="V184" i="90"/>
  <c r="W194" i="90"/>
  <c r="W206" i="90"/>
  <c r="X217" i="90"/>
  <c r="X142" i="90"/>
  <c r="AB154" i="90"/>
  <c r="U165" i="90"/>
  <c r="V176" i="90"/>
  <c r="W187" i="90"/>
  <c r="X197" i="90"/>
  <c r="Y209" i="90"/>
  <c r="Z221" i="90"/>
  <c r="AB147" i="90"/>
  <c r="X161" i="90"/>
  <c r="Y171" i="90"/>
  <c r="Z182" i="90"/>
  <c r="AB192" i="90"/>
  <c r="AB204" i="90"/>
  <c r="U215" i="90"/>
  <c r="V142" i="90"/>
  <c r="X153" i="90"/>
  <c r="Z164" i="90"/>
  <c r="AB175" i="90"/>
  <c r="U187" i="90"/>
  <c r="V197" i="90"/>
  <c r="U207" i="90"/>
  <c r="V218" i="90"/>
  <c r="V143" i="90"/>
  <c r="AB157" i="90"/>
  <c r="V169" i="90"/>
  <c r="X182" i="90"/>
  <c r="Z193" i="90"/>
  <c r="AB206" i="90"/>
  <c r="W221" i="90"/>
  <c r="U152" i="90"/>
  <c r="Y165" i="90"/>
  <c r="V181" i="90"/>
  <c r="Z194" i="90"/>
  <c r="U209" i="90"/>
  <c r="Y139" i="90"/>
  <c r="Y166" i="90"/>
  <c r="Z187" i="90"/>
  <c r="V68" i="90"/>
  <c r="EA12" i="350"/>
  <c r="EB12" i="350"/>
  <c r="Z37" i="90"/>
  <c r="GP16" i="350"/>
  <c r="GN16" i="350"/>
  <c r="GQ16" i="350"/>
  <c r="GH16" i="350"/>
  <c r="GK16" i="350"/>
  <c r="FJ17" i="350"/>
  <c r="FM17" i="350"/>
  <c r="EF17" i="350"/>
  <c r="EI17" i="350"/>
  <c r="GO17" i="350"/>
  <c r="GP17" i="350"/>
  <c r="EX16" i="350"/>
  <c r="FA16" i="350"/>
  <c r="EY16" i="350"/>
  <c r="FK17" i="350"/>
  <c r="DU17" i="350"/>
  <c r="DV17" i="350"/>
  <c r="DZ17" i="350"/>
  <c r="EC17" i="350"/>
  <c r="EM17" i="350"/>
  <c r="EN17" i="350"/>
  <c r="FI22" i="350"/>
  <c r="E57" i="350"/>
  <c r="A59" i="350"/>
  <c r="X148" i="90"/>
  <c r="U171" i="90"/>
  <c r="AB197" i="90"/>
  <c r="X68" i="90"/>
  <c r="Z69" i="90"/>
  <c r="FP12" i="350"/>
  <c r="FS12" i="350"/>
  <c r="GH17" i="350"/>
  <c r="GK17" i="350"/>
  <c r="DT16" i="350"/>
  <c r="DW16" i="350"/>
  <c r="DS22" i="350"/>
  <c r="EB16" i="350"/>
  <c r="DY22" i="350"/>
  <c r="GB16" i="350"/>
  <c r="GE16" i="350"/>
  <c r="EA16" i="350"/>
  <c r="FU22" i="350"/>
  <c r="FD12" i="350"/>
  <c r="FG12" i="350"/>
  <c r="ER17" i="350"/>
  <c r="EU17" i="350"/>
  <c r="EL16" i="350"/>
  <c r="EO16" i="350"/>
  <c r="FP17" i="350"/>
  <c r="FS17" i="350"/>
  <c r="EF12" i="350"/>
  <c r="EI12" i="350"/>
  <c r="FQ17" i="350"/>
  <c r="FD16" i="350"/>
  <c r="FG16" i="350"/>
  <c r="FE16" i="350"/>
  <c r="FQ12" i="350"/>
  <c r="FL16" i="350"/>
  <c r="FJ16" i="350"/>
  <c r="FM16" i="350"/>
  <c r="FK16" i="350"/>
  <c r="EH16" i="350"/>
  <c r="EF16" i="350"/>
  <c r="EI16" i="350"/>
  <c r="FQ16" i="350"/>
  <c r="FR16" i="350"/>
  <c r="BF12" i="350"/>
  <c r="FO22" i="350"/>
  <c r="ES16" i="350"/>
  <c r="ET16" i="350"/>
  <c r="GC12" i="350"/>
  <c r="GD12" i="350"/>
  <c r="EZ12" i="350"/>
  <c r="EW22" i="350"/>
  <c r="GN12" i="350"/>
  <c r="GQ12" i="350"/>
  <c r="EX12" i="350"/>
  <c r="FA12" i="350"/>
  <c r="FJ12" i="350"/>
  <c r="FM12" i="350"/>
  <c r="BF16" i="350"/>
  <c r="GH12" i="350"/>
  <c r="GK12" i="350"/>
  <c r="GI12" i="350"/>
  <c r="GJ12" i="350"/>
  <c r="ES12" i="350"/>
  <c r="ET12" i="350"/>
  <c r="Y71" i="90"/>
  <c r="GB17" i="350"/>
  <c r="GE17" i="350"/>
  <c r="GC17" i="350"/>
  <c r="GD17" i="350"/>
  <c r="FC22" i="350"/>
  <c r="E53" i="350"/>
  <c r="A55" i="350"/>
  <c r="FD17" i="350"/>
  <c r="FG17" i="350"/>
  <c r="GA22" i="350"/>
  <c r="FE17" i="350"/>
  <c r="AB37" i="90"/>
  <c r="U30" i="90"/>
  <c r="X29" i="90"/>
  <c r="V28" i="90"/>
  <c r="Y27" i="90"/>
  <c r="AB26" i="90"/>
  <c r="W25" i="90"/>
  <c r="AB30" i="90"/>
  <c r="W29" i="90"/>
  <c r="U28" i="90"/>
  <c r="X27" i="90"/>
  <c r="V25" i="90"/>
  <c r="V29" i="90"/>
  <c r="AB28" i="90"/>
  <c r="W27" i="90"/>
  <c r="Z26" i="90"/>
  <c r="U25" i="90"/>
  <c r="Z30" i="90"/>
  <c r="U29" i="90"/>
  <c r="V27" i="90"/>
  <c r="Y26" i="90"/>
  <c r="AB25" i="90"/>
  <c r="Y30" i="90"/>
  <c r="AB29" i="90"/>
  <c r="Z28" i="90"/>
  <c r="U27" i="90"/>
  <c r="X26" i="90"/>
  <c r="Z27" i="90"/>
  <c r="X25" i="90"/>
  <c r="X30" i="90"/>
  <c r="Y28" i="90"/>
  <c r="AB27" i="90"/>
  <c r="W26" i="90"/>
  <c r="Z25" i="90"/>
  <c r="W30" i="90"/>
  <c r="Z29" i="90"/>
  <c r="X28" i="90"/>
  <c r="V26" i="90"/>
  <c r="Y25" i="90"/>
  <c r="V30" i="90"/>
  <c r="Y29" i="90"/>
  <c r="W28" i="90"/>
  <c r="U26" i="90"/>
  <c r="X213" i="90"/>
  <c r="Z141" i="90"/>
  <c r="Y157" i="90"/>
  <c r="V172" i="90"/>
  <c r="AB188" i="90"/>
  <c r="AB71" i="90"/>
  <c r="Y213" i="90"/>
  <c r="Z140" i="90"/>
  <c r="W154" i="90"/>
  <c r="Z166" i="90"/>
  <c r="U180" i="90"/>
  <c r="W191" i="90"/>
  <c r="Y205" i="90"/>
  <c r="AB217" i="90"/>
  <c r="U144" i="90"/>
  <c r="AB160" i="90"/>
  <c r="AB179" i="90"/>
  <c r="Y194" i="90"/>
  <c r="U68" i="90"/>
  <c r="W71" i="90"/>
  <c r="BF17" i="350"/>
  <c r="U162" i="90"/>
  <c r="Y176" i="90"/>
  <c r="W192" i="90"/>
  <c r="V67" i="90"/>
  <c r="Y69" i="90"/>
  <c r="V37" i="90"/>
  <c r="X67" i="90"/>
  <c r="X69" i="90"/>
  <c r="K299" i="90"/>
  <c r="W37" i="90"/>
  <c r="AB151" i="90"/>
  <c r="X165" i="90"/>
  <c r="Z177" i="90"/>
  <c r="U190" i="90"/>
  <c r="W202" i="90"/>
  <c r="W68" i="90"/>
  <c r="Y67" i="90"/>
  <c r="U69" i="90"/>
  <c r="U37" i="90"/>
  <c r="V191" i="90"/>
  <c r="X78" i="90"/>
  <c r="Z68" i="90"/>
  <c r="Z67" i="90"/>
  <c r="V69" i="90"/>
  <c r="Y37" i="90"/>
  <c r="U23" i="90"/>
  <c r="V19" i="90"/>
  <c r="Y18" i="90"/>
  <c r="AB23" i="90"/>
  <c r="Z21" i="90"/>
  <c r="U19" i="90"/>
  <c r="X18" i="90"/>
  <c r="Y21" i="90"/>
  <c r="AB19" i="90"/>
  <c r="W18" i="90"/>
  <c r="Z23" i="90"/>
  <c r="X21" i="90"/>
  <c r="V18" i="90"/>
  <c r="Y23" i="90"/>
  <c r="W21" i="90"/>
  <c r="Z19" i="90"/>
  <c r="U18" i="90"/>
  <c r="W23" i="90"/>
  <c r="U21" i="90"/>
  <c r="X19" i="90"/>
  <c r="X23" i="90"/>
  <c r="V21" i="90"/>
  <c r="Y19" i="90"/>
  <c r="AB18" i="90"/>
  <c r="V23" i="90"/>
  <c r="AB21" i="90"/>
  <c r="W19" i="90"/>
  <c r="Z18" i="90"/>
  <c r="EK22" i="350"/>
  <c r="DM22" i="350"/>
  <c r="EQ22" i="350"/>
  <c r="EE22" i="350"/>
  <c r="E36" i="350"/>
  <c r="A38" i="350"/>
  <c r="X37" i="90"/>
  <c r="W144" i="90"/>
  <c r="Z156" i="90"/>
  <c r="AB166" i="90"/>
  <c r="U179" i="90"/>
  <c r="V189" i="90"/>
  <c r="W200" i="90"/>
  <c r="W211" i="90"/>
  <c r="X222" i="90"/>
  <c r="X147" i="90"/>
  <c r="U161" i="90"/>
  <c r="V171" i="90"/>
  <c r="W182" i="90"/>
  <c r="X192" i="90"/>
  <c r="X204" i="90"/>
  <c r="Y214" i="90"/>
  <c r="Y140" i="90"/>
  <c r="U153" i="90"/>
  <c r="W164" i="90"/>
  <c r="X175" i="90"/>
  <c r="Y186" i="90"/>
  <c r="Z196" i="90"/>
  <c r="U67" i="90"/>
  <c r="U71" i="90"/>
  <c r="W69" i="90"/>
  <c r="CH30" i="350"/>
  <c r="P71" i="350"/>
  <c r="K72" i="350"/>
  <c r="CH26" i="350"/>
  <c r="H86" i="92"/>
  <c r="I86" i="92"/>
  <c r="K86" i="92"/>
  <c r="E74" i="90"/>
  <c r="V74" i="90"/>
  <c r="AN89" i="90"/>
  <c r="AI89" i="90"/>
  <c r="AM89" i="90"/>
  <c r="AK89" i="90"/>
  <c r="AJ89" i="90"/>
  <c r="AN78" i="90"/>
  <c r="AI78" i="90"/>
  <c r="AM78" i="90"/>
  <c r="AL78" i="90"/>
  <c r="AK78" i="90"/>
  <c r="M72" i="83"/>
  <c r="M70" i="83"/>
  <c r="L70" i="83"/>
  <c r="L71" i="83"/>
  <c r="H91" i="92"/>
  <c r="I100" i="92"/>
  <c r="F88" i="92"/>
  <c r="F82" i="92"/>
  <c r="J176" i="92"/>
  <c r="K175" i="92"/>
  <c r="J104" i="407"/>
  <c r="B104" i="407"/>
  <c r="AD315" i="90"/>
  <c r="AD316" i="90"/>
  <c r="J107" i="407"/>
  <c r="B107" i="407"/>
  <c r="AD319" i="90"/>
  <c r="AD317" i="90"/>
  <c r="J102" i="407"/>
  <c r="B102" i="407"/>
  <c r="J105" i="407"/>
  <c r="B105" i="407"/>
  <c r="J106" i="407"/>
  <c r="B106" i="407"/>
  <c r="J110" i="407"/>
  <c r="B110" i="407"/>
  <c r="AD322" i="90"/>
  <c r="AD318" i="90"/>
  <c r="AD321" i="90"/>
  <c r="J103" i="407"/>
  <c r="B103" i="407"/>
  <c r="J108" i="407"/>
  <c r="B108" i="407"/>
  <c r="AD320" i="90"/>
  <c r="J109" i="407"/>
  <c r="B109" i="407"/>
  <c r="J101" i="407"/>
  <c r="B101" i="407"/>
  <c r="K77" i="407"/>
  <c r="E76" i="407"/>
  <c r="K73" i="407"/>
  <c r="E72" i="407"/>
  <c r="D86" i="407"/>
  <c r="L85" i="407"/>
  <c r="F85" i="407"/>
  <c r="E64" i="407"/>
  <c r="C64" i="407"/>
  <c r="K65" i="407"/>
  <c r="K81" i="407"/>
  <c r="E80" i="407"/>
  <c r="AD324" i="90"/>
  <c r="AD313" i="90"/>
  <c r="AD305" i="90"/>
  <c r="AD311" i="90"/>
  <c r="AD309" i="90"/>
  <c r="AD307" i="90"/>
  <c r="AD304" i="90"/>
  <c r="AD306" i="90"/>
  <c r="AD303" i="90"/>
  <c r="E9" i="404"/>
  <c r="D9" i="404"/>
  <c r="C9" i="404"/>
  <c r="D3" i="404"/>
  <c r="AD70" i="90"/>
  <c r="AD16" i="90"/>
  <c r="B13" i="86"/>
  <c r="AD14" i="90"/>
  <c r="B11" i="86"/>
  <c r="AD15" i="90"/>
  <c r="B12" i="86"/>
  <c r="AD135" i="90"/>
  <c r="AD110" i="90"/>
  <c r="AD96" i="90"/>
  <c r="AD108" i="90"/>
  <c r="AD114" i="90"/>
  <c r="AD100" i="90"/>
  <c r="AD115" i="90"/>
  <c r="AD136" i="90"/>
  <c r="AD117" i="90"/>
  <c r="AD107" i="90"/>
  <c r="AD109" i="90"/>
  <c r="AD128" i="90"/>
  <c r="AD124" i="90"/>
  <c r="AD129" i="90"/>
  <c r="AD118" i="90"/>
  <c r="AD97" i="90"/>
  <c r="AD121" i="90"/>
  <c r="AD112" i="90"/>
  <c r="AD113" i="90"/>
  <c r="AD130" i="90"/>
  <c r="AD125" i="90"/>
  <c r="AD132" i="90"/>
  <c r="AD119" i="90"/>
  <c r="AD98" i="90"/>
  <c r="AD133" i="90"/>
  <c r="AD122" i="90"/>
  <c r="AD101" i="90"/>
  <c r="AD126" i="90"/>
  <c r="AD127" i="90"/>
  <c r="AD123" i="90"/>
  <c r="AD105" i="90"/>
  <c r="AD137" i="90"/>
  <c r="AD22" i="90"/>
  <c r="AD20" i="90"/>
  <c r="AD10" i="90"/>
  <c r="AD9" i="90"/>
  <c r="B6" i="86"/>
  <c r="B60" i="350"/>
  <c r="CG55" i="350"/>
  <c r="B39" i="350"/>
  <c r="D543" i="374"/>
  <c r="X550" i="374"/>
  <c r="Z550" i="374"/>
  <c r="Y550" i="374"/>
  <c r="C553" i="374"/>
  <c r="D553" i="374"/>
  <c r="AA553" i="374"/>
  <c r="C552" i="374"/>
  <c r="D552" i="374"/>
  <c r="AA552" i="374"/>
  <c r="C551" i="374"/>
  <c r="D551" i="374"/>
  <c r="AA551" i="374"/>
  <c r="C549" i="374"/>
  <c r="D549" i="374"/>
  <c r="AA549" i="374"/>
  <c r="C550" i="374"/>
  <c r="D550" i="374"/>
  <c r="AA550" i="374"/>
  <c r="FF22" i="350"/>
  <c r="B18" i="83"/>
  <c r="O2" i="83"/>
  <c r="AD56" i="90"/>
  <c r="AD58" i="90"/>
  <c r="AD273" i="90"/>
  <c r="EZ22" i="350"/>
  <c r="AD62" i="90"/>
  <c r="AD258" i="90"/>
  <c r="AD240" i="90"/>
  <c r="AD44" i="90"/>
  <c r="AD229" i="90"/>
  <c r="AD270" i="90"/>
  <c r="AD263" i="90"/>
  <c r="AD251" i="90"/>
  <c r="AD249" i="90"/>
  <c r="AD227" i="90"/>
  <c r="AD289" i="90"/>
  <c r="AD271" i="90"/>
  <c r="AD244" i="90"/>
  <c r="AD238" i="90"/>
  <c r="AD292" i="90"/>
  <c r="AD42" i="90"/>
  <c r="AD252" i="90"/>
  <c r="AD52" i="90"/>
  <c r="AD269" i="90"/>
  <c r="AD54" i="90"/>
  <c r="AD236" i="90"/>
  <c r="AD78" i="90"/>
  <c r="AD32" i="90"/>
  <c r="AD265" i="90"/>
  <c r="AD278" i="90"/>
  <c r="AD50" i="90"/>
  <c r="AD34" i="90"/>
  <c r="AD293" i="90"/>
  <c r="AD245" i="90"/>
  <c r="AD266" i="90"/>
  <c r="AD256" i="90"/>
  <c r="AD290" i="90"/>
  <c r="AD261" i="90"/>
  <c r="AD285" i="90"/>
  <c r="AD53" i="90"/>
  <c r="AD281" i="90"/>
  <c r="AD267" i="90"/>
  <c r="AD283" i="90"/>
  <c r="AD49" i="90"/>
  <c r="B39" i="86"/>
  <c r="AD55" i="90"/>
  <c r="AD228" i="90"/>
  <c r="AD237" i="90"/>
  <c r="AD277" i="90"/>
  <c r="AD239" i="90"/>
  <c r="AD247" i="90"/>
  <c r="AD241" i="90"/>
  <c r="AD275" i="90"/>
  <c r="AD255" i="90"/>
  <c r="AD253" i="90"/>
  <c r="AD36" i="90"/>
  <c r="AD230" i="90"/>
  <c r="AD60" i="90"/>
  <c r="AD63" i="90"/>
  <c r="AD294" i="90"/>
  <c r="AD274" i="90"/>
  <c r="AD48" i="90"/>
  <c r="AD276" i="90"/>
  <c r="AD254" i="90"/>
  <c r="AD282" i="90"/>
  <c r="AD35" i="90"/>
  <c r="AD226" i="90"/>
  <c r="AD225" i="90"/>
  <c r="AD57" i="90"/>
  <c r="AD260" i="90"/>
  <c r="AD264" i="90"/>
  <c r="AD232" i="90"/>
  <c r="AD262" i="90"/>
  <c r="AD248" i="90"/>
  <c r="AD234" i="90"/>
  <c r="AD235" i="90"/>
  <c r="AD39" i="90"/>
  <c r="AD11" i="90"/>
  <c r="AD287" i="90"/>
  <c r="AD280" i="90"/>
  <c r="AD259" i="90"/>
  <c r="AD243" i="90"/>
  <c r="AD13" i="90"/>
  <c r="B10" i="86"/>
  <c r="AD61" i="90"/>
  <c r="AD41" i="90"/>
  <c r="B37" i="86"/>
  <c r="AD286" i="90"/>
  <c r="AD284" i="90"/>
  <c r="AD38" i="90"/>
  <c r="AD167" i="90"/>
  <c r="AD233" i="90"/>
  <c r="AD45" i="90"/>
  <c r="AD46" i="90"/>
  <c r="AD291" i="90"/>
  <c r="AD59" i="90"/>
  <c r="AD223" i="90"/>
  <c r="AD215" i="90"/>
  <c r="AD196" i="90"/>
  <c r="AD194" i="90"/>
  <c r="AD218" i="90"/>
  <c r="AD139" i="90"/>
  <c r="AD208" i="90"/>
  <c r="AD163" i="90"/>
  <c r="AD222" i="90"/>
  <c r="AD157" i="90"/>
  <c r="AD152" i="90"/>
  <c r="AD219" i="90"/>
  <c r="AD145" i="90"/>
  <c r="AD33" i="90"/>
  <c r="B33" i="86"/>
  <c r="AD189" i="90"/>
  <c r="AD182" i="90"/>
  <c r="AD151" i="90"/>
  <c r="AD147" i="90"/>
  <c r="AD168" i="90"/>
  <c r="AD183" i="90"/>
  <c r="AD207" i="90"/>
  <c r="AD177" i="90"/>
  <c r="AD193" i="90"/>
  <c r="AD212" i="90"/>
  <c r="AD184" i="90"/>
  <c r="AD201" i="90"/>
  <c r="AD148" i="90"/>
  <c r="AD156" i="90"/>
  <c r="AD162" i="90"/>
  <c r="AD153" i="90"/>
  <c r="AD202" i="90"/>
  <c r="AD143" i="90"/>
  <c r="AD160" i="90"/>
  <c r="AD197" i="90"/>
  <c r="AD142" i="90"/>
  <c r="AD221" i="90"/>
  <c r="AD181" i="90"/>
  <c r="AD198" i="90"/>
  <c r="AD209" i="90"/>
  <c r="AD187" i="90"/>
  <c r="AD169" i="90"/>
  <c r="AD180" i="90"/>
  <c r="AD158" i="90"/>
  <c r="AD188" i="90"/>
  <c r="AD173" i="90"/>
  <c r="AD204" i="90"/>
  <c r="AD200" i="90"/>
  <c r="AD165" i="90"/>
  <c r="AD217" i="90"/>
  <c r="AD206" i="90"/>
  <c r="AD175" i="90"/>
  <c r="AD172" i="90"/>
  <c r="AD205" i="90"/>
  <c r="AD171" i="90"/>
  <c r="AD214" i="90"/>
  <c r="AD211" i="90"/>
  <c r="AD141" i="90"/>
  <c r="AD186" i="90"/>
  <c r="AD166" i="90"/>
  <c r="AD176" i="90"/>
  <c r="AD164" i="90"/>
  <c r="AD161" i="90"/>
  <c r="AD190" i="90"/>
  <c r="AD154" i="90"/>
  <c r="FK22" i="350"/>
  <c r="EY22" i="350"/>
  <c r="FL22" i="350"/>
  <c r="DU22" i="350"/>
  <c r="DV22" i="350"/>
  <c r="EA22" i="350"/>
  <c r="FP22" i="350"/>
  <c r="O63" i="350"/>
  <c r="FS22" i="350"/>
  <c r="CG59" i="350"/>
  <c r="DW22" i="350"/>
  <c r="DZ22" i="350"/>
  <c r="EC22" i="350"/>
  <c r="FE22" i="350"/>
  <c r="EN22" i="350"/>
  <c r="EM22" i="350"/>
  <c r="FR22" i="350"/>
  <c r="ES22" i="350"/>
  <c r="DT22" i="350"/>
  <c r="O30" i="350"/>
  <c r="EB22" i="350"/>
  <c r="AD71" i="90"/>
  <c r="FQ22" i="350"/>
  <c r="FJ22" i="350"/>
  <c r="O59" i="350"/>
  <c r="A57" i="350"/>
  <c r="AF60" i="350"/>
  <c r="K113" i="350"/>
  <c r="AD179" i="90"/>
  <c r="ET22" i="350"/>
  <c r="AD144" i="90"/>
  <c r="AD213" i="90"/>
  <c r="EX22" i="350"/>
  <c r="O51" i="350"/>
  <c r="FA22" i="350"/>
  <c r="FM22" i="350"/>
  <c r="M177" i="350"/>
  <c r="AD68" i="90"/>
  <c r="AD67" i="90"/>
  <c r="AD192" i="90"/>
  <c r="AD140" i="90"/>
  <c r="AD25" i="90"/>
  <c r="B22" i="86"/>
  <c r="AD26" i="90"/>
  <c r="B23" i="86"/>
  <c r="AD27" i="90"/>
  <c r="B24" i="86"/>
  <c r="FD22" i="350"/>
  <c r="O55" i="350"/>
  <c r="A53" i="350"/>
  <c r="AF56" i="350"/>
  <c r="K112" i="350"/>
  <c r="FG22" i="350"/>
  <c r="AD28" i="90"/>
  <c r="B25" i="86"/>
  <c r="AD29" i="90"/>
  <c r="B28" i="86"/>
  <c r="AD37" i="90"/>
  <c r="AD191" i="90"/>
  <c r="AD30" i="90"/>
  <c r="B29" i="86"/>
  <c r="AD69" i="90"/>
  <c r="EL22" i="350"/>
  <c r="O42" i="350"/>
  <c r="EO22" i="350"/>
  <c r="E40" i="350"/>
  <c r="A42" i="350"/>
  <c r="EH22" i="350"/>
  <c r="EG22" i="350"/>
  <c r="AD19" i="90"/>
  <c r="B18" i="86"/>
  <c r="CG38" i="350"/>
  <c r="ER22" i="350"/>
  <c r="O47" i="350"/>
  <c r="EU22" i="350"/>
  <c r="EF22" i="350"/>
  <c r="O38" i="350"/>
  <c r="A36" i="350"/>
  <c r="AF39" i="350"/>
  <c r="K108" i="350"/>
  <c r="EI22" i="350"/>
  <c r="M172" i="350"/>
  <c r="AD23" i="90"/>
  <c r="B20" i="86"/>
  <c r="AD21" i="90"/>
  <c r="B19" i="86"/>
  <c r="AD18" i="90"/>
  <c r="B17" i="86"/>
  <c r="K60" i="350"/>
  <c r="E59" i="350"/>
  <c r="E38" i="350"/>
  <c r="E39" i="350"/>
  <c r="D135" i="92"/>
  <c r="AH89" i="90"/>
  <c r="AH78" i="90"/>
  <c r="G82" i="92"/>
  <c r="T82" i="92"/>
  <c r="F79" i="92"/>
  <c r="F74" i="90"/>
  <c r="I91" i="92"/>
  <c r="I82" i="92"/>
  <c r="J100" i="92"/>
  <c r="K100" i="92"/>
  <c r="J177" i="92"/>
  <c r="K176" i="92"/>
  <c r="F184" i="407"/>
  <c r="A119" i="407"/>
  <c r="AD85" i="407"/>
  <c r="D84" i="407"/>
  <c r="R85" i="407"/>
  <c r="CI85" i="407"/>
  <c r="CI99" i="407"/>
  <c r="AA83" i="407"/>
  <c r="F86" i="407"/>
  <c r="G85" i="407"/>
  <c r="U84" i="407"/>
  <c r="E81" i="407"/>
  <c r="C80" i="407"/>
  <c r="L80" i="407"/>
  <c r="E73" i="407"/>
  <c r="C72" i="407"/>
  <c r="L72" i="407"/>
  <c r="Y14" i="407"/>
  <c r="Y12" i="407"/>
  <c r="Y11" i="407"/>
  <c r="Y10" i="407"/>
  <c r="Y6" i="407"/>
  <c r="Y7" i="407"/>
  <c r="Y8" i="407"/>
  <c r="AC14" i="407"/>
  <c r="AC11" i="407"/>
  <c r="AD11" i="407"/>
  <c r="AC12" i="407"/>
  <c r="AC7" i="407"/>
  <c r="AD7" i="407"/>
  <c r="AC10" i="407"/>
  <c r="AD10" i="407"/>
  <c r="AC8" i="407"/>
  <c r="AC6" i="407"/>
  <c r="AG14" i="407"/>
  <c r="AG11" i="407"/>
  <c r="AG10" i="407"/>
  <c r="AG12" i="407"/>
  <c r="AH12" i="407"/>
  <c r="AG6" i="407"/>
  <c r="AG7" i="407"/>
  <c r="AH7" i="407"/>
  <c r="AG8" i="407"/>
  <c r="AH8" i="407"/>
  <c r="E77" i="407"/>
  <c r="C76" i="407"/>
  <c r="L76" i="407"/>
  <c r="E65" i="407"/>
  <c r="L64" i="407"/>
  <c r="AA14" i="407"/>
  <c r="AA12" i="407"/>
  <c r="AA11" i="407"/>
  <c r="AB11" i="407"/>
  <c r="AA10" i="407"/>
  <c r="AB10" i="407"/>
  <c r="AA7" i="407"/>
  <c r="AB7" i="407"/>
  <c r="AA8" i="407"/>
  <c r="AA6" i="407"/>
  <c r="AD11" i="404"/>
  <c r="D11" i="404"/>
  <c r="AD12" i="404"/>
  <c r="D12" i="404"/>
  <c r="AD13" i="404"/>
  <c r="D13" i="404"/>
  <c r="AK6" i="350"/>
  <c r="AL6" i="350"/>
  <c r="AK7" i="350"/>
  <c r="AL7" i="350"/>
  <c r="E61" i="350"/>
  <c r="A63" i="350"/>
  <c r="M176" i="350"/>
  <c r="E49" i="350"/>
  <c r="A51" i="350"/>
  <c r="B56" i="350"/>
  <c r="E45" i="350"/>
  <c r="A47" i="350"/>
  <c r="E32" i="350"/>
  <c r="A34" i="350"/>
  <c r="X549" i="374"/>
  <c r="Z549" i="374"/>
  <c r="Y549" i="374"/>
  <c r="X553" i="374"/>
  <c r="Z553" i="374"/>
  <c r="Y553" i="374"/>
  <c r="X551" i="374"/>
  <c r="Z551" i="374"/>
  <c r="Y551" i="374"/>
  <c r="X552" i="374"/>
  <c r="Z552" i="374"/>
  <c r="Y552" i="374"/>
  <c r="E28" i="350"/>
  <c r="A30" i="350"/>
  <c r="O34" i="350"/>
  <c r="D60" i="350"/>
  <c r="D56" i="350"/>
  <c r="CG57" i="350"/>
  <c r="CG53" i="350"/>
  <c r="Q176" i="350"/>
  <c r="Q177" i="350"/>
  <c r="D39" i="350"/>
  <c r="CG36" i="350"/>
  <c r="Q172" i="350"/>
  <c r="K56" i="350"/>
  <c r="C38" i="350"/>
  <c r="AK18" i="350"/>
  <c r="AK8" i="350"/>
  <c r="AK17" i="350"/>
  <c r="AK16" i="350"/>
  <c r="AK13" i="350"/>
  <c r="AK12" i="350"/>
  <c r="AK11" i="350"/>
  <c r="E60" i="350"/>
  <c r="C59" i="350"/>
  <c r="L59" i="350"/>
  <c r="C58" i="350"/>
  <c r="C55" i="350"/>
  <c r="L55" i="350"/>
  <c r="C54" i="350"/>
  <c r="L38" i="350"/>
  <c r="C37" i="350"/>
  <c r="W74" i="90"/>
  <c r="I74" i="90"/>
  <c r="I79" i="92"/>
  <c r="K177" i="92"/>
  <c r="J178" i="92"/>
  <c r="L100" i="92"/>
  <c r="D129" i="92"/>
  <c r="K91" i="92"/>
  <c r="K82" i="92"/>
  <c r="K79" i="92"/>
  <c r="G74" i="90"/>
  <c r="G79" i="92"/>
  <c r="B3" i="83"/>
  <c r="O3" i="83"/>
  <c r="F65" i="407"/>
  <c r="C63" i="407"/>
  <c r="F64" i="407"/>
  <c r="F73" i="407"/>
  <c r="C71" i="407"/>
  <c r="D177" i="407"/>
  <c r="F113" i="407"/>
  <c r="F72" i="407"/>
  <c r="CI18" i="407"/>
  <c r="AA4" i="407"/>
  <c r="AB4" i="407"/>
  <c r="AB6" i="407"/>
  <c r="CK18" i="407"/>
  <c r="Y4" i="407"/>
  <c r="F76" i="407"/>
  <c r="C75" i="407"/>
  <c r="D178" i="407"/>
  <c r="F114" i="407"/>
  <c r="F77" i="407"/>
  <c r="C79" i="407"/>
  <c r="D179" i="407"/>
  <c r="F115" i="407"/>
  <c r="F81" i="407"/>
  <c r="F80" i="407"/>
  <c r="A124" i="407"/>
  <c r="C124" i="407"/>
  <c r="AC83" i="407"/>
  <c r="E184" i="407"/>
  <c r="G119" i="407"/>
  <c r="H119" i="407"/>
  <c r="H125" i="407"/>
  <c r="CJ85" i="407"/>
  <c r="CJ99" i="407"/>
  <c r="AE84" i="407"/>
  <c r="AE83" i="407"/>
  <c r="J86" i="407"/>
  <c r="AH6" i="407"/>
  <c r="AG4" i="407"/>
  <c r="AH4" i="407"/>
  <c r="AD6" i="407"/>
  <c r="AC4" i="407"/>
  <c r="AD4" i="407"/>
  <c r="V85" i="407"/>
  <c r="G86" i="407"/>
  <c r="A84" i="407"/>
  <c r="BK119" i="407"/>
  <c r="Z12" i="404"/>
  <c r="AC12" i="404"/>
  <c r="C12" i="404"/>
  <c r="Z13" i="404"/>
  <c r="AC13" i="404"/>
  <c r="C13" i="404"/>
  <c r="Z11" i="404"/>
  <c r="AC11" i="404"/>
  <c r="C11" i="404"/>
  <c r="AM6" i="350"/>
  <c r="AN6" i="350"/>
  <c r="AM7" i="350"/>
  <c r="AN7" i="350"/>
  <c r="AM18" i="350"/>
  <c r="E47" i="350"/>
  <c r="A40" i="350"/>
  <c r="CG42" i="350"/>
  <c r="DC177" i="350"/>
  <c r="DC178" i="350"/>
  <c r="M173" i="350"/>
  <c r="K35" i="350"/>
  <c r="AW7" i="350"/>
  <c r="AX7" i="350"/>
  <c r="D30" i="350"/>
  <c r="A28" i="350"/>
  <c r="E30" i="350"/>
  <c r="E31" i="350"/>
  <c r="E34" i="350"/>
  <c r="A32" i="350"/>
  <c r="CG34" i="350"/>
  <c r="M171" i="350"/>
  <c r="P171" i="350"/>
  <c r="CH33" i="350"/>
  <c r="C171" i="350"/>
  <c r="G33" i="350"/>
  <c r="F33" i="350"/>
  <c r="D34" i="350"/>
  <c r="Q33" i="350"/>
  <c r="C32" i="350"/>
  <c r="L32" i="350"/>
  <c r="K31" i="350"/>
  <c r="L30" i="350"/>
  <c r="C29" i="350"/>
  <c r="C30" i="350"/>
  <c r="F39" i="350"/>
  <c r="AM12" i="350"/>
  <c r="AM16" i="350"/>
  <c r="AM8" i="350"/>
  <c r="AM11" i="350"/>
  <c r="AM17" i="350"/>
  <c r="AM13" i="350"/>
  <c r="AK4" i="350"/>
  <c r="AL4" i="350"/>
  <c r="D177" i="350"/>
  <c r="F113" i="350"/>
  <c r="F60" i="350"/>
  <c r="F59" i="350"/>
  <c r="AG60" i="350"/>
  <c r="F56" i="350"/>
  <c r="F55" i="350"/>
  <c r="AG56" i="350"/>
  <c r="F38" i="350"/>
  <c r="AG39" i="350"/>
  <c r="D87" i="92"/>
  <c r="C87" i="92"/>
  <c r="X74" i="90"/>
  <c r="Z74" i="90"/>
  <c r="K74" i="90"/>
  <c r="M91" i="92"/>
  <c r="C84" i="92"/>
  <c r="M100" i="92"/>
  <c r="N100" i="92"/>
  <c r="D128" i="92"/>
  <c r="S6" i="92"/>
  <c r="D78" i="92"/>
  <c r="C78" i="92"/>
  <c r="C89" i="92"/>
  <c r="B89" i="92"/>
  <c r="D85" i="92"/>
  <c r="E79" i="92"/>
  <c r="J179" i="92"/>
  <c r="K178" i="92"/>
  <c r="O4" i="83"/>
  <c r="C76" i="90"/>
  <c r="F3" i="83"/>
  <c r="I3" i="83"/>
  <c r="I1" i="83"/>
  <c r="V84" i="407"/>
  <c r="W85" i="407"/>
  <c r="DH182" i="407"/>
  <c r="CE82" i="407"/>
  <c r="E79" i="407"/>
  <c r="CI80" i="407"/>
  <c r="R79" i="407"/>
  <c r="D79" i="407"/>
  <c r="U78" i="407"/>
  <c r="G80" i="407"/>
  <c r="AF81" i="407"/>
  <c r="B81" i="407"/>
  <c r="CG81" i="407"/>
  <c r="CI64" i="407"/>
  <c r="R63" i="407"/>
  <c r="D63" i="407"/>
  <c r="G64" i="407"/>
  <c r="U62" i="407"/>
  <c r="U64" i="407"/>
  <c r="B65" i="407"/>
  <c r="CG65" i="407"/>
  <c r="AF65" i="407"/>
  <c r="D175" i="407"/>
  <c r="F111" i="407"/>
  <c r="DG182" i="407"/>
  <c r="CD82" i="407"/>
  <c r="CI76" i="407"/>
  <c r="R75" i="407"/>
  <c r="E75" i="407"/>
  <c r="D75" i="407"/>
  <c r="U74" i="407"/>
  <c r="U76" i="407"/>
  <c r="G76" i="407"/>
  <c r="AF77" i="407"/>
  <c r="B77" i="407"/>
  <c r="CG77" i="407"/>
  <c r="A86" i="407"/>
  <c r="Q84" i="407"/>
  <c r="K181" i="407"/>
  <c r="CG84" i="407"/>
  <c r="AE86" i="407"/>
  <c r="BP84" i="407"/>
  <c r="BP83" i="407"/>
  <c r="AE85" i="407"/>
  <c r="DF182" i="407"/>
  <c r="CI72" i="407"/>
  <c r="R71" i="407"/>
  <c r="E71" i="407"/>
  <c r="D71" i="407"/>
  <c r="G72" i="407"/>
  <c r="U70" i="407"/>
  <c r="U72" i="407"/>
  <c r="B73" i="407"/>
  <c r="CG73" i="407"/>
  <c r="AF73" i="407"/>
  <c r="AB12" i="404"/>
  <c r="AB11" i="404"/>
  <c r="AB13" i="404"/>
  <c r="AW18" i="350"/>
  <c r="AY6" i="350"/>
  <c r="AZ6" i="350"/>
  <c r="AY7" i="350"/>
  <c r="AZ7" i="350"/>
  <c r="AW17" i="350"/>
  <c r="AW6" i="350"/>
  <c r="AX6" i="350"/>
  <c r="AW12" i="350"/>
  <c r="AW13" i="350"/>
  <c r="AW16" i="350"/>
  <c r="AW11" i="350"/>
  <c r="CG63" i="350"/>
  <c r="A61" i="350"/>
  <c r="M178" i="350"/>
  <c r="CG51" i="350"/>
  <c r="M175" i="350"/>
  <c r="A49" i="350"/>
  <c r="E48" i="350"/>
  <c r="C47" i="350"/>
  <c r="CG47" i="350"/>
  <c r="M174" i="350"/>
  <c r="A45" i="350"/>
  <c r="L47" i="350"/>
  <c r="C46" i="350"/>
  <c r="Q173" i="350"/>
  <c r="CG40" i="350"/>
  <c r="D43" i="350"/>
  <c r="AW8" i="350"/>
  <c r="D31" i="350"/>
  <c r="AF31" i="350"/>
  <c r="K106" i="350"/>
  <c r="CG28" i="350"/>
  <c r="Q170" i="350"/>
  <c r="M170" i="350"/>
  <c r="CG30" i="350"/>
  <c r="CI33" i="350"/>
  <c r="L37" i="350"/>
  <c r="D37" i="350"/>
  <c r="E35" i="350"/>
  <c r="C34" i="350"/>
  <c r="L34" i="350"/>
  <c r="C33" i="350"/>
  <c r="D35" i="350"/>
  <c r="Q171" i="350"/>
  <c r="CG32" i="350"/>
  <c r="CJ33" i="350"/>
  <c r="EB3" i="350"/>
  <c r="R34" i="350"/>
  <c r="P172" i="350"/>
  <c r="R38" i="350"/>
  <c r="C172" i="350"/>
  <c r="CH37" i="350"/>
  <c r="L36" i="350"/>
  <c r="G37" i="350"/>
  <c r="C36" i="350"/>
  <c r="F37" i="350"/>
  <c r="D38" i="350"/>
  <c r="Q37" i="350"/>
  <c r="D170" i="350"/>
  <c r="F106" i="350"/>
  <c r="F30" i="350"/>
  <c r="F31" i="350"/>
  <c r="AY11" i="350"/>
  <c r="AY16" i="350"/>
  <c r="AY12" i="350"/>
  <c r="AY17" i="350"/>
  <c r="AY13" i="350"/>
  <c r="AY8" i="350"/>
  <c r="AY18" i="350"/>
  <c r="O173" i="350"/>
  <c r="D172" i="350"/>
  <c r="F108" i="350"/>
  <c r="DB186" i="350"/>
  <c r="BX86" i="350"/>
  <c r="AM4" i="350"/>
  <c r="AN4" i="350"/>
  <c r="D176" i="350"/>
  <c r="F112" i="350"/>
  <c r="U36" i="350"/>
  <c r="G38" i="350"/>
  <c r="A37" i="350"/>
  <c r="G59" i="350"/>
  <c r="U57" i="350"/>
  <c r="U59" i="350"/>
  <c r="CI59" i="350"/>
  <c r="G55" i="350"/>
  <c r="U53" i="350"/>
  <c r="U55" i="350"/>
  <c r="CI55" i="350"/>
  <c r="U38" i="350"/>
  <c r="E37" i="350"/>
  <c r="CI38" i="350"/>
  <c r="R37" i="350"/>
  <c r="CG39" i="350"/>
  <c r="O75" i="350"/>
  <c r="B42" i="350"/>
  <c r="CH42" i="350"/>
  <c r="O37" i="350"/>
  <c r="D91" i="92"/>
  <c r="L91" i="92"/>
  <c r="J76" i="90"/>
  <c r="J79" i="90"/>
  <c r="AA79" i="90"/>
  <c r="AB74" i="90"/>
  <c r="J180" i="92"/>
  <c r="K179" i="92"/>
  <c r="L80" i="92"/>
  <c r="D80" i="92"/>
  <c r="C85" i="92"/>
  <c r="C82" i="92"/>
  <c r="D84" i="92"/>
  <c r="D86" i="92"/>
  <c r="H89" i="92"/>
  <c r="H82" i="92"/>
  <c r="U82" i="92"/>
  <c r="D83" i="92"/>
  <c r="N6" i="83"/>
  <c r="T2" i="83"/>
  <c r="T76" i="90"/>
  <c r="C79" i="90"/>
  <c r="T79" i="90"/>
  <c r="G73" i="407"/>
  <c r="V72" i="407"/>
  <c r="A71" i="407"/>
  <c r="V64" i="407"/>
  <c r="G65" i="407"/>
  <c r="A63" i="407"/>
  <c r="E177" i="407"/>
  <c r="G113" i="407"/>
  <c r="H113" i="407"/>
  <c r="CJ72" i="407"/>
  <c r="Q72" i="407"/>
  <c r="AE71" i="407"/>
  <c r="K114" i="407"/>
  <c r="AG77" i="407"/>
  <c r="E175" i="407"/>
  <c r="G111" i="407"/>
  <c r="H111" i="407"/>
  <c r="CJ64" i="407"/>
  <c r="AE63" i="407"/>
  <c r="Q64" i="407"/>
  <c r="O175" i="407"/>
  <c r="O181" i="407"/>
  <c r="E179" i="407"/>
  <c r="G115" i="407"/>
  <c r="H115" i="407"/>
  <c r="CJ80" i="407"/>
  <c r="Q80" i="407"/>
  <c r="AE79" i="407"/>
  <c r="G77" i="407"/>
  <c r="V76" i="407"/>
  <c r="A75" i="407"/>
  <c r="AC19" i="407"/>
  <c r="CI82" i="407"/>
  <c r="E178" i="407"/>
  <c r="G114" i="407"/>
  <c r="H114" i="407"/>
  <c r="CJ76" i="407"/>
  <c r="Q76" i="407"/>
  <c r="AE75" i="407"/>
  <c r="O75" i="407"/>
  <c r="E19" i="407"/>
  <c r="K113" i="407"/>
  <c r="AG73" i="407"/>
  <c r="CC82" i="407"/>
  <c r="CB82" i="407"/>
  <c r="Q181" i="407"/>
  <c r="S85" i="407"/>
  <c r="Q62" i="407"/>
  <c r="K111" i="407"/>
  <c r="AG65" i="407"/>
  <c r="K115" i="407"/>
  <c r="AG81" i="407"/>
  <c r="AF82" i="407"/>
  <c r="X85" i="407"/>
  <c r="W84" i="407"/>
  <c r="CG83" i="407"/>
  <c r="V83" i="407"/>
  <c r="A83" i="407"/>
  <c r="V80" i="407"/>
  <c r="G81" i="407"/>
  <c r="A79" i="407"/>
  <c r="AE13" i="404"/>
  <c r="E13" i="404"/>
  <c r="AE11" i="404"/>
  <c r="E11" i="404"/>
  <c r="AE12" i="404"/>
  <c r="E12" i="404"/>
  <c r="AW4" i="350"/>
  <c r="AX4" i="350"/>
  <c r="Q178" i="350"/>
  <c r="D64" i="350"/>
  <c r="CG61" i="350"/>
  <c r="D52" i="350"/>
  <c r="Q175" i="350"/>
  <c r="CG49" i="350"/>
  <c r="D174" i="350"/>
  <c r="F110" i="350"/>
  <c r="F48" i="350"/>
  <c r="F47" i="350"/>
  <c r="AF48" i="350"/>
  <c r="K110" i="350"/>
  <c r="CG45" i="350"/>
  <c r="D48" i="350"/>
  <c r="Q174" i="350"/>
  <c r="AG31" i="350"/>
  <c r="M187" i="350"/>
  <c r="L41" i="350"/>
  <c r="B31" i="350"/>
  <c r="E29" i="350"/>
  <c r="D171" i="350"/>
  <c r="F107" i="350"/>
  <c r="F35" i="350"/>
  <c r="F34" i="350"/>
  <c r="AF35" i="350"/>
  <c r="K107" i="350"/>
  <c r="EH3" i="350"/>
  <c r="CJ37" i="350"/>
  <c r="C173" i="350"/>
  <c r="CH41" i="350"/>
  <c r="P173" i="350"/>
  <c r="C40" i="350"/>
  <c r="L40" i="350"/>
  <c r="Q41" i="350"/>
  <c r="G41" i="350"/>
  <c r="F41" i="350"/>
  <c r="D42" i="350"/>
  <c r="K43" i="350"/>
  <c r="CI37" i="350"/>
  <c r="K39" i="350"/>
  <c r="CZ186" i="350"/>
  <c r="BR86" i="350"/>
  <c r="CI30" i="350"/>
  <c r="R29" i="350"/>
  <c r="D29" i="350"/>
  <c r="U28" i="350"/>
  <c r="U30" i="350"/>
  <c r="G30" i="350"/>
  <c r="AY4" i="350"/>
  <c r="AZ4" i="350"/>
  <c r="BT86" i="350"/>
  <c r="AE37" i="350"/>
  <c r="O172" i="350"/>
  <c r="O67" i="350"/>
  <c r="G39" i="350"/>
  <c r="V38" i="350"/>
  <c r="V37" i="350"/>
  <c r="B63" i="350"/>
  <c r="CH63" i="350"/>
  <c r="O58" i="350"/>
  <c r="V59" i="350"/>
  <c r="G60" i="350"/>
  <c r="A58" i="350"/>
  <c r="CG60" i="350"/>
  <c r="B59" i="350"/>
  <c r="CH59" i="350"/>
  <c r="O54" i="350"/>
  <c r="CG56" i="350"/>
  <c r="B55" i="350"/>
  <c r="CH55" i="350"/>
  <c r="V55" i="350"/>
  <c r="A54" i="350"/>
  <c r="G56" i="350"/>
  <c r="B51" i="350"/>
  <c r="CH51" i="350"/>
  <c r="E172" i="350"/>
  <c r="G108" i="350"/>
  <c r="H108" i="350"/>
  <c r="Q38" i="350"/>
  <c r="CJ38" i="350"/>
  <c r="B47" i="350"/>
  <c r="CH47" i="350"/>
  <c r="B34" i="350"/>
  <c r="DB173" i="350"/>
  <c r="P36" i="350"/>
  <c r="Q35" i="350"/>
  <c r="S38" i="350"/>
  <c r="AE39" i="350"/>
  <c r="CG37" i="350"/>
  <c r="A39" i="350"/>
  <c r="BP37" i="350"/>
  <c r="AE38" i="350"/>
  <c r="J82" i="92"/>
  <c r="N7" i="83"/>
  <c r="P6" i="83"/>
  <c r="P7" i="83"/>
  <c r="AA76" i="90"/>
  <c r="C79" i="92"/>
  <c r="C75" i="92"/>
  <c r="C74" i="90"/>
  <c r="T74" i="90"/>
  <c r="E16" i="92"/>
  <c r="A3" i="92"/>
  <c r="D82" i="92"/>
  <c r="H74" i="90"/>
  <c r="H79" i="92"/>
  <c r="J181" i="92"/>
  <c r="K180" i="92"/>
  <c r="BP82" i="407"/>
  <c r="AA19" i="407"/>
  <c r="DG179" i="407"/>
  <c r="V77" i="407"/>
  <c r="CG75" i="407"/>
  <c r="BP75" i="407"/>
  <c r="AE77" i="407"/>
  <c r="AE76" i="407"/>
  <c r="P74" i="407"/>
  <c r="Q73" i="407"/>
  <c r="AB8" i="407"/>
  <c r="S76" i="407"/>
  <c r="A77" i="407"/>
  <c r="V74" i="407"/>
  <c r="W76" i="407"/>
  <c r="V75" i="407"/>
  <c r="P62" i="407"/>
  <c r="BP63" i="407"/>
  <c r="AE65" i="407"/>
  <c r="AE64" i="407"/>
  <c r="CG63" i="407"/>
  <c r="V65" i="407"/>
  <c r="Q60" i="407"/>
  <c r="AH10" i="407"/>
  <c r="S64" i="407"/>
  <c r="A65" i="407"/>
  <c r="H116" i="407"/>
  <c r="G127" i="407"/>
  <c r="X84" i="407"/>
  <c r="Y85" i="407"/>
  <c r="W64" i="407"/>
  <c r="V62" i="407"/>
  <c r="V63" i="407"/>
  <c r="DH180" i="407"/>
  <c r="CG79" i="407"/>
  <c r="BP79" i="407"/>
  <c r="AE80" i="407"/>
  <c r="V81" i="407"/>
  <c r="P78" i="407"/>
  <c r="Q77" i="407"/>
  <c r="Z14" i="407"/>
  <c r="AE81" i="407"/>
  <c r="S80" i="407"/>
  <c r="A81" i="407"/>
  <c r="B127" i="407"/>
  <c r="X82" i="407"/>
  <c r="AG82" i="407"/>
  <c r="CJ82" i="407"/>
  <c r="DF178" i="407"/>
  <c r="AE73" i="407"/>
  <c r="AE72" i="407"/>
  <c r="V73" i="407"/>
  <c r="BP71" i="407"/>
  <c r="P70" i="407"/>
  <c r="Q69" i="407"/>
  <c r="AD8" i="407"/>
  <c r="CG71" i="407"/>
  <c r="A73" i="407"/>
  <c r="S72" i="407"/>
  <c r="AE19" i="407"/>
  <c r="W72" i="407"/>
  <c r="V71" i="407"/>
  <c r="V70" i="407"/>
  <c r="W80" i="407"/>
  <c r="V79" i="407"/>
  <c r="V78" i="407"/>
  <c r="E84" i="407"/>
  <c r="R86" i="407"/>
  <c r="Q86" i="407"/>
  <c r="AU6" i="350"/>
  <c r="AV6" i="350"/>
  <c r="AU7" i="350"/>
  <c r="AV7" i="350"/>
  <c r="AS6" i="350"/>
  <c r="AT6" i="350"/>
  <c r="AS7" i="350"/>
  <c r="AT7" i="350"/>
  <c r="AS16" i="350"/>
  <c r="AT16" i="350"/>
  <c r="AS18" i="350"/>
  <c r="AT18" i="350"/>
  <c r="AS12" i="350"/>
  <c r="AT12" i="350"/>
  <c r="AS13" i="350"/>
  <c r="AT13" i="350"/>
  <c r="AS11" i="350"/>
  <c r="AG48" i="350"/>
  <c r="U45" i="350"/>
  <c r="U47" i="350"/>
  <c r="G47" i="350"/>
  <c r="B48" i="350"/>
  <c r="CG48" i="350"/>
  <c r="DD186" i="350"/>
  <c r="CI47" i="350"/>
  <c r="AS17" i="350"/>
  <c r="AT17" i="350"/>
  <c r="AS8" i="350"/>
  <c r="E33" i="350"/>
  <c r="AG35" i="350"/>
  <c r="L46" i="350"/>
  <c r="D46" i="350"/>
  <c r="O46" i="350"/>
  <c r="E46" i="350"/>
  <c r="G34" i="350"/>
  <c r="D33" i="350"/>
  <c r="DA186" i="350"/>
  <c r="BS86" i="350"/>
  <c r="U32" i="350"/>
  <c r="B35" i="350"/>
  <c r="CG35" i="350"/>
  <c r="U34" i="350"/>
  <c r="CI34" i="350"/>
  <c r="R33" i="350"/>
  <c r="V39" i="350"/>
  <c r="B38" i="350"/>
  <c r="CH38" i="350"/>
  <c r="CH34" i="350"/>
  <c r="R42" i="350"/>
  <c r="AU16" i="350"/>
  <c r="AV16" i="350"/>
  <c r="AU13" i="350"/>
  <c r="AV13" i="350"/>
  <c r="AU17" i="350"/>
  <c r="AV17" i="350"/>
  <c r="AU8" i="350"/>
  <c r="AV8" i="350"/>
  <c r="AU12" i="350"/>
  <c r="AV12" i="350"/>
  <c r="AU11" i="350"/>
  <c r="AV11" i="350"/>
  <c r="AU18" i="350"/>
  <c r="AV18" i="350"/>
  <c r="CI41" i="350"/>
  <c r="E42" i="350"/>
  <c r="P174" i="350"/>
  <c r="R47" i="350"/>
  <c r="CH46" i="350"/>
  <c r="C174" i="350"/>
  <c r="Q46" i="350"/>
  <c r="L45" i="350"/>
  <c r="F46" i="350"/>
  <c r="D47" i="350"/>
  <c r="K48" i="350"/>
  <c r="G46" i="350"/>
  <c r="C45" i="350"/>
  <c r="R46" i="350"/>
  <c r="CJ41" i="350"/>
  <c r="EN3" i="350"/>
  <c r="CG31" i="350"/>
  <c r="G31" i="350"/>
  <c r="V30" i="350"/>
  <c r="A29" i="350"/>
  <c r="Q30" i="350"/>
  <c r="O29" i="350"/>
  <c r="E170" i="350"/>
  <c r="G106" i="350"/>
  <c r="H106" i="350"/>
  <c r="AE29" i="350"/>
  <c r="O170" i="350"/>
  <c r="CJ30" i="350"/>
  <c r="O71" i="350"/>
  <c r="V36" i="350"/>
  <c r="W38" i="350"/>
  <c r="W37" i="350"/>
  <c r="N172" i="350"/>
  <c r="W59" i="350"/>
  <c r="V58" i="350"/>
  <c r="V57" i="350"/>
  <c r="A60" i="350"/>
  <c r="AE59" i="350"/>
  <c r="AE60" i="350"/>
  <c r="V60" i="350"/>
  <c r="CG58" i="350"/>
  <c r="P57" i="350"/>
  <c r="BP58" i="350"/>
  <c r="S59" i="350"/>
  <c r="AE56" i="350"/>
  <c r="A56" i="350"/>
  <c r="V56" i="350"/>
  <c r="CG54" i="350"/>
  <c r="BP54" i="350"/>
  <c r="AE55" i="350"/>
  <c r="P53" i="350"/>
  <c r="S55" i="350"/>
  <c r="V53" i="350"/>
  <c r="W55" i="350"/>
  <c r="V54" i="350"/>
  <c r="AZ17" i="350"/>
  <c r="AZ16" i="350"/>
  <c r="AZ12" i="350"/>
  <c r="AZ11" i="350"/>
  <c r="B72" i="350"/>
  <c r="CH72" i="350"/>
  <c r="J79" i="92"/>
  <c r="J75" i="92"/>
  <c r="J74" i="90"/>
  <c r="AA74" i="90"/>
  <c r="P12" i="92"/>
  <c r="I6" i="92"/>
  <c r="L12" i="92"/>
  <c r="A74" i="90"/>
  <c r="M74" i="90"/>
  <c r="Y74" i="90"/>
  <c r="L82" i="92"/>
  <c r="D74" i="90"/>
  <c r="D79" i="92"/>
  <c r="D75" i="92"/>
  <c r="J182" i="92"/>
  <c r="K182" i="92"/>
  <c r="K181" i="92"/>
  <c r="AB14" i="407"/>
  <c r="AD14" i="407"/>
  <c r="Z10" i="407"/>
  <c r="Z6" i="407"/>
  <c r="Z7" i="407"/>
  <c r="Z12" i="407"/>
  <c r="AH14" i="407"/>
  <c r="AH11" i="407"/>
  <c r="X80" i="407"/>
  <c r="W79" i="407"/>
  <c r="K86" i="407"/>
  <c r="AD84" i="407"/>
  <c r="E127" i="407"/>
  <c r="AB82" i="407"/>
  <c r="X72" i="407"/>
  <c r="W71" i="407"/>
  <c r="AB12" i="407"/>
  <c r="BP19" i="407"/>
  <c r="A19" i="407"/>
  <c r="Z8" i="407"/>
  <c r="X64" i="407"/>
  <c r="W63" i="407"/>
  <c r="AD12" i="407"/>
  <c r="Z11" i="407"/>
  <c r="Z85" i="407"/>
  <c r="Y84" i="407"/>
  <c r="X76" i="407"/>
  <c r="W75" i="407"/>
  <c r="B26" i="86"/>
  <c r="Z10" i="404"/>
  <c r="Y10" i="404"/>
  <c r="H10" i="404"/>
  <c r="AQ6" i="350"/>
  <c r="AR6" i="350"/>
  <c r="AQ7" i="350"/>
  <c r="AR7" i="350"/>
  <c r="AQ17" i="350"/>
  <c r="AR17" i="350"/>
  <c r="AQ18" i="350"/>
  <c r="AR18" i="350"/>
  <c r="AQ13" i="350"/>
  <c r="AR13" i="350"/>
  <c r="AQ16" i="350"/>
  <c r="AQ12" i="350"/>
  <c r="AR12" i="350"/>
  <c r="AQ11" i="350"/>
  <c r="AR11" i="350"/>
  <c r="AQ8" i="350"/>
  <c r="BZ86" i="350"/>
  <c r="BV86" i="350"/>
  <c r="A46" i="350"/>
  <c r="Q43" i="350"/>
  <c r="V47" i="350"/>
  <c r="G48" i="350"/>
  <c r="E43" i="350"/>
  <c r="C42" i="350"/>
  <c r="L42" i="350"/>
  <c r="C41" i="350"/>
  <c r="AS4" i="350"/>
  <c r="AT4" i="350"/>
  <c r="E659" i="374"/>
  <c r="D659" i="374"/>
  <c r="O174" i="350"/>
  <c r="AE46" i="350"/>
  <c r="CJ47" i="350"/>
  <c r="Q47" i="350"/>
  <c r="E174" i="350"/>
  <c r="G110" i="350"/>
  <c r="H110" i="350"/>
  <c r="L50" i="350"/>
  <c r="O171" i="350"/>
  <c r="O33" i="350"/>
  <c r="Q34" i="350"/>
  <c r="CJ34" i="350"/>
  <c r="AE33" i="350"/>
  <c r="E171" i="350"/>
  <c r="G107" i="350"/>
  <c r="H107" i="350"/>
  <c r="A33" i="350"/>
  <c r="G35" i="350"/>
  <c r="V34" i="350"/>
  <c r="C175" i="350"/>
  <c r="CH50" i="350"/>
  <c r="P175" i="350"/>
  <c r="R51" i="350"/>
  <c r="F50" i="350"/>
  <c r="D51" i="350"/>
  <c r="L49" i="350"/>
  <c r="G50" i="350"/>
  <c r="C49" i="350"/>
  <c r="Q50" i="350"/>
  <c r="CJ46" i="350"/>
  <c r="ET3" i="350"/>
  <c r="CI46" i="350"/>
  <c r="AU4" i="350"/>
  <c r="AV4" i="350"/>
  <c r="BP29" i="350"/>
  <c r="AE30" i="350"/>
  <c r="CG29" i="350"/>
  <c r="P28" i="350"/>
  <c r="A31" i="350"/>
  <c r="S30" i="350"/>
  <c r="AE31" i="350"/>
  <c r="Q27" i="350"/>
  <c r="V31" i="350"/>
  <c r="CZ171" i="350"/>
  <c r="V29" i="350"/>
  <c r="W30" i="350"/>
  <c r="V28" i="350"/>
  <c r="B76" i="350"/>
  <c r="CH76" i="350"/>
  <c r="B14" i="86"/>
  <c r="B15" i="86"/>
  <c r="B27" i="86"/>
  <c r="B68" i="350"/>
  <c r="CH68" i="350"/>
  <c r="B80" i="350"/>
  <c r="CH80" i="350"/>
  <c r="O83" i="350"/>
  <c r="B84" i="350"/>
  <c r="CH84" i="350"/>
  <c r="X38" i="350"/>
  <c r="Y38" i="350"/>
  <c r="AL13" i="350"/>
  <c r="AL8" i="350"/>
  <c r="AL16" i="350"/>
  <c r="AL12" i="350"/>
  <c r="AL11" i="350"/>
  <c r="AL18" i="350"/>
  <c r="AL17" i="350"/>
  <c r="X59" i="350"/>
  <c r="W58" i="350"/>
  <c r="N177" i="350"/>
  <c r="AN18" i="350"/>
  <c r="AN8" i="350"/>
  <c r="AN17" i="350"/>
  <c r="AN16" i="350"/>
  <c r="AN13" i="350"/>
  <c r="AN12" i="350"/>
  <c r="W54" i="350"/>
  <c r="N176" i="350"/>
  <c r="X55" i="350"/>
  <c r="AX16" i="350"/>
  <c r="AX11" i="350"/>
  <c r="AX17" i="350"/>
  <c r="AX12" i="350"/>
  <c r="W36" i="350"/>
  <c r="L39" i="350"/>
  <c r="L13" i="92"/>
  <c r="L14" i="92"/>
  <c r="AF74" i="90"/>
  <c r="B8" i="86"/>
  <c r="B34" i="86"/>
  <c r="B7" i="86"/>
  <c r="B35" i="86"/>
  <c r="B5" i="86"/>
  <c r="L79" i="92"/>
  <c r="K15" i="92"/>
  <c r="U74" i="90"/>
  <c r="AD74" i="90"/>
  <c r="B32" i="86"/>
  <c r="P74" i="90"/>
  <c r="Z4" i="407"/>
  <c r="CJ18" i="407"/>
  <c r="W62" i="407"/>
  <c r="L65" i="407"/>
  <c r="N175" i="407"/>
  <c r="N181" i="407"/>
  <c r="C84" i="407"/>
  <c r="L73" i="407"/>
  <c r="W70" i="407"/>
  <c r="X71" i="407"/>
  <c r="Y72" i="407"/>
  <c r="X70" i="407"/>
  <c r="L77" i="407"/>
  <c r="W74" i="407"/>
  <c r="X63" i="407"/>
  <c r="Y64" i="407"/>
  <c r="X62" i="407"/>
  <c r="X75" i="407"/>
  <c r="X74" i="407"/>
  <c r="Y76" i="407"/>
  <c r="I86" i="407"/>
  <c r="CH85" i="407"/>
  <c r="V19" i="407"/>
  <c r="CG19" i="407"/>
  <c r="Z84" i="407"/>
  <c r="AA85" i="407"/>
  <c r="L81" i="407"/>
  <c r="W78" i="407"/>
  <c r="Y80" i="407"/>
  <c r="X79" i="407"/>
  <c r="X78" i="407"/>
  <c r="AD10" i="404"/>
  <c r="AC10" i="404"/>
  <c r="AB10" i="404"/>
  <c r="AE10" i="404"/>
  <c r="B31" i="86"/>
  <c r="AR16" i="350"/>
  <c r="AQ4" i="350"/>
  <c r="AR4" i="350"/>
  <c r="E51" i="350"/>
  <c r="K52" i="350"/>
  <c r="W47" i="350"/>
  <c r="V45" i="350"/>
  <c r="V46" i="350"/>
  <c r="P45" i="350"/>
  <c r="CG46" i="350"/>
  <c r="BP46" i="350"/>
  <c r="V48" i="350"/>
  <c r="DD180" i="350"/>
  <c r="AE47" i="350"/>
  <c r="S47" i="350"/>
  <c r="AE48" i="350"/>
  <c r="A48" i="350"/>
  <c r="D173" i="350"/>
  <c r="F109" i="350"/>
  <c r="F42" i="350"/>
  <c r="F43" i="350"/>
  <c r="O187" i="350"/>
  <c r="R96" i="350"/>
  <c r="L54" i="350"/>
  <c r="A35" i="350"/>
  <c r="Q31" i="350"/>
  <c r="BP33" i="350"/>
  <c r="S34" i="350"/>
  <c r="V35" i="350"/>
  <c r="AE35" i="350"/>
  <c r="DA172" i="350"/>
  <c r="AE34" i="350"/>
  <c r="P32" i="350"/>
  <c r="CG33" i="350"/>
  <c r="V33" i="350"/>
  <c r="V32" i="350"/>
  <c r="W34" i="350"/>
  <c r="CI50" i="350"/>
  <c r="CJ50" i="350"/>
  <c r="EZ3" i="350"/>
  <c r="C176" i="350"/>
  <c r="CH54" i="350"/>
  <c r="P176" i="350"/>
  <c r="L53" i="350"/>
  <c r="C53" i="350"/>
  <c r="Q54" i="350"/>
  <c r="F54" i="350"/>
  <c r="D55" i="350"/>
  <c r="G54" i="350"/>
  <c r="R54" i="350"/>
  <c r="X30" i="350"/>
  <c r="W29" i="350"/>
  <c r="AF100" i="350"/>
  <c r="X36" i="350"/>
  <c r="X37" i="350"/>
  <c r="L60" i="350"/>
  <c r="W57" i="350"/>
  <c r="X57" i="350"/>
  <c r="Y59" i="350"/>
  <c r="X58" i="350"/>
  <c r="X53" i="350"/>
  <c r="Y55" i="350"/>
  <c r="X54" i="350"/>
  <c r="L56" i="350"/>
  <c r="W53" i="350"/>
  <c r="AE36" i="350"/>
  <c r="F172" i="350"/>
  <c r="A108" i="350"/>
  <c r="Z38" i="350"/>
  <c r="Y37" i="350"/>
  <c r="Y36" i="350"/>
  <c r="AI74" i="90"/>
  <c r="AJ74" i="90"/>
  <c r="AK74" i="90"/>
  <c r="AM74" i="90"/>
  <c r="AN74" i="90"/>
  <c r="AL74" i="90"/>
  <c r="AE62" i="407"/>
  <c r="F175" i="407"/>
  <c r="A111" i="407"/>
  <c r="AA84" i="407"/>
  <c r="AB85" i="407"/>
  <c r="Y71" i="407"/>
  <c r="Z72" i="407"/>
  <c r="Y70" i="407"/>
  <c r="Y63" i="407"/>
  <c r="Z64" i="407"/>
  <c r="Y62" i="407"/>
  <c r="F177" i="407"/>
  <c r="A113" i="407"/>
  <c r="AE70" i="407"/>
  <c r="Y78" i="407"/>
  <c r="Y79" i="407"/>
  <c r="Z80" i="407"/>
  <c r="D184" i="407"/>
  <c r="F119" i="407"/>
  <c r="BL119" i="407"/>
  <c r="J119" i="407"/>
  <c r="B119" i="407"/>
  <c r="B86" i="407"/>
  <c r="Z76" i="407"/>
  <c r="Y75" i="407"/>
  <c r="Y74" i="407"/>
  <c r="F178" i="407"/>
  <c r="A114" i="407"/>
  <c r="AE74" i="407"/>
  <c r="F179" i="407"/>
  <c r="A115" i="407"/>
  <c r="AE78" i="407"/>
  <c r="E10" i="404"/>
  <c r="C10" i="404"/>
  <c r="D10" i="404"/>
  <c r="C108" i="350"/>
  <c r="BL108" i="350"/>
  <c r="AO6" i="350"/>
  <c r="AP6" i="350"/>
  <c r="AO7" i="350"/>
  <c r="AP7" i="350"/>
  <c r="AO17" i="350"/>
  <c r="AP17" i="350"/>
  <c r="AO18" i="350"/>
  <c r="AP18" i="350"/>
  <c r="AO13" i="350"/>
  <c r="AP13" i="350"/>
  <c r="AO16" i="350"/>
  <c r="AP16" i="350"/>
  <c r="AO12" i="350"/>
  <c r="AP12" i="350"/>
  <c r="AO11" i="350"/>
  <c r="AO8" i="350"/>
  <c r="E52" i="350"/>
  <c r="C51" i="350"/>
  <c r="L51" i="350"/>
  <c r="C50" i="350"/>
  <c r="W46" i="350"/>
  <c r="X47" i="350"/>
  <c r="B43" i="350"/>
  <c r="CG43" i="350"/>
  <c r="U40" i="350"/>
  <c r="U42" i="350"/>
  <c r="G42" i="350"/>
  <c r="DC186" i="350"/>
  <c r="CI42" i="350"/>
  <c r="AF43" i="350"/>
  <c r="E41" i="350"/>
  <c r="R41" i="350"/>
  <c r="D41" i="350"/>
  <c r="L58" i="350"/>
  <c r="O175" i="350"/>
  <c r="D54" i="350"/>
  <c r="Q52" i="350"/>
  <c r="AN11" i="350"/>
  <c r="W33" i="350"/>
  <c r="X34" i="350"/>
  <c r="R55" i="350"/>
  <c r="CI54" i="350"/>
  <c r="E55" i="350"/>
  <c r="E56" i="350"/>
  <c r="CJ54" i="350"/>
  <c r="FF3" i="350"/>
  <c r="CH58" i="350"/>
  <c r="C177" i="350"/>
  <c r="P177" i="350"/>
  <c r="R59" i="350"/>
  <c r="L57" i="350"/>
  <c r="C57" i="350"/>
  <c r="G58" i="350"/>
  <c r="Q58" i="350"/>
  <c r="F58" i="350"/>
  <c r="D59" i="350"/>
  <c r="R58" i="350"/>
  <c r="N170" i="350"/>
  <c r="W28" i="350"/>
  <c r="L31" i="350"/>
  <c r="X28" i="350"/>
  <c r="Y30" i="350"/>
  <c r="X29" i="350"/>
  <c r="Y57" i="350"/>
  <c r="Y58" i="350"/>
  <c r="Z59" i="350"/>
  <c r="F177" i="350"/>
  <c r="A113" i="350"/>
  <c r="AE57" i="350"/>
  <c r="F176" i="350"/>
  <c r="A112" i="350"/>
  <c r="AE53" i="350"/>
  <c r="Z55" i="350"/>
  <c r="Y53" i="350"/>
  <c r="Y54" i="350"/>
  <c r="Z36" i="350"/>
  <c r="Z37" i="350"/>
  <c r="AA38" i="350"/>
  <c r="BK108" i="350"/>
  <c r="AH74" i="90"/>
  <c r="BK111" i="407"/>
  <c r="BL111" i="407"/>
  <c r="CG86" i="407"/>
  <c r="C86" i="407"/>
  <c r="V86" i="407"/>
  <c r="AA64" i="407"/>
  <c r="Z62" i="407"/>
  <c r="Z63" i="407"/>
  <c r="C119" i="407"/>
  <c r="C125" i="407"/>
  <c r="E119" i="407"/>
  <c r="BK115" i="407"/>
  <c r="BL115" i="407"/>
  <c r="Z79" i="407"/>
  <c r="AA80" i="407"/>
  <c r="Z78" i="407"/>
  <c r="AA72" i="407"/>
  <c r="Z70" i="407"/>
  <c r="Z71" i="407"/>
  <c r="BK114" i="407"/>
  <c r="BL114" i="407"/>
  <c r="AB84" i="407"/>
  <c r="AC85" i="407"/>
  <c r="AC84" i="407"/>
  <c r="Z74" i="407"/>
  <c r="AA76" i="407"/>
  <c r="Z75" i="407"/>
  <c r="BK113" i="407"/>
  <c r="BL113" i="407"/>
  <c r="C113" i="350"/>
  <c r="BL113" i="350"/>
  <c r="C112" i="350"/>
  <c r="BL112" i="350"/>
  <c r="AG43" i="350"/>
  <c r="K109" i="350"/>
  <c r="AO4" i="350"/>
  <c r="AP4" i="350"/>
  <c r="D175" i="350"/>
  <c r="F111" i="350"/>
  <c r="F52" i="350"/>
  <c r="F51" i="350"/>
  <c r="N175" i="350"/>
  <c r="X46" i="350"/>
  <c r="X45" i="350"/>
  <c r="Y47" i="350"/>
  <c r="N174" i="350"/>
  <c r="L48" i="350"/>
  <c r="W45" i="350"/>
  <c r="BU86" i="350"/>
  <c r="BY86" i="350"/>
  <c r="V42" i="350"/>
  <c r="G43" i="350"/>
  <c r="A41" i="350"/>
  <c r="Q42" i="350"/>
  <c r="O41" i="350"/>
  <c r="CJ42" i="350"/>
  <c r="E173" i="350"/>
  <c r="G109" i="350"/>
  <c r="H109" i="350"/>
  <c r="AE41" i="350"/>
  <c r="AE28" i="350"/>
  <c r="F170" i="350"/>
  <c r="A106" i="350"/>
  <c r="O176" i="350"/>
  <c r="CJ55" i="350"/>
  <c r="AE54" i="350"/>
  <c r="E176" i="350"/>
  <c r="G112" i="350"/>
  <c r="H112" i="350"/>
  <c r="Q55" i="350"/>
  <c r="D58" i="350"/>
  <c r="Q56" i="350"/>
  <c r="L62" i="350"/>
  <c r="X32" i="350"/>
  <c r="Y34" i="350"/>
  <c r="X33" i="350"/>
  <c r="N171" i="350"/>
  <c r="W32" i="350"/>
  <c r="L35" i="350"/>
  <c r="CI58" i="350"/>
  <c r="CH62" i="350"/>
  <c r="C178" i="350"/>
  <c r="P178" i="350"/>
  <c r="R63" i="350"/>
  <c r="Q62" i="350"/>
  <c r="L61" i="350"/>
  <c r="G62" i="350"/>
  <c r="F62" i="350"/>
  <c r="D63" i="350"/>
  <c r="C61" i="350"/>
  <c r="CJ58" i="350"/>
  <c r="FL3" i="350"/>
  <c r="P185" i="350"/>
  <c r="K88" i="350"/>
  <c r="Y29" i="350"/>
  <c r="Y28" i="350"/>
  <c r="Z30" i="350"/>
  <c r="N169" i="350"/>
  <c r="N189" i="350"/>
  <c r="BK113" i="350"/>
  <c r="AA59" i="350"/>
  <c r="Z58" i="350"/>
  <c r="Z57" i="350"/>
  <c r="Z54" i="350"/>
  <c r="Z53" i="350"/>
  <c r="AA55" i="350"/>
  <c r="BK112" i="350"/>
  <c r="J108" i="350"/>
  <c r="B108" i="350"/>
  <c r="AA37" i="350"/>
  <c r="AB38" i="350"/>
  <c r="AA36" i="350"/>
  <c r="J111" i="407"/>
  <c r="B111" i="407"/>
  <c r="E111" i="407"/>
  <c r="AA78" i="407"/>
  <c r="AA79" i="407"/>
  <c r="AB80" i="407"/>
  <c r="AA70" i="407"/>
  <c r="AA71" i="407"/>
  <c r="AB72" i="407"/>
  <c r="J113" i="407"/>
  <c r="B113" i="407"/>
  <c r="AA62" i="407"/>
  <c r="AA63" i="407"/>
  <c r="AB64" i="407"/>
  <c r="J114" i="407"/>
  <c r="B114" i="407"/>
  <c r="AB76" i="407"/>
  <c r="AA75" i="407"/>
  <c r="AA74" i="407"/>
  <c r="J115" i="407"/>
  <c r="B115" i="407"/>
  <c r="C106" i="350"/>
  <c r="BL106" i="350"/>
  <c r="K64" i="350"/>
  <c r="E63" i="350"/>
  <c r="AF52" i="350"/>
  <c r="U49" i="350"/>
  <c r="U51" i="350"/>
  <c r="G51" i="350"/>
  <c r="CI51" i="350"/>
  <c r="B52" i="350"/>
  <c r="CG52" i="350"/>
  <c r="R50" i="350"/>
  <c r="D50" i="350"/>
  <c r="AE45" i="350"/>
  <c r="F174" i="350"/>
  <c r="A110" i="350"/>
  <c r="Z47" i="350"/>
  <c r="Y46" i="350"/>
  <c r="Y45" i="350"/>
  <c r="V43" i="350"/>
  <c r="A43" i="350"/>
  <c r="DC179" i="350"/>
  <c r="CG41" i="350"/>
  <c r="BP41" i="350"/>
  <c r="DC175" i="350"/>
  <c r="DC174" i="350"/>
  <c r="AE43" i="350"/>
  <c r="DC176" i="350"/>
  <c r="AE42" i="350"/>
  <c r="P40" i="350"/>
  <c r="S42" i="350"/>
  <c r="Q39" i="350"/>
  <c r="AT11" i="350"/>
  <c r="V40" i="350"/>
  <c r="V41" i="350"/>
  <c r="W42" i="350"/>
  <c r="N187" i="350"/>
  <c r="BK106" i="350"/>
  <c r="AE32" i="350"/>
  <c r="F171" i="350"/>
  <c r="A107" i="350"/>
  <c r="O177" i="350"/>
  <c r="CJ59" i="350"/>
  <c r="E177" i="350"/>
  <c r="G113" i="350"/>
  <c r="H113" i="350"/>
  <c r="AE58" i="350"/>
  <c r="Q59" i="350"/>
  <c r="Z34" i="350"/>
  <c r="Y33" i="350"/>
  <c r="Y32" i="350"/>
  <c r="FR3" i="350"/>
  <c r="CJ62" i="350"/>
  <c r="CI62" i="350"/>
  <c r="AA30" i="350"/>
  <c r="Z28" i="350"/>
  <c r="Z29" i="350"/>
  <c r="AB59" i="350"/>
  <c r="AA58" i="350"/>
  <c r="AA57" i="350"/>
  <c r="J113" i="350"/>
  <c r="B113" i="350"/>
  <c r="J112" i="350"/>
  <c r="B112" i="350"/>
  <c r="AA53" i="350"/>
  <c r="AB55" i="350"/>
  <c r="AA54" i="350"/>
  <c r="AB37" i="350"/>
  <c r="AC38" i="350"/>
  <c r="AB36" i="350"/>
  <c r="E108" i="350"/>
  <c r="C111" i="407"/>
  <c r="C113" i="407"/>
  <c r="E113" i="407"/>
  <c r="AB70" i="407"/>
  <c r="AB71" i="407"/>
  <c r="AC72" i="407"/>
  <c r="AB74" i="407"/>
  <c r="AC76" i="407"/>
  <c r="AB75" i="407"/>
  <c r="E114" i="407"/>
  <c r="C114" i="407"/>
  <c r="AB79" i="407"/>
  <c r="AB78" i="407"/>
  <c r="AC80" i="407"/>
  <c r="E115" i="407"/>
  <c r="C115" i="407"/>
  <c r="AB63" i="407"/>
  <c r="AB62" i="407"/>
  <c r="AC64" i="407"/>
  <c r="C110" i="350"/>
  <c r="BL110" i="350"/>
  <c r="C107" i="350"/>
  <c r="BL107" i="350"/>
  <c r="AG52" i="350"/>
  <c r="K111" i="350"/>
  <c r="AI6" i="350"/>
  <c r="AJ6" i="350"/>
  <c r="AI7" i="350"/>
  <c r="AJ7" i="350"/>
  <c r="AI17" i="350"/>
  <c r="AJ17" i="350"/>
  <c r="AI18" i="350"/>
  <c r="AJ18" i="350"/>
  <c r="AI13" i="350"/>
  <c r="AJ13" i="350"/>
  <c r="AI16" i="350"/>
  <c r="AJ16" i="350"/>
  <c r="AI12" i="350"/>
  <c r="AJ12" i="350"/>
  <c r="AI11" i="350"/>
  <c r="AJ11" i="350"/>
  <c r="AI8" i="350"/>
  <c r="E64" i="350"/>
  <c r="C63" i="350"/>
  <c r="L63" i="350"/>
  <c r="C62" i="350"/>
  <c r="O50" i="350"/>
  <c r="CJ51" i="350"/>
  <c r="AE50" i="350"/>
  <c r="E175" i="350"/>
  <c r="G111" i="350"/>
  <c r="H111" i="350"/>
  <c r="Q51" i="350"/>
  <c r="A50" i="350"/>
  <c r="V51" i="350"/>
  <c r="G52" i="350"/>
  <c r="Z46" i="350"/>
  <c r="Z45" i="350"/>
  <c r="AA47" i="350"/>
  <c r="BK110" i="350"/>
  <c r="X42" i="350"/>
  <c r="W41" i="350"/>
  <c r="J106" i="350"/>
  <c r="B106" i="350"/>
  <c r="BK107" i="350"/>
  <c r="O178" i="350"/>
  <c r="AA34" i="350"/>
  <c r="Z32" i="350"/>
  <c r="Z33" i="350"/>
  <c r="AA28" i="350"/>
  <c r="AA29" i="350"/>
  <c r="AB30" i="350"/>
  <c r="AB57" i="350"/>
  <c r="AC59" i="350"/>
  <c r="AB58" i="350"/>
  <c r="E113" i="350"/>
  <c r="AC55" i="350"/>
  <c r="AB54" i="350"/>
  <c r="AB53" i="350"/>
  <c r="E112" i="350"/>
  <c r="AD38" i="350"/>
  <c r="AC37" i="350"/>
  <c r="AC36" i="350"/>
  <c r="AC75" i="407"/>
  <c r="AC74" i="407"/>
  <c r="AD76" i="407"/>
  <c r="AC79" i="407"/>
  <c r="AC78" i="407"/>
  <c r="AD80" i="407"/>
  <c r="AC70" i="407"/>
  <c r="AC71" i="407"/>
  <c r="AD72" i="407"/>
  <c r="AC62" i="407"/>
  <c r="AC63" i="407"/>
  <c r="AD64" i="407"/>
  <c r="C116" i="407"/>
  <c r="C127" i="407"/>
  <c r="Y82" i="407"/>
  <c r="AI4" i="350"/>
  <c r="AJ4" i="350"/>
  <c r="D178" i="350"/>
  <c r="F114" i="350"/>
  <c r="F64" i="350"/>
  <c r="F63" i="350"/>
  <c r="W51" i="350"/>
  <c r="V49" i="350"/>
  <c r="V50" i="350"/>
  <c r="V52" i="350"/>
  <c r="AE52" i="350"/>
  <c r="AE51" i="350"/>
  <c r="P49" i="350"/>
  <c r="A52" i="350"/>
  <c r="S51" i="350"/>
  <c r="Q48" i="350"/>
  <c r="AP11" i="350"/>
  <c r="CG50" i="350"/>
  <c r="BP50" i="350"/>
  <c r="J110" i="350"/>
  <c r="B110" i="350"/>
  <c r="AA45" i="350"/>
  <c r="AB47" i="350"/>
  <c r="AA46" i="350"/>
  <c r="N173" i="350"/>
  <c r="L43" i="350"/>
  <c r="W40" i="350"/>
  <c r="X40" i="350"/>
  <c r="X41" i="350"/>
  <c r="Y42" i="350"/>
  <c r="E106" i="350"/>
  <c r="J107" i="350"/>
  <c r="B107" i="350"/>
  <c r="AB34" i="350"/>
  <c r="AA33" i="350"/>
  <c r="AA32" i="350"/>
  <c r="AB28" i="350"/>
  <c r="AB29" i="350"/>
  <c r="AC30" i="350"/>
  <c r="AD59" i="350"/>
  <c r="AC58" i="350"/>
  <c r="AC57" i="350"/>
  <c r="AC54" i="350"/>
  <c r="AC53" i="350"/>
  <c r="AD55" i="350"/>
  <c r="AD37" i="350"/>
  <c r="AD36" i="350"/>
  <c r="AD78" i="407"/>
  <c r="AD79" i="407"/>
  <c r="AD62" i="407"/>
  <c r="AD63" i="407"/>
  <c r="AD74" i="407"/>
  <c r="AD75" i="407"/>
  <c r="AD71" i="407"/>
  <c r="AD70" i="407"/>
  <c r="CI63" i="350"/>
  <c r="B64" i="350"/>
  <c r="CG64" i="350"/>
  <c r="G63" i="350"/>
  <c r="U61" i="350"/>
  <c r="U63" i="350"/>
  <c r="AF64" i="350"/>
  <c r="R62" i="350"/>
  <c r="D62" i="350"/>
  <c r="W50" i="350"/>
  <c r="X51" i="350"/>
  <c r="AB45" i="350"/>
  <c r="AC47" i="350"/>
  <c r="AB46" i="350"/>
  <c r="E110" i="350"/>
  <c r="Y41" i="350"/>
  <c r="Y40" i="350"/>
  <c r="Z42" i="350"/>
  <c r="AE40" i="350"/>
  <c r="F173" i="350"/>
  <c r="A109" i="350"/>
  <c r="E107" i="350"/>
  <c r="AB32" i="350"/>
  <c r="AB33" i="350"/>
  <c r="AC34" i="350"/>
  <c r="AD30" i="350"/>
  <c r="AC28" i="350"/>
  <c r="AC29" i="350"/>
  <c r="AD57" i="350"/>
  <c r="AD58" i="350"/>
  <c r="AD53" i="350"/>
  <c r="AD54" i="350"/>
  <c r="C109" i="350"/>
  <c r="BL109" i="350"/>
  <c r="AG64" i="350"/>
  <c r="K114" i="350"/>
  <c r="G64" i="350"/>
  <c r="V63" i="350"/>
  <c r="A62" i="350"/>
  <c r="O62" i="350"/>
  <c r="E178" i="350"/>
  <c r="G114" i="350"/>
  <c r="H114" i="350"/>
  <c r="CJ63" i="350"/>
  <c r="Q63" i="350"/>
  <c r="AE62" i="350"/>
  <c r="W49" i="350"/>
  <c r="L52" i="350"/>
  <c r="Y51" i="350"/>
  <c r="X49" i="350"/>
  <c r="X50" i="350"/>
  <c r="AC45" i="350"/>
  <c r="AD47" i="350"/>
  <c r="AC46" i="350"/>
  <c r="BK109" i="350"/>
  <c r="Z40" i="350"/>
  <c r="AA42" i="350"/>
  <c r="Z41" i="350"/>
  <c r="AC32" i="350"/>
  <c r="AD34" i="350"/>
  <c r="AC33" i="350"/>
  <c r="AD29" i="350"/>
  <c r="AD28" i="350"/>
  <c r="V61" i="350"/>
  <c r="W63" i="350"/>
  <c r="V62" i="350"/>
  <c r="P61" i="350"/>
  <c r="AE64" i="350"/>
  <c r="A64" i="350"/>
  <c r="S63" i="350"/>
  <c r="V64" i="350"/>
  <c r="BP62" i="350"/>
  <c r="CG62" i="350"/>
  <c r="AE63" i="350"/>
  <c r="Q60" i="350"/>
  <c r="Y49" i="350"/>
  <c r="Y50" i="350"/>
  <c r="Z51" i="350"/>
  <c r="F175" i="350"/>
  <c r="A111" i="350"/>
  <c r="AE49" i="350"/>
  <c r="AD45" i="350"/>
  <c r="AD46" i="350"/>
  <c r="AB42" i="350"/>
  <c r="AA41" i="350"/>
  <c r="AA40" i="350"/>
  <c r="J109" i="350"/>
  <c r="B109" i="350"/>
  <c r="AD33" i="350"/>
  <c r="AD32" i="350"/>
  <c r="C111" i="350"/>
  <c r="BL111" i="350"/>
  <c r="X63" i="350"/>
  <c r="W62" i="350"/>
  <c r="BK111" i="350"/>
  <c r="Z49" i="350"/>
  <c r="Z50" i="350"/>
  <c r="AA51" i="350"/>
  <c r="E109" i="350"/>
  <c r="AB40" i="350"/>
  <c r="AB41" i="350"/>
  <c r="AC42" i="350"/>
  <c r="D17" i="83"/>
  <c r="G6" i="83"/>
  <c r="D18" i="83"/>
  <c r="G7" i="83"/>
  <c r="D19" i="83"/>
  <c r="B22" i="83"/>
  <c r="D21" i="83"/>
  <c r="G10" i="83"/>
  <c r="N178" i="350"/>
  <c r="L64" i="350"/>
  <c r="W61" i="350"/>
  <c r="X61" i="350"/>
  <c r="X62" i="350"/>
  <c r="Y63" i="350"/>
  <c r="AB51" i="350"/>
  <c r="AA49" i="350"/>
  <c r="AA50" i="350"/>
  <c r="J111" i="350"/>
  <c r="B111" i="350"/>
  <c r="AD42" i="350"/>
  <c r="AC41" i="350"/>
  <c r="AC40" i="350"/>
  <c r="F76" i="90"/>
  <c r="F79" i="90"/>
  <c r="W79" i="90"/>
  <c r="G76" i="90"/>
  <c r="G79" i="90"/>
  <c r="X79" i="90"/>
  <c r="K76" i="90"/>
  <c r="K79" i="90"/>
  <c r="AB79" i="90"/>
  <c r="G8" i="83"/>
  <c r="D20" i="83"/>
  <c r="G9" i="83"/>
  <c r="D16" i="83"/>
  <c r="G5" i="83"/>
  <c r="Y62" i="350"/>
  <c r="Z63" i="350"/>
  <c r="Y61" i="350"/>
  <c r="AE61" i="350"/>
  <c r="F178" i="350"/>
  <c r="A114" i="350"/>
  <c r="E114" i="350"/>
  <c r="E111" i="350"/>
  <c r="AB50" i="350"/>
  <c r="AB49" i="350"/>
  <c r="AC51" i="350"/>
  <c r="AD40" i="350"/>
  <c r="AD41" i="350"/>
  <c r="W76" i="90"/>
  <c r="X76" i="90"/>
  <c r="AB76" i="90"/>
  <c r="H76" i="90"/>
  <c r="H79" i="90"/>
  <c r="Y79" i="90"/>
  <c r="E76" i="90"/>
  <c r="V76" i="90"/>
  <c r="I76" i="90"/>
  <c r="C114" i="350"/>
  <c r="BL114" i="350"/>
  <c r="BK114" i="350"/>
  <c r="AA63" i="350"/>
  <c r="Z61" i="350"/>
  <c r="Z62" i="350"/>
  <c r="AC50" i="350"/>
  <c r="AD51" i="350"/>
  <c r="AC49" i="350"/>
  <c r="E79" i="90"/>
  <c r="V79" i="90"/>
  <c r="Y76" i="90"/>
  <c r="M78" i="90"/>
  <c r="M76" i="90"/>
  <c r="M79" i="90"/>
  <c r="I79" i="90"/>
  <c r="Z79" i="90"/>
  <c r="Z76" i="90"/>
  <c r="D15" i="83"/>
  <c r="J114" i="350"/>
  <c r="B114" i="350"/>
  <c r="AA62" i="350"/>
  <c r="AA61" i="350"/>
  <c r="AB63" i="350"/>
  <c r="AD50" i="350"/>
  <c r="AD49" i="350"/>
  <c r="D76" i="90"/>
  <c r="P76" i="90"/>
  <c r="G4" i="83"/>
  <c r="G11" i="83"/>
  <c r="D22" i="83"/>
  <c r="AB62" i="350"/>
  <c r="AB61" i="350"/>
  <c r="AC63" i="350"/>
  <c r="D79" i="90"/>
  <c r="P79" i="90"/>
  <c r="U76" i="90"/>
  <c r="AD76" i="90"/>
  <c r="AL76" i="90"/>
  <c r="AM76" i="90"/>
  <c r="AN76" i="90"/>
  <c r="AI76" i="90"/>
  <c r="AJ76" i="90"/>
  <c r="AK76" i="90"/>
  <c r="AC62" i="350"/>
  <c r="AD63" i="350"/>
  <c r="AC61" i="350"/>
  <c r="U79" i="90"/>
  <c r="AD79" i="90"/>
  <c r="AH76" i="90"/>
  <c r="AD61" i="350"/>
  <c r="AD62" i="350"/>
  <c r="E94" i="350"/>
  <c r="AD94" i="350"/>
  <c r="J95" i="350"/>
  <c r="E97" i="350"/>
  <c r="AD97" i="350"/>
  <c r="J98" i="350"/>
  <c r="A97" i="350"/>
  <c r="Q99" i="350"/>
  <c r="L98" i="350"/>
  <c r="F98" i="350"/>
  <c r="CI98" i="350"/>
  <c r="K99" i="350"/>
  <c r="U97" i="350"/>
  <c r="K96" i="350"/>
  <c r="E95" i="350"/>
  <c r="E96" i="350"/>
  <c r="U95" i="350"/>
  <c r="G98" i="350"/>
  <c r="G99" i="350"/>
  <c r="D95" i="350"/>
  <c r="L95" i="350"/>
  <c r="F95" i="350"/>
  <c r="BP97" i="350"/>
  <c r="A99" i="350"/>
  <c r="CG97" i="350"/>
  <c r="B99" i="350"/>
  <c r="CG99" i="350"/>
  <c r="C99" i="350"/>
  <c r="V99" i="350"/>
  <c r="AE99" i="350"/>
  <c r="Q97" i="350"/>
  <c r="K188" i="350"/>
  <c r="Q188" i="350"/>
  <c r="AE98" i="350"/>
  <c r="E98" i="350"/>
  <c r="E99" i="350"/>
  <c r="U98" i="350"/>
  <c r="D98" i="350"/>
  <c r="CI95" i="350"/>
  <c r="G95" i="350"/>
  <c r="A94" i="350"/>
  <c r="BP94" i="350"/>
  <c r="U94" i="350"/>
  <c r="AD95" i="350"/>
  <c r="V98" i="350"/>
  <c r="W98" i="350"/>
  <c r="F190" i="350"/>
  <c r="D128" i="350"/>
  <c r="R95" i="350"/>
  <c r="R98" i="350"/>
  <c r="D97" i="350"/>
  <c r="CJ98" i="350"/>
  <c r="C97" i="350"/>
  <c r="D191" i="350"/>
  <c r="F126" i="350"/>
  <c r="F96" i="350"/>
  <c r="F191" i="350"/>
  <c r="A126" i="350"/>
  <c r="F99" i="350"/>
  <c r="AD98" i="350"/>
  <c r="D96" i="350"/>
  <c r="D94" i="350"/>
  <c r="C94" i="350"/>
  <c r="D190" i="350"/>
  <c r="F125" i="350"/>
  <c r="S98" i="350"/>
  <c r="D99" i="350"/>
  <c r="AF94" i="350"/>
  <c r="CG94" i="350"/>
  <c r="AE96" i="350"/>
  <c r="Q94" i="350"/>
  <c r="K187" i="350"/>
  <c r="Q187" i="350"/>
  <c r="S95" i="350"/>
  <c r="V95" i="350"/>
  <c r="V94" i="350"/>
  <c r="A96" i="350"/>
  <c r="Q96" i="350"/>
  <c r="B96" i="350"/>
  <c r="CG96" i="350"/>
  <c r="G96" i="350"/>
  <c r="AE95" i="350"/>
  <c r="A125" i="350"/>
  <c r="AE97" i="350"/>
  <c r="V97" i="350"/>
  <c r="E191" i="350"/>
  <c r="G126" i="350"/>
  <c r="H126" i="350"/>
  <c r="J99" i="350"/>
  <c r="CH98" i="350"/>
  <c r="E126" i="350"/>
  <c r="BK126" i="350"/>
  <c r="BL126" i="350"/>
  <c r="C126" i="350"/>
  <c r="AE94" i="350"/>
  <c r="CJ95" i="350"/>
  <c r="E190" i="350"/>
  <c r="G125" i="350"/>
  <c r="H125" i="350"/>
  <c r="J96" i="350"/>
  <c r="X98" i="350"/>
  <c r="W97" i="350"/>
  <c r="W95" i="350"/>
  <c r="X95" i="350"/>
  <c r="C96" i="350"/>
  <c r="V96" i="350"/>
  <c r="BL125" i="350"/>
  <c r="I99" i="350"/>
  <c r="BK125" i="350"/>
  <c r="J126" i="350"/>
  <c r="B126" i="350"/>
  <c r="CH95" i="350"/>
  <c r="I96" i="350"/>
  <c r="Y98" i="350"/>
  <c r="X97" i="350"/>
  <c r="W94" i="350"/>
  <c r="J125" i="350"/>
  <c r="B125" i="350"/>
  <c r="AF88" i="350"/>
  <c r="Y97" i="350"/>
  <c r="Z98" i="350"/>
  <c r="Y95" i="350"/>
  <c r="X94" i="350"/>
  <c r="E125" i="350"/>
  <c r="C125" i="350"/>
  <c r="AX18" i="350"/>
  <c r="AX13" i="350"/>
  <c r="Q36" i="350"/>
  <c r="Q49" i="350"/>
  <c r="AP8" i="350"/>
  <c r="Q61" i="350"/>
  <c r="AJ8" i="350"/>
  <c r="Q45" i="350"/>
  <c r="AR8" i="350"/>
  <c r="Q40" i="350"/>
  <c r="AT8" i="350"/>
  <c r="Q57" i="350"/>
  <c r="Q53" i="350"/>
  <c r="Z95" i="350"/>
  <c r="Y94" i="350"/>
  <c r="AA98" i="350"/>
  <c r="Z97" i="350"/>
  <c r="AZ8" i="350"/>
  <c r="AZ18" i="350"/>
  <c r="AZ13" i="350"/>
  <c r="AB98" i="350"/>
  <c r="AA97" i="350"/>
  <c r="Z94" i="350"/>
  <c r="AA95" i="350"/>
  <c r="AA94" i="350"/>
  <c r="AB95" i="350"/>
  <c r="AC98" i="350"/>
  <c r="AC97" i="350"/>
  <c r="AB97" i="350"/>
  <c r="AC95" i="350"/>
  <c r="AC94" i="350"/>
  <c r="AB94" i="350"/>
  <c r="M19" i="92"/>
  <c r="M23" i="92"/>
  <c r="M27" i="92"/>
  <c r="GD8" i="350"/>
  <c r="O180" i="350"/>
  <c r="O182" i="350"/>
  <c r="N180" i="350"/>
  <c r="AF91" i="350"/>
  <c r="Q70" i="350"/>
  <c r="Q78" i="350"/>
  <c r="N182" i="350"/>
  <c r="GD13" i="350"/>
  <c r="GD18" i="350"/>
  <c r="GC8" i="350"/>
  <c r="GC18" i="350"/>
  <c r="GC13" i="350"/>
  <c r="GB8" i="350"/>
  <c r="GE8" i="350"/>
  <c r="GB18" i="350"/>
  <c r="GB13" i="350"/>
  <c r="GE13" i="350"/>
  <c r="GD22" i="350"/>
  <c r="GB22" i="350"/>
  <c r="O72" i="350"/>
  <c r="GC22" i="350"/>
  <c r="GE18" i="350"/>
  <c r="GE22" i="350"/>
  <c r="E70" i="350"/>
  <c r="A72" i="350"/>
  <c r="L72" i="350"/>
  <c r="D72" i="350"/>
  <c r="K73" i="350"/>
  <c r="E72" i="350"/>
  <c r="E73" i="350"/>
  <c r="AE6" i="350"/>
  <c r="AF6" i="350"/>
  <c r="AE7" i="350"/>
  <c r="AF7" i="350"/>
  <c r="C71" i="350"/>
  <c r="D180" i="350"/>
  <c r="F116" i="350"/>
  <c r="F73" i="350"/>
  <c r="F72" i="350"/>
  <c r="AE8" i="350"/>
  <c r="AF8" i="350"/>
  <c r="AE11" i="350"/>
  <c r="AE18" i="350"/>
  <c r="AF18" i="350"/>
  <c r="AE13" i="350"/>
  <c r="AF13" i="350"/>
  <c r="AE17" i="350"/>
  <c r="AE12" i="350"/>
  <c r="AE16" i="350"/>
  <c r="C72" i="350"/>
  <c r="CG72" i="350"/>
  <c r="M180" i="350"/>
  <c r="B73" i="350"/>
  <c r="CG73" i="350"/>
  <c r="A70" i="350"/>
  <c r="AE4" i="350"/>
  <c r="AF4" i="350"/>
  <c r="DE186" i="350"/>
  <c r="D71" i="350"/>
  <c r="CI72" i="350"/>
  <c r="E71" i="350"/>
  <c r="R71" i="350"/>
  <c r="U70" i="350"/>
  <c r="U72" i="350"/>
  <c r="G72" i="350"/>
  <c r="CG70" i="350"/>
  <c r="Q180" i="350"/>
  <c r="D73" i="350"/>
  <c r="AF73" i="350"/>
  <c r="AG73" i="350"/>
  <c r="K116" i="350"/>
  <c r="CJ72" i="350"/>
  <c r="Q72" i="350"/>
  <c r="E180" i="350"/>
  <c r="G116" i="350"/>
  <c r="H116" i="350"/>
  <c r="AE71" i="350"/>
  <c r="CA86" i="350"/>
  <c r="BW86" i="350"/>
  <c r="G73" i="350"/>
  <c r="V72" i="350"/>
  <c r="A71" i="350"/>
  <c r="V71" i="350"/>
  <c r="V70" i="350"/>
  <c r="W72" i="350"/>
  <c r="Q69" i="350"/>
  <c r="AF12" i="350"/>
  <c r="V73" i="350"/>
  <c r="DE181" i="350"/>
  <c r="CG71" i="350"/>
  <c r="AE72" i="350"/>
  <c r="AE73" i="350"/>
  <c r="P70" i="350"/>
  <c r="BP71" i="350"/>
  <c r="A73" i="350"/>
  <c r="AF11" i="350"/>
  <c r="AF16" i="350"/>
  <c r="S72" i="350"/>
  <c r="AF17" i="350"/>
  <c r="X72" i="350"/>
  <c r="W71" i="350"/>
  <c r="L73" i="350"/>
  <c r="W70" i="350"/>
  <c r="X70" i="350"/>
  <c r="Y72" i="350"/>
  <c r="X71" i="350"/>
  <c r="Y70" i="350"/>
  <c r="Z72" i="350"/>
  <c r="Y71" i="350"/>
  <c r="AE70" i="350"/>
  <c r="F180" i="350"/>
  <c r="A116" i="350"/>
  <c r="E116" i="350"/>
  <c r="C116" i="350"/>
  <c r="BL116" i="350"/>
  <c r="Z71" i="350"/>
  <c r="Z70" i="350"/>
  <c r="AA72" i="350"/>
  <c r="BK116" i="350"/>
  <c r="J116" i="350"/>
  <c r="B116" i="350"/>
  <c r="AB72" i="350"/>
  <c r="AA71" i="350"/>
  <c r="AA70" i="350"/>
  <c r="AB71" i="350"/>
  <c r="AC72" i="350"/>
  <c r="AB70" i="350"/>
  <c r="AD72" i="350"/>
  <c r="AC70" i="350"/>
  <c r="AC71" i="350"/>
  <c r="AD70" i="350"/>
  <c r="AD71" i="350"/>
  <c r="E8" i="350"/>
  <c r="E11" i="350"/>
  <c r="F11" i="350"/>
  <c r="DN11" i="350"/>
  <c r="DQ11" i="350"/>
  <c r="E12" i="350"/>
  <c r="F12" i="350"/>
  <c r="DN12" i="350"/>
  <c r="DQ12" i="350"/>
  <c r="E13" i="350"/>
  <c r="F13" i="350"/>
  <c r="DN13" i="350"/>
  <c r="DQ13" i="350"/>
  <c r="E16" i="350"/>
  <c r="F16" i="350"/>
  <c r="DN16" i="350"/>
  <c r="DQ16" i="350"/>
  <c r="E17" i="350"/>
  <c r="F17" i="350"/>
  <c r="DN17" i="350"/>
  <c r="DQ17" i="350"/>
  <c r="E18" i="350"/>
  <c r="F18" i="350"/>
  <c r="DN18" i="350"/>
  <c r="DQ18" i="350"/>
  <c r="F8" i="350"/>
  <c r="DN8" i="350"/>
  <c r="DN22" i="350"/>
  <c r="O26" i="350"/>
  <c r="GS8" i="350"/>
  <c r="GS22" i="350"/>
  <c r="GG8" i="350"/>
  <c r="GG22" i="350"/>
  <c r="GM8" i="350"/>
  <c r="GM22" i="350"/>
  <c r="DH8" i="350"/>
  <c r="DH22" i="350"/>
  <c r="G18" i="350"/>
  <c r="DO18" i="350"/>
  <c r="DP18" i="350"/>
  <c r="CV18" i="350"/>
  <c r="DI18" i="350"/>
  <c r="DK18" i="350"/>
  <c r="GH18" i="350"/>
  <c r="GK18" i="350"/>
  <c r="GN18" i="350"/>
  <c r="GQ18" i="350"/>
  <c r="H18" i="350"/>
  <c r="GT18" i="350"/>
  <c r="GW18" i="350"/>
  <c r="CV16" i="350"/>
  <c r="GT16" i="350"/>
  <c r="GW16" i="350"/>
  <c r="FV16" i="350"/>
  <c r="FY16" i="350"/>
  <c r="G16" i="350"/>
  <c r="DO16" i="350"/>
  <c r="DP16" i="350"/>
  <c r="H16" i="350"/>
  <c r="DI16" i="350"/>
  <c r="DK16" i="350"/>
  <c r="GH13" i="350"/>
  <c r="GK13" i="350"/>
  <c r="DI13" i="350"/>
  <c r="DK13" i="350"/>
  <c r="GN13" i="350"/>
  <c r="GQ13" i="350"/>
  <c r="GT13" i="350"/>
  <c r="GW13" i="350"/>
  <c r="CV13" i="350"/>
  <c r="G13" i="350"/>
  <c r="DO13" i="350"/>
  <c r="DP13" i="350"/>
  <c r="H13" i="350"/>
  <c r="H11" i="350"/>
  <c r="GT11" i="350"/>
  <c r="GW11" i="350"/>
  <c r="FV11" i="350"/>
  <c r="DI11" i="350"/>
  <c r="DK11" i="350"/>
  <c r="G11" i="350"/>
  <c r="DO11" i="350"/>
  <c r="DP11" i="350"/>
  <c r="CV11" i="350"/>
  <c r="G17" i="350"/>
  <c r="DO17" i="350"/>
  <c r="DP17" i="350"/>
  <c r="DI17" i="350"/>
  <c r="DK17" i="350"/>
  <c r="GT17" i="350"/>
  <c r="GW17" i="350"/>
  <c r="FV17" i="350"/>
  <c r="FY17" i="350"/>
  <c r="H17" i="350"/>
  <c r="CV17" i="350"/>
  <c r="DI12" i="350"/>
  <c r="DK12" i="350"/>
  <c r="G12" i="350"/>
  <c r="DO12" i="350"/>
  <c r="DP12" i="350"/>
  <c r="H12" i="350"/>
  <c r="GT12" i="350"/>
  <c r="GW12" i="350"/>
  <c r="FV12" i="350"/>
  <c r="FY12" i="350"/>
  <c r="CV12" i="350"/>
  <c r="G8" i="350"/>
  <c r="DJ8" i="350"/>
  <c r="H8" i="350"/>
  <c r="GT8" i="350"/>
  <c r="GW8" i="350"/>
  <c r="GW22" i="350"/>
  <c r="GN8" i="350"/>
  <c r="GQ8" i="350"/>
  <c r="GQ22" i="350"/>
  <c r="DI8" i="350"/>
  <c r="DK8" i="350"/>
  <c r="DK22" i="350"/>
  <c r="CV8" i="350"/>
  <c r="GH8" i="350"/>
  <c r="GK8" i="350"/>
  <c r="GK22" i="350"/>
  <c r="DQ8" i="350"/>
  <c r="DQ22" i="350"/>
  <c r="E24" i="350"/>
  <c r="A26" i="350"/>
  <c r="DO8" i="350"/>
  <c r="FW12" i="350"/>
  <c r="FX12" i="350"/>
  <c r="DJ12" i="350"/>
  <c r="GU12" i="350"/>
  <c r="F14" i="350"/>
  <c r="DJ16" i="350"/>
  <c r="FW16" i="350"/>
  <c r="FX16" i="350"/>
  <c r="F15" i="350"/>
  <c r="CR15" i="350"/>
  <c r="GU16" i="350"/>
  <c r="GU13" i="350"/>
  <c r="GO13" i="350"/>
  <c r="GP13" i="350"/>
  <c r="DJ13" i="350"/>
  <c r="GI13" i="350"/>
  <c r="GJ13" i="350"/>
  <c r="FW17" i="350"/>
  <c r="FX17" i="350"/>
  <c r="GU17" i="350"/>
  <c r="DJ17" i="350"/>
  <c r="FW11" i="350"/>
  <c r="DJ11" i="350"/>
  <c r="GU11" i="350"/>
  <c r="F10" i="350"/>
  <c r="CR10" i="350"/>
  <c r="F9" i="350"/>
  <c r="FV22" i="350"/>
  <c r="O68" i="350"/>
  <c r="FY11" i="350"/>
  <c r="FY22" i="350"/>
  <c r="DJ18" i="350"/>
  <c r="GI18" i="350"/>
  <c r="GJ18" i="350"/>
  <c r="GO18" i="350"/>
  <c r="GP18" i="350"/>
  <c r="GU18" i="350"/>
  <c r="GI8" i="350"/>
  <c r="GI22" i="350"/>
  <c r="F5" i="350"/>
  <c r="I5" i="350"/>
  <c r="CL5" i="350"/>
  <c r="GO8" i="350"/>
  <c r="GP8" i="350"/>
  <c r="GP22" i="350"/>
  <c r="GU8" i="350"/>
  <c r="GU22" i="350"/>
  <c r="GN22" i="350"/>
  <c r="O80" i="350"/>
  <c r="GH22" i="350"/>
  <c r="O76" i="350"/>
  <c r="GT22" i="350"/>
  <c r="O84" i="350"/>
  <c r="DI22" i="350"/>
  <c r="D26" i="350"/>
  <c r="K27" i="350"/>
  <c r="BA16" i="350"/>
  <c r="A24" i="350"/>
  <c r="M169" i="350"/>
  <c r="M189" i="350"/>
  <c r="J101" i="350"/>
  <c r="CG26" i="350"/>
  <c r="DP8" i="350"/>
  <c r="DP22" i="350"/>
  <c r="DO22" i="350"/>
  <c r="DJ22" i="350"/>
  <c r="I15" i="350"/>
  <c r="CL15" i="350"/>
  <c r="E66" i="350"/>
  <c r="A68" i="350"/>
  <c r="FX11" i="350"/>
  <c r="FX22" i="350"/>
  <c r="FW22" i="350"/>
  <c r="CR14" i="350"/>
  <c r="I14" i="350"/>
  <c r="CL14" i="350"/>
  <c r="CR9" i="350"/>
  <c r="I9" i="350"/>
  <c r="CL9" i="350"/>
  <c r="I10" i="350"/>
  <c r="CL10" i="350"/>
  <c r="GJ8" i="350"/>
  <c r="GJ22" i="350"/>
  <c r="CR5" i="350"/>
  <c r="GO22" i="350"/>
  <c r="E78" i="350"/>
  <c r="D80" i="350"/>
  <c r="E80" i="350"/>
  <c r="E81" i="350"/>
  <c r="E74" i="350"/>
  <c r="A76" i="350"/>
  <c r="A74" i="350"/>
  <c r="E82" i="350"/>
  <c r="U84" i="350"/>
  <c r="BA11" i="350"/>
  <c r="BA7" i="350"/>
  <c r="BB7" i="350"/>
  <c r="E26" i="350"/>
  <c r="E27" i="350"/>
  <c r="BA17" i="350"/>
  <c r="BA8" i="350"/>
  <c r="BA18" i="350"/>
  <c r="BA6" i="350"/>
  <c r="BB6" i="350"/>
  <c r="BA13" i="350"/>
  <c r="BA12" i="350"/>
  <c r="E101" i="350"/>
  <c r="E102" i="350"/>
  <c r="D101" i="350"/>
  <c r="U101" i="350"/>
  <c r="G101" i="350"/>
  <c r="U100" i="350"/>
  <c r="A100" i="350"/>
  <c r="Q169" i="350"/>
  <c r="D27" i="350"/>
  <c r="CG24" i="350"/>
  <c r="C26" i="350"/>
  <c r="L26" i="350"/>
  <c r="D68" i="350"/>
  <c r="E68" i="350"/>
  <c r="D84" i="350"/>
  <c r="K85" i="350"/>
  <c r="Y17" i="350"/>
  <c r="M181" i="350"/>
  <c r="D76" i="350"/>
  <c r="K77" i="350"/>
  <c r="AC7" i="350"/>
  <c r="CG76" i="350"/>
  <c r="A80" i="350"/>
  <c r="A78" i="350"/>
  <c r="D81" i="350"/>
  <c r="A84" i="350"/>
  <c r="M183" i="350"/>
  <c r="C80" i="350"/>
  <c r="K81" i="350"/>
  <c r="AA8" i="350"/>
  <c r="BA4" i="350"/>
  <c r="BB4" i="350"/>
  <c r="AE101" i="350"/>
  <c r="Q102" i="350"/>
  <c r="A102" i="350"/>
  <c r="CG100" i="350"/>
  <c r="AE102" i="350"/>
  <c r="C102" i="350"/>
  <c r="V102" i="350"/>
  <c r="BP100" i="350"/>
  <c r="B102" i="350"/>
  <c r="CG102" i="350"/>
  <c r="Q100" i="350"/>
  <c r="K189" i="350"/>
  <c r="Q189" i="350"/>
  <c r="S101" i="350"/>
  <c r="V101" i="350"/>
  <c r="G102" i="350"/>
  <c r="C25" i="350"/>
  <c r="D169" i="350"/>
  <c r="F105" i="350"/>
  <c r="F26" i="350"/>
  <c r="L101" i="350"/>
  <c r="F101" i="350"/>
  <c r="D102" i="350"/>
  <c r="E69" i="350"/>
  <c r="L68" i="350"/>
  <c r="K69" i="350"/>
  <c r="AG7" i="350"/>
  <c r="AH7" i="350"/>
  <c r="C68" i="350"/>
  <c r="CG74" i="350"/>
  <c r="D77" i="350"/>
  <c r="Q181" i="350"/>
  <c r="M179" i="350"/>
  <c r="M185" i="350"/>
  <c r="J89" i="350"/>
  <c r="CG68" i="350"/>
  <c r="A66" i="350"/>
  <c r="M186" i="350"/>
  <c r="J92" i="350"/>
  <c r="E92" i="350"/>
  <c r="E93" i="350"/>
  <c r="M182" i="350"/>
  <c r="AC13" i="350"/>
  <c r="Y11" i="350"/>
  <c r="Y16" i="350"/>
  <c r="E84" i="350"/>
  <c r="C84" i="350"/>
  <c r="Y7" i="350"/>
  <c r="Y12" i="350"/>
  <c r="Y6" i="350"/>
  <c r="Y8" i="350"/>
  <c r="Y13" i="350"/>
  <c r="Y18" i="350"/>
  <c r="E76" i="350"/>
  <c r="E77" i="350"/>
  <c r="L80" i="350"/>
  <c r="F80" i="350"/>
  <c r="AF81" i="350"/>
  <c r="AA17" i="350"/>
  <c r="AB17" i="350"/>
  <c r="AC8" i="350"/>
  <c r="AC18" i="350"/>
  <c r="AC6" i="350"/>
  <c r="AC17" i="350"/>
  <c r="AD17" i="350"/>
  <c r="AC16" i="350"/>
  <c r="AD16" i="350"/>
  <c r="AC11" i="350"/>
  <c r="AD11" i="350"/>
  <c r="AA7" i="350"/>
  <c r="AA6" i="350"/>
  <c r="AC12" i="350"/>
  <c r="AD12" i="350"/>
  <c r="A82" i="350"/>
  <c r="D85" i="350"/>
  <c r="CG80" i="350"/>
  <c r="CG84" i="350"/>
  <c r="CG78" i="350"/>
  <c r="Q182" i="350"/>
  <c r="AA18" i="350"/>
  <c r="AA13" i="350"/>
  <c r="AA11" i="350"/>
  <c r="AB11" i="350"/>
  <c r="AA16" i="350"/>
  <c r="AB16" i="350"/>
  <c r="AA12" i="350"/>
  <c r="AB12" i="350"/>
  <c r="F68" i="350"/>
  <c r="CI68" i="350"/>
  <c r="C67" i="350"/>
  <c r="F102" i="350"/>
  <c r="AD101" i="350"/>
  <c r="R101" i="350"/>
  <c r="D100" i="350"/>
  <c r="C100" i="350"/>
  <c r="D192" i="350"/>
  <c r="F127" i="350"/>
  <c r="CI101" i="350"/>
  <c r="F192" i="350"/>
  <c r="A127" i="350"/>
  <c r="E25" i="350"/>
  <c r="CI26" i="350"/>
  <c r="F27" i="350"/>
  <c r="R25" i="350"/>
  <c r="CY186" i="350"/>
  <c r="BQ86" i="350"/>
  <c r="D25" i="350"/>
  <c r="G26" i="350"/>
  <c r="B27" i="350"/>
  <c r="CG27" i="350"/>
  <c r="U26" i="350"/>
  <c r="U24" i="350"/>
  <c r="AF27" i="350"/>
  <c r="K105" i="350"/>
  <c r="W101" i="350"/>
  <c r="V100" i="350"/>
  <c r="F69" i="350"/>
  <c r="U89" i="350"/>
  <c r="E89" i="350"/>
  <c r="E90" i="350"/>
  <c r="D89" i="350"/>
  <c r="AG16" i="350"/>
  <c r="AG6" i="350"/>
  <c r="AH6" i="350"/>
  <c r="AG17" i="350"/>
  <c r="AG13" i="350"/>
  <c r="AH13" i="350"/>
  <c r="AG18" i="350"/>
  <c r="AH18" i="350"/>
  <c r="AG8" i="350"/>
  <c r="AH8" i="350"/>
  <c r="AG11" i="350"/>
  <c r="AG12" i="350"/>
  <c r="CG66" i="350"/>
  <c r="D69" i="350"/>
  <c r="Q179" i="350"/>
  <c r="U92" i="350"/>
  <c r="D92" i="350"/>
  <c r="D93" i="350"/>
  <c r="L84" i="350"/>
  <c r="C83" i="350"/>
  <c r="E85" i="350"/>
  <c r="F81" i="350"/>
  <c r="CI80" i="350"/>
  <c r="CK22" i="350"/>
  <c r="Y4" i="350"/>
  <c r="AG27" i="350"/>
  <c r="AG81" i="350"/>
  <c r="K118" i="350"/>
  <c r="L76" i="350"/>
  <c r="C75" i="350"/>
  <c r="C76" i="350"/>
  <c r="R79" i="350"/>
  <c r="DG186" i="350"/>
  <c r="CD86" i="350"/>
  <c r="G80" i="350"/>
  <c r="G81" i="350"/>
  <c r="E79" i="350"/>
  <c r="D79" i="350"/>
  <c r="Q80" i="350"/>
  <c r="C79" i="350"/>
  <c r="D182" i="350"/>
  <c r="F118" i="350"/>
  <c r="U78" i="350"/>
  <c r="U80" i="350"/>
  <c r="CG82" i="350"/>
  <c r="Q183" i="350"/>
  <c r="AC4" i="350"/>
  <c r="AD4" i="350"/>
  <c r="U66" i="350"/>
  <c r="U68" i="350"/>
  <c r="CI22" i="350"/>
  <c r="AA4" i="350"/>
  <c r="AB4" i="350"/>
  <c r="D67" i="350"/>
  <c r="O179" i="350"/>
  <c r="O185" i="350"/>
  <c r="E88" i="350"/>
  <c r="AF69" i="350"/>
  <c r="K115" i="350"/>
  <c r="G68" i="350"/>
  <c r="V68" i="350"/>
  <c r="R67" i="350"/>
  <c r="L89" i="350"/>
  <c r="F89" i="350"/>
  <c r="CI89" i="350"/>
  <c r="B69" i="350"/>
  <c r="CG69" i="350"/>
  <c r="BL127" i="350"/>
  <c r="BK127" i="350"/>
  <c r="E127" i="350"/>
  <c r="C127" i="350"/>
  <c r="G27" i="350"/>
  <c r="V26" i="350"/>
  <c r="A25" i="350"/>
  <c r="O169" i="350"/>
  <c r="O189" i="350"/>
  <c r="O25" i="350"/>
  <c r="AE25" i="350"/>
  <c r="CJ26" i="350"/>
  <c r="E169" i="350"/>
  <c r="G105" i="350"/>
  <c r="H105" i="350"/>
  <c r="Q26" i="350"/>
  <c r="E192" i="350"/>
  <c r="G127" i="350"/>
  <c r="H127" i="350"/>
  <c r="AE100" i="350"/>
  <c r="J102" i="350"/>
  <c r="CJ101" i="350"/>
  <c r="W100" i="350"/>
  <c r="X101" i="350"/>
  <c r="D90" i="350"/>
  <c r="D179" i="350"/>
  <c r="F115" i="350"/>
  <c r="AG4" i="350"/>
  <c r="AH4" i="350"/>
  <c r="L92" i="350"/>
  <c r="F92" i="350"/>
  <c r="G92" i="350"/>
  <c r="D183" i="350"/>
  <c r="F119" i="350"/>
  <c r="D181" i="350"/>
  <c r="F117" i="350"/>
  <c r="F85" i="350"/>
  <c r="F84" i="350"/>
  <c r="DH186" i="350"/>
  <c r="CE86" i="350"/>
  <c r="AE79" i="350"/>
  <c r="E182" i="350"/>
  <c r="G118" i="350"/>
  <c r="H118" i="350"/>
  <c r="CJ80" i="350"/>
  <c r="O79" i="350"/>
  <c r="E23" i="350"/>
  <c r="AG69" i="350"/>
  <c r="F77" i="350"/>
  <c r="F76" i="350"/>
  <c r="CI76" i="350"/>
  <c r="A79" i="350"/>
  <c r="CG79" i="350"/>
  <c r="E179" i="350"/>
  <c r="G115" i="350"/>
  <c r="H115" i="350"/>
  <c r="B81" i="350"/>
  <c r="CG81" i="350"/>
  <c r="V80" i="350"/>
  <c r="W80" i="350"/>
  <c r="W79" i="350"/>
  <c r="G69" i="350"/>
  <c r="CJ68" i="350"/>
  <c r="Q68" i="350"/>
  <c r="AE67" i="350"/>
  <c r="R90" i="350"/>
  <c r="A67" i="350"/>
  <c r="A69" i="350"/>
  <c r="R89" i="350"/>
  <c r="G89" i="350"/>
  <c r="V89" i="350"/>
  <c r="AD89" i="350"/>
  <c r="F90" i="350"/>
  <c r="U88" i="350"/>
  <c r="D88" i="350"/>
  <c r="CJ89" i="350"/>
  <c r="F188" i="350"/>
  <c r="A123" i="350"/>
  <c r="BK123" i="350"/>
  <c r="J127" i="350"/>
  <c r="B127" i="350"/>
  <c r="R102" i="350"/>
  <c r="E100" i="350"/>
  <c r="CG25" i="350"/>
  <c r="V27" i="350"/>
  <c r="Q23" i="350"/>
  <c r="P24" i="350"/>
  <c r="BP25" i="350"/>
  <c r="AE26" i="350"/>
  <c r="CY170" i="350"/>
  <c r="AE27" i="350"/>
  <c r="A27" i="350"/>
  <c r="S26" i="350"/>
  <c r="AD2" i="350"/>
  <c r="V25" i="350"/>
  <c r="V24" i="350"/>
  <c r="W26" i="350"/>
  <c r="X100" i="350"/>
  <c r="Y101" i="350"/>
  <c r="I102" i="350"/>
  <c r="K90" i="350"/>
  <c r="AD88" i="350"/>
  <c r="AB7" i="350"/>
  <c r="AB6" i="350"/>
  <c r="W68" i="350"/>
  <c r="F93" i="350"/>
  <c r="AD92" i="350"/>
  <c r="F189" i="350"/>
  <c r="A124" i="350"/>
  <c r="BK124" i="350"/>
  <c r="AA87" i="350"/>
  <c r="R92" i="350"/>
  <c r="A128" i="350"/>
  <c r="C128" i="350"/>
  <c r="CI92" i="350"/>
  <c r="CI103" i="350"/>
  <c r="D91" i="350"/>
  <c r="CJ92" i="350"/>
  <c r="CJ103" i="350"/>
  <c r="U91" i="350"/>
  <c r="A91" i="350"/>
  <c r="G93" i="350"/>
  <c r="V92" i="350"/>
  <c r="D83" i="350"/>
  <c r="CI84" i="350"/>
  <c r="CI86" i="350"/>
  <c r="E83" i="350"/>
  <c r="R83" i="350"/>
  <c r="G84" i="350"/>
  <c r="V84" i="350"/>
  <c r="U82" i="350"/>
  <c r="AF85" i="350"/>
  <c r="K119" i="350"/>
  <c r="B85" i="350"/>
  <c r="CG85" i="350"/>
  <c r="X80" i="350"/>
  <c r="Y80" i="350"/>
  <c r="AF77" i="350"/>
  <c r="AG77" i="350"/>
  <c r="E75" i="350"/>
  <c r="S80" i="350"/>
  <c r="B77" i="350"/>
  <c r="CG77" i="350"/>
  <c r="P78" i="350"/>
  <c r="AE81" i="350"/>
  <c r="BP79" i="350"/>
  <c r="A81" i="350"/>
  <c r="DG183" i="350"/>
  <c r="AE80" i="350"/>
  <c r="Q77" i="350"/>
  <c r="AB8" i="350"/>
  <c r="D75" i="350"/>
  <c r="U74" i="350"/>
  <c r="U76" i="350"/>
  <c r="DF186" i="350"/>
  <c r="CB86" i="350"/>
  <c r="R75" i="350"/>
  <c r="G76" i="350"/>
  <c r="G77" i="350"/>
  <c r="V81" i="350"/>
  <c r="V79" i="350"/>
  <c r="V78" i="350"/>
  <c r="V67" i="350"/>
  <c r="AE68" i="350"/>
  <c r="BP67" i="350"/>
  <c r="AE69" i="350"/>
  <c r="CG67" i="350"/>
  <c r="V66" i="350"/>
  <c r="S68" i="350"/>
  <c r="P66" i="350"/>
  <c r="V69" i="350"/>
  <c r="Q64" i="350"/>
  <c r="G90" i="350"/>
  <c r="J90" i="350"/>
  <c r="CH89" i="350"/>
  <c r="A88" i="350"/>
  <c r="CG88" i="350"/>
  <c r="E188" i="350"/>
  <c r="G123" i="350"/>
  <c r="H123" i="350"/>
  <c r="AE88" i="350"/>
  <c r="X26" i="350"/>
  <c r="W25" i="350"/>
  <c r="AD100" i="350"/>
  <c r="K102" i="350"/>
  <c r="CH101" i="350"/>
  <c r="Z101" i="350"/>
  <c r="Y100" i="350"/>
  <c r="W89" i="350"/>
  <c r="X68" i="350"/>
  <c r="W67" i="350"/>
  <c r="N179" i="350"/>
  <c r="N185" i="350"/>
  <c r="C88" i="350"/>
  <c r="D188" i="350"/>
  <c r="F123" i="350"/>
  <c r="BL123" i="350"/>
  <c r="J123" i="350"/>
  <c r="B123" i="350"/>
  <c r="L81" i="350"/>
  <c r="W78" i="350"/>
  <c r="AC87" i="350"/>
  <c r="J93" i="350"/>
  <c r="E189" i="350"/>
  <c r="G124" i="350"/>
  <c r="H124" i="350"/>
  <c r="H129" i="350"/>
  <c r="AE91" i="350"/>
  <c r="AE87" i="350"/>
  <c r="CJ84" i="350"/>
  <c r="O183" i="350"/>
  <c r="CJ76" i="350"/>
  <c r="O181" i="350"/>
  <c r="O186" i="350"/>
  <c r="W92" i="350"/>
  <c r="V91" i="350"/>
  <c r="AE92" i="350"/>
  <c r="CG91" i="350"/>
  <c r="BP91" i="350"/>
  <c r="AE93" i="350"/>
  <c r="A93" i="350"/>
  <c r="Q91" i="350"/>
  <c r="K186" i="350"/>
  <c r="Q82" i="350"/>
  <c r="Q84" i="350"/>
  <c r="AE83" i="350"/>
  <c r="E183" i="350"/>
  <c r="G119" i="350"/>
  <c r="H119" i="350"/>
  <c r="A83" i="350"/>
  <c r="Q81" i="350"/>
  <c r="G85" i="350"/>
  <c r="AC23" i="350"/>
  <c r="AG85" i="350"/>
  <c r="X79" i="350"/>
  <c r="X78" i="350"/>
  <c r="AF86" i="350"/>
  <c r="AG86" i="350"/>
  <c r="K117" i="350"/>
  <c r="V76" i="350"/>
  <c r="W76" i="350"/>
  <c r="A75" i="350"/>
  <c r="Q73" i="350"/>
  <c r="AE75" i="350"/>
  <c r="AB13" i="350"/>
  <c r="E181" i="350"/>
  <c r="G117" i="350"/>
  <c r="H117" i="350"/>
  <c r="AB18" i="350"/>
  <c r="CC86" i="350"/>
  <c r="BP86" i="350"/>
  <c r="Q76" i="350"/>
  <c r="I90" i="350"/>
  <c r="AE90" i="350"/>
  <c r="BP88" i="350"/>
  <c r="A90" i="350"/>
  <c r="Q88" i="350"/>
  <c r="K185" i="350"/>
  <c r="Q32" i="350"/>
  <c r="AX8" i="350"/>
  <c r="Q90" i="350"/>
  <c r="V88" i="350"/>
  <c r="AE89" i="350"/>
  <c r="AA101" i="350"/>
  <c r="Z100" i="350"/>
  <c r="L27" i="350"/>
  <c r="W24" i="350"/>
  <c r="X24" i="350"/>
  <c r="X25" i="350"/>
  <c r="Y26" i="350"/>
  <c r="Q24" i="350"/>
  <c r="Q28" i="350"/>
  <c r="C123" i="350"/>
  <c r="E123" i="350"/>
  <c r="B90" i="350"/>
  <c r="W88" i="350"/>
  <c r="X89" i="350"/>
  <c r="W84" i="350"/>
  <c r="AD7" i="350"/>
  <c r="W66" i="350"/>
  <c r="L69" i="350"/>
  <c r="X66" i="350"/>
  <c r="Y68" i="350"/>
  <c r="X67" i="350"/>
  <c r="F182" i="350"/>
  <c r="A118" i="350"/>
  <c r="AE78" i="350"/>
  <c r="Y78" i="350"/>
  <c r="Z80" i="350"/>
  <c r="Y79" i="350"/>
  <c r="BP87" i="350"/>
  <c r="A87" i="350"/>
  <c r="CJ86" i="350"/>
  <c r="P82" i="350"/>
  <c r="Q66" i="350"/>
  <c r="AH11" i="350"/>
  <c r="Q186" i="350"/>
  <c r="S92" i="350"/>
  <c r="Q74" i="350"/>
  <c r="AD18" i="350"/>
  <c r="W91" i="350"/>
  <c r="X92" i="350"/>
  <c r="W75" i="350"/>
  <c r="N181" i="350"/>
  <c r="E91" i="350"/>
  <c r="R93" i="350"/>
  <c r="Q93" i="350"/>
  <c r="AD6" i="350"/>
  <c r="AE23" i="350"/>
  <c r="H120" i="350"/>
  <c r="G131" i="350"/>
  <c r="E131" i="350"/>
  <c r="AA23" i="350"/>
  <c r="V82" i="350"/>
  <c r="BP83" i="350"/>
  <c r="AE84" i="350"/>
  <c r="AE85" i="350"/>
  <c r="DH184" i="350"/>
  <c r="V85" i="350"/>
  <c r="CG83" i="350"/>
  <c r="V83" i="350"/>
  <c r="S84" i="350"/>
  <c r="A85" i="350"/>
  <c r="X76" i="350"/>
  <c r="X75" i="350"/>
  <c r="B131" i="350"/>
  <c r="X86" i="350"/>
  <c r="V74" i="350"/>
  <c r="P74" i="350"/>
  <c r="V75" i="350"/>
  <c r="AE76" i="350"/>
  <c r="S76" i="350"/>
  <c r="AE77" i="350"/>
  <c r="CG75" i="350"/>
  <c r="BP75" i="350"/>
  <c r="DF182" i="350"/>
  <c r="A77" i="350"/>
  <c r="V77" i="350"/>
  <c r="BL118" i="350"/>
  <c r="Q185" i="350"/>
  <c r="S89" i="350"/>
  <c r="V87" i="350"/>
  <c r="BB16" i="350"/>
  <c r="BB17" i="350"/>
  <c r="BB12" i="350"/>
  <c r="BB11" i="350"/>
  <c r="Z26" i="350"/>
  <c r="Y24" i="350"/>
  <c r="Y25" i="350"/>
  <c r="F169" i="350"/>
  <c r="A105" i="350"/>
  <c r="BL105" i="350"/>
  <c r="AE24" i="350"/>
  <c r="AB101" i="350"/>
  <c r="AA100" i="350"/>
  <c r="BB18" i="350"/>
  <c r="BB8" i="350"/>
  <c r="BB13" i="350"/>
  <c r="X88" i="350"/>
  <c r="Y89" i="350"/>
  <c r="CG90" i="350"/>
  <c r="C90" i="350"/>
  <c r="V90" i="350"/>
  <c r="W83" i="350"/>
  <c r="N183" i="350"/>
  <c r="X84" i="350"/>
  <c r="Z6" i="350"/>
  <c r="Z18" i="350"/>
  <c r="Z16" i="350"/>
  <c r="Z11" i="350"/>
  <c r="Z7" i="350"/>
  <c r="Z13" i="350"/>
  <c r="Z12" i="350"/>
  <c r="Z8" i="350"/>
  <c r="Z17" i="350"/>
  <c r="Z68" i="350"/>
  <c r="Y66" i="350"/>
  <c r="Y67" i="350"/>
  <c r="BK118" i="350"/>
  <c r="F179" i="350"/>
  <c r="A115" i="350"/>
  <c r="AE66" i="350"/>
  <c r="Z79" i="350"/>
  <c r="Z78" i="350"/>
  <c r="AA80" i="350"/>
  <c r="CG87" i="350"/>
  <c r="AH12" i="350"/>
  <c r="W74" i="350"/>
  <c r="L77" i="350"/>
  <c r="AE74" i="350"/>
  <c r="AD8" i="350"/>
  <c r="AH16" i="350"/>
  <c r="AH17" i="350"/>
  <c r="N186" i="350"/>
  <c r="C91" i="350"/>
  <c r="D189" i="350"/>
  <c r="F124" i="350"/>
  <c r="BL124" i="350"/>
  <c r="J124" i="350"/>
  <c r="B124" i="350"/>
  <c r="AD13" i="350"/>
  <c r="Y92" i="350"/>
  <c r="X91" i="350"/>
  <c r="AD91" i="350"/>
  <c r="K93" i="350"/>
  <c r="AB86" i="350"/>
  <c r="BP23" i="350"/>
  <c r="A23" i="350"/>
  <c r="CG23" i="350"/>
  <c r="Y76" i="350"/>
  <c r="Z76" i="350"/>
  <c r="X74" i="350"/>
  <c r="BK115" i="350"/>
  <c r="BL115" i="350"/>
  <c r="C105" i="350"/>
  <c r="AB100" i="350"/>
  <c r="AC101" i="350"/>
  <c r="AC100" i="350"/>
  <c r="BK105" i="350"/>
  <c r="Z25" i="350"/>
  <c r="AA26" i="350"/>
  <c r="Z24" i="350"/>
  <c r="Y88" i="350"/>
  <c r="Z89" i="350"/>
  <c r="Z4" i="350"/>
  <c r="CJ22" i="350"/>
  <c r="X82" i="350"/>
  <c r="X83" i="350"/>
  <c r="Y84" i="350"/>
  <c r="L85" i="350"/>
  <c r="W82" i="350"/>
  <c r="AB80" i="350"/>
  <c r="AA79" i="350"/>
  <c r="AA78" i="350"/>
  <c r="J118" i="350"/>
  <c r="B118" i="350"/>
  <c r="C118" i="350"/>
  <c r="AA68" i="350"/>
  <c r="Z67" i="350"/>
  <c r="Z66" i="350"/>
  <c r="F181" i="350"/>
  <c r="A117" i="350"/>
  <c r="BK117" i="350"/>
  <c r="B93" i="350"/>
  <c r="CG93" i="350"/>
  <c r="CH92" i="350"/>
  <c r="I93" i="350"/>
  <c r="C124" i="350"/>
  <c r="C129" i="350"/>
  <c r="E124" i="350"/>
  <c r="Y91" i="350"/>
  <c r="Z92" i="350"/>
  <c r="V23" i="350"/>
  <c r="Y74" i="350"/>
  <c r="Y75" i="350"/>
  <c r="AB26" i="350"/>
  <c r="AA24" i="350"/>
  <c r="AA25" i="350"/>
  <c r="J105" i="350"/>
  <c r="B105" i="350"/>
  <c r="Z88" i="350"/>
  <c r="AA89" i="350"/>
  <c r="AE82" i="350"/>
  <c r="F183" i="350"/>
  <c r="A119" i="350"/>
  <c r="Y83" i="350"/>
  <c r="Z84" i="350"/>
  <c r="Y82" i="350"/>
  <c r="AA76" i="350"/>
  <c r="Z74" i="350"/>
  <c r="Z75" i="350"/>
  <c r="AA66" i="350"/>
  <c r="AB68" i="350"/>
  <c r="AA67" i="350"/>
  <c r="E118" i="350"/>
  <c r="J115" i="350"/>
  <c r="B115" i="350"/>
  <c r="AC80" i="350"/>
  <c r="AB78" i="350"/>
  <c r="AB79" i="350"/>
  <c r="BL117" i="350"/>
  <c r="J117" i="350"/>
  <c r="B117" i="350"/>
  <c r="C117" i="350"/>
  <c r="C93" i="350"/>
  <c r="V93" i="350"/>
  <c r="AA92" i="350"/>
  <c r="Z91" i="350"/>
  <c r="E115" i="350"/>
  <c r="C115" i="350"/>
  <c r="BL119" i="350"/>
  <c r="E105" i="350"/>
  <c r="AC26" i="350"/>
  <c r="AB24" i="350"/>
  <c r="AB25" i="350"/>
  <c r="AB89" i="350"/>
  <c r="AA88" i="350"/>
  <c r="AA84" i="350"/>
  <c r="Z82" i="350"/>
  <c r="Z83" i="350"/>
  <c r="BK119" i="350"/>
  <c r="AA75" i="350"/>
  <c r="AB76" i="350"/>
  <c r="AA74" i="350"/>
  <c r="AB66" i="350"/>
  <c r="AB67" i="350"/>
  <c r="AC68" i="350"/>
  <c r="AC79" i="350"/>
  <c r="AC78" i="350"/>
  <c r="AD80" i="350"/>
  <c r="AB92" i="350"/>
  <c r="AA91" i="350"/>
  <c r="AD26" i="350"/>
  <c r="AC25" i="350"/>
  <c r="AC24" i="350"/>
  <c r="AB88" i="350"/>
  <c r="AC89" i="350"/>
  <c r="AC88" i="350"/>
  <c r="J119" i="350"/>
  <c r="B119" i="350"/>
  <c r="C119" i="350"/>
  <c r="AB84" i="350"/>
  <c r="AA83" i="350"/>
  <c r="AA82" i="350"/>
  <c r="AC67" i="350"/>
  <c r="AC66" i="350"/>
  <c r="AD68" i="350"/>
  <c r="E117" i="350"/>
  <c r="AD78" i="350"/>
  <c r="AD79" i="350"/>
  <c r="AB75" i="350"/>
  <c r="AB74" i="350"/>
  <c r="AC76" i="350"/>
  <c r="AC92" i="350"/>
  <c r="AC91" i="350"/>
  <c r="AB91" i="350"/>
  <c r="AD25" i="350"/>
  <c r="AD24" i="350"/>
  <c r="AC84" i="350"/>
  <c r="AB83" i="350"/>
  <c r="AB82" i="350"/>
  <c r="E119" i="350"/>
  <c r="C120" i="350"/>
  <c r="C131" i="350"/>
  <c r="AD66" i="350"/>
  <c r="AD67" i="350"/>
  <c r="AC74" i="350"/>
  <c r="AD76" i="350"/>
  <c r="AC75" i="350"/>
  <c r="Y86" i="350"/>
  <c r="AD84" i="350"/>
  <c r="AC83" i="350"/>
  <c r="AC82" i="350"/>
  <c r="AD75" i="350"/>
  <c r="AD74" i="350"/>
  <c r="AD82" i="350"/>
  <c r="AD83" i="350"/>
  <c r="L18" i="92"/>
  <c r="N18" i="92"/>
  <c r="Q21" i="92"/>
  <c r="L26" i="92"/>
  <c r="N26" i="92"/>
  <c r="Q29" i="92"/>
  <c r="BG3" i="92"/>
  <c r="W4" i="92"/>
  <c r="X4" i="92"/>
  <c r="N9" i="92"/>
  <c r="I9" i="92"/>
  <c r="O9" i="92"/>
  <c r="P9" i="92"/>
  <c r="T9" i="92"/>
  <c r="U9" i="92"/>
  <c r="N10" i="92"/>
  <c r="O10" i="92"/>
  <c r="P10" i="92"/>
  <c r="T10" i="92"/>
  <c r="H77" i="92"/>
  <c r="D33" i="92"/>
  <c r="O33" i="92"/>
  <c r="D31" i="92"/>
  <c r="F77" i="92"/>
  <c r="U33" i="92"/>
  <c r="O34" i="92"/>
  <c r="W5" i="92"/>
  <c r="K22" i="92"/>
  <c r="G77" i="92"/>
  <c r="E77" i="92"/>
  <c r="U35" i="92"/>
  <c r="N33" i="92"/>
  <c r="BG4" i="92"/>
  <c r="T33" i="92"/>
  <c r="P33" i="92"/>
  <c r="U10" i="92"/>
  <c r="X5" i="92"/>
  <c r="BG5" i="92"/>
  <c r="P11" i="92"/>
  <c r="U11" i="92"/>
  <c r="I11" i="92"/>
  <c r="W6" i="92"/>
  <c r="X6" i="92"/>
  <c r="N11" i="92"/>
  <c r="O11" i="92"/>
  <c r="T11" i="92"/>
  <c r="I31" i="92"/>
  <c r="D133" i="92"/>
  <c r="I77" i="92"/>
  <c r="K77" i="92"/>
  <c r="Q25" i="92"/>
  <c r="F76" i="92"/>
  <c r="F75" i="92"/>
  <c r="G76" i="92"/>
  <c r="G75" i="92"/>
  <c r="I76" i="92"/>
  <c r="I75" i="92"/>
  <c r="K76" i="92"/>
  <c r="K75" i="92"/>
  <c r="B11" i="92"/>
  <c r="AO2" i="92"/>
  <c r="AP2" i="92"/>
  <c r="L11" i="92"/>
  <c r="E28" i="92"/>
  <c r="L9" i="92"/>
  <c r="B9" i="92"/>
  <c r="AS2" i="92"/>
  <c r="AT2" i="92"/>
  <c r="E20" i="92"/>
  <c r="K9" i="92"/>
  <c r="K11" i="92"/>
  <c r="C11" i="92"/>
  <c r="W11" i="92"/>
  <c r="K26" i="92"/>
  <c r="S11" i="92"/>
  <c r="Q3" i="92"/>
  <c r="BC5" i="92"/>
  <c r="BD5" i="92"/>
  <c r="BE5" i="92"/>
  <c r="E29" i="92"/>
  <c r="F28" i="92"/>
  <c r="G28" i="92"/>
  <c r="F26" i="92"/>
  <c r="F27" i="92"/>
  <c r="N35" i="92"/>
  <c r="H28" i="92"/>
  <c r="G27" i="92"/>
  <c r="G26" i="92"/>
  <c r="H27" i="92"/>
  <c r="I28" i="92"/>
  <c r="H26" i="92"/>
  <c r="I26" i="92"/>
  <c r="I27" i="92"/>
  <c r="J28" i="92"/>
  <c r="J26" i="92"/>
  <c r="J27" i="92"/>
  <c r="N22" i="92"/>
  <c r="K35" i="92"/>
  <c r="H31" i="92"/>
  <c r="D136" i="92"/>
  <c r="L22" i="92"/>
  <c r="L33" i="92"/>
  <c r="C33" i="92"/>
  <c r="K33" i="92"/>
  <c r="M34" i="92"/>
  <c r="I33" i="92"/>
  <c r="G31" i="92"/>
  <c r="H33" i="92"/>
  <c r="W33" i="92"/>
  <c r="S33" i="92"/>
  <c r="F31" i="92"/>
  <c r="J31" i="92"/>
  <c r="E36" i="92"/>
  <c r="BC6" i="92"/>
  <c r="BD6" i="92"/>
  <c r="BE6" i="92"/>
  <c r="K31" i="92"/>
  <c r="S35" i="92"/>
  <c r="T35" i="92"/>
  <c r="M33" i="92"/>
  <c r="T2" i="92"/>
  <c r="B74" i="90"/>
  <c r="J533" i="374"/>
  <c r="F532" i="374"/>
  <c r="G532" i="374"/>
  <c r="J532" i="374"/>
  <c r="J627" i="18"/>
  <c r="F626" i="18"/>
  <c r="G626" i="18"/>
  <c r="J626" i="18"/>
  <c r="CK17" i="407"/>
  <c r="CJ17" i="407"/>
  <c r="CH17" i="407"/>
  <c r="CH6" i="407"/>
  <c r="CI17" i="407"/>
  <c r="CG17" i="407"/>
  <c r="CH15" i="407"/>
  <c r="CS14" i="407"/>
  <c r="CR14" i="407"/>
  <c r="CN14" i="407"/>
  <c r="CI14" i="407"/>
  <c r="CO14" i="407"/>
  <c r="CL14" i="407"/>
  <c r="CK14" i="407"/>
  <c r="CH14" i="407"/>
  <c r="BE14" i="407"/>
  <c r="BD14" i="407"/>
  <c r="CJ14" i="407"/>
  <c r="BC14" i="407"/>
  <c r="V14" i="407"/>
  <c r="U14" i="407"/>
  <c r="CH13" i="407"/>
  <c r="CS12" i="407"/>
  <c r="CR12" i="407"/>
  <c r="CN12" i="407"/>
  <c r="CI12" i="407"/>
  <c r="CO12" i="407"/>
  <c r="CL12" i="407"/>
  <c r="CK12" i="407"/>
  <c r="CH12" i="407"/>
  <c r="BE12" i="407"/>
  <c r="BD12" i="407"/>
  <c r="CJ12" i="407"/>
  <c r="BC12" i="407"/>
  <c r="V12" i="407"/>
  <c r="U12" i="407"/>
  <c r="CS11" i="407"/>
  <c r="CR11" i="407"/>
  <c r="CN11" i="407"/>
  <c r="CI11" i="407"/>
  <c r="CO11" i="407"/>
  <c r="CL11" i="407"/>
  <c r="CK11" i="407"/>
  <c r="CH11" i="407"/>
  <c r="BE11" i="407"/>
  <c r="BD11" i="407"/>
  <c r="CJ11" i="407"/>
  <c r="BC11" i="407"/>
  <c r="V11" i="407"/>
  <c r="U11" i="407"/>
  <c r="CS10" i="407"/>
  <c r="CR10" i="407"/>
  <c r="CN10" i="407"/>
  <c r="CI10" i="407"/>
  <c r="CO10" i="407"/>
  <c r="CL10" i="407"/>
  <c r="CK10" i="407"/>
  <c r="CH10" i="407"/>
  <c r="BE10" i="407"/>
  <c r="BD10" i="407"/>
  <c r="CJ10" i="407"/>
  <c r="BC10" i="407"/>
  <c r="V10" i="407"/>
  <c r="U10" i="407"/>
  <c r="CH9" i="407"/>
  <c r="CS8" i="407"/>
  <c r="CR8" i="407"/>
  <c r="CN8" i="407"/>
  <c r="CI8" i="407"/>
  <c r="CO8" i="407"/>
  <c r="CL8" i="407"/>
  <c r="CK8" i="407"/>
  <c r="CH8" i="407"/>
  <c r="BE8" i="407"/>
  <c r="BD8" i="407"/>
  <c r="CJ8" i="407"/>
  <c r="BC8" i="407"/>
  <c r="V8" i="407"/>
  <c r="U8" i="407"/>
  <c r="CS7" i="407"/>
  <c r="CR7" i="407"/>
  <c r="CN7" i="407"/>
  <c r="CI7" i="407"/>
  <c r="CO7" i="407"/>
  <c r="CL7" i="407"/>
  <c r="CK6" i="407"/>
  <c r="CK7" i="407"/>
  <c r="CH7" i="407"/>
  <c r="BE7" i="407"/>
  <c r="BD7" i="407"/>
  <c r="CJ7" i="407"/>
  <c r="BC7" i="407"/>
  <c r="V7" i="407"/>
  <c r="U7" i="407"/>
  <c r="CS6" i="407"/>
  <c r="CR6" i="407"/>
  <c r="CI6" i="407"/>
  <c r="CN6" i="407"/>
  <c r="CO6" i="407"/>
  <c r="CL6" i="407"/>
  <c r="BE6" i="407"/>
  <c r="BD6" i="407"/>
  <c r="CJ6" i="407"/>
  <c r="BC6" i="407"/>
  <c r="V6" i="407"/>
  <c r="U6" i="407"/>
  <c r="CK21" i="350"/>
  <c r="CJ21" i="350"/>
  <c r="CH21" i="350"/>
  <c r="CH6" i="350"/>
  <c r="CI21" i="350"/>
  <c r="CG21" i="350"/>
  <c r="CH19" i="350"/>
  <c r="CS18" i="350"/>
  <c r="CR18" i="350"/>
  <c r="CN18" i="350"/>
  <c r="CI18" i="350"/>
  <c r="CO18" i="350"/>
  <c r="CL18" i="350"/>
  <c r="CK18" i="350"/>
  <c r="CH18" i="350"/>
  <c r="BE18" i="350"/>
  <c r="BD18" i="350"/>
  <c r="CJ18" i="350"/>
  <c r="BC18" i="350"/>
  <c r="V18" i="350"/>
  <c r="U18" i="350"/>
  <c r="CS17" i="350"/>
  <c r="CR17" i="350"/>
  <c r="CN17" i="350"/>
  <c r="CI17" i="350"/>
  <c r="CO17" i="350"/>
  <c r="CL17" i="350"/>
  <c r="CK17" i="350"/>
  <c r="CH17" i="350"/>
  <c r="BE17" i="350"/>
  <c r="BD17" i="350"/>
  <c r="CJ17" i="350"/>
  <c r="BC17" i="350"/>
  <c r="V17" i="350"/>
  <c r="U17" i="350"/>
  <c r="CS16" i="350"/>
  <c r="CR16" i="350"/>
  <c r="CN16" i="350"/>
  <c r="CI16" i="350"/>
  <c r="CO16" i="350"/>
  <c r="CL16" i="350"/>
  <c r="CH16" i="350"/>
  <c r="BE16" i="350"/>
  <c r="BD16" i="350"/>
  <c r="CJ16" i="350"/>
  <c r="BC16" i="350"/>
  <c r="V16" i="350"/>
  <c r="U16" i="350"/>
  <c r="CH15" i="350"/>
  <c r="CK16" i="350"/>
  <c r="B15" i="350"/>
  <c r="CT15" i="350"/>
  <c r="A15" i="350"/>
  <c r="CH14" i="350"/>
  <c r="CS13" i="350"/>
  <c r="CR13" i="350"/>
  <c r="CN13" i="350"/>
  <c r="CI13" i="350"/>
  <c r="CO13" i="350"/>
  <c r="CL13" i="350"/>
  <c r="CK13" i="350"/>
  <c r="CH13" i="350"/>
  <c r="BE13" i="350"/>
  <c r="BD13" i="350"/>
  <c r="CJ13" i="350"/>
  <c r="BC13" i="350"/>
  <c r="V13" i="350"/>
  <c r="U13" i="350"/>
  <c r="CS12" i="350"/>
  <c r="CR12" i="350"/>
  <c r="CN12" i="350"/>
  <c r="CI12" i="350"/>
  <c r="CO12" i="350"/>
  <c r="CL12" i="350"/>
  <c r="CK12" i="350"/>
  <c r="CH12" i="350"/>
  <c r="BE12" i="350"/>
  <c r="BD12" i="350"/>
  <c r="CJ12" i="350"/>
  <c r="BC12" i="350"/>
  <c r="V12" i="350"/>
  <c r="U12" i="350"/>
  <c r="CS11" i="350"/>
  <c r="CR11" i="350"/>
  <c r="CN11" i="350"/>
  <c r="CI11" i="350"/>
  <c r="CO11" i="350"/>
  <c r="CL11" i="350"/>
  <c r="CH11" i="350"/>
  <c r="BE11" i="350"/>
  <c r="BD11" i="350"/>
  <c r="CJ11" i="350"/>
  <c r="BC11" i="350"/>
  <c r="V11" i="350"/>
  <c r="U11" i="350"/>
  <c r="CH10" i="350"/>
  <c r="CK11" i="350"/>
  <c r="B10" i="350"/>
  <c r="CT10" i="350"/>
  <c r="A10" i="350"/>
  <c r="CH9" i="350"/>
  <c r="CS8" i="350"/>
  <c r="CR8" i="350"/>
  <c r="CN8" i="350"/>
  <c r="CI8" i="350"/>
  <c r="CO8" i="350"/>
  <c r="CL8" i="350"/>
  <c r="CK8" i="350"/>
  <c r="CH8" i="350"/>
  <c r="BE8" i="350"/>
  <c r="BD8" i="350"/>
  <c r="CJ8" i="350"/>
  <c r="BC8" i="350"/>
  <c r="V8" i="350"/>
  <c r="U8" i="350"/>
  <c r="CS7" i="350"/>
  <c r="CR7" i="350"/>
  <c r="CN7" i="350"/>
  <c r="CI7" i="350"/>
  <c r="CO7" i="350"/>
  <c r="CL7" i="350"/>
  <c r="CK6" i="350"/>
  <c r="CK7" i="350"/>
  <c r="CH7" i="350"/>
  <c r="BE7" i="350"/>
  <c r="BD7" i="350"/>
  <c r="CJ7" i="350"/>
  <c r="BC7" i="350"/>
  <c r="V7" i="350"/>
  <c r="U7" i="350"/>
  <c r="CS6" i="350"/>
  <c r="CR6" i="350"/>
  <c r="CI6" i="350"/>
  <c r="CN6" i="350"/>
  <c r="CO6" i="350"/>
  <c r="CL6" i="350"/>
  <c r="BE6" i="350"/>
  <c r="BD6" i="350"/>
  <c r="CJ6" i="350"/>
  <c r="BC6" i="350"/>
  <c r="V6" i="350"/>
  <c r="U6" i="350"/>
  <c r="D138" i="92"/>
  <c r="N24" i="92"/>
  <c r="D137" i="92"/>
  <c r="D134" i="92"/>
  <c r="D132" i="92"/>
  <c r="D131" i="92"/>
  <c r="E125" i="92"/>
  <c r="L75" i="92"/>
  <c r="V35" i="92"/>
  <c r="T34" i="92"/>
  <c r="S34" i="92"/>
  <c r="N34" i="92"/>
  <c r="J35" i="92"/>
  <c r="J34" i="92"/>
  <c r="I35" i="92"/>
  <c r="I34" i="92"/>
  <c r="H35" i="92"/>
  <c r="H34" i="92"/>
  <c r="G35" i="92"/>
  <c r="G34" i="92"/>
  <c r="F35" i="92"/>
  <c r="F34" i="92"/>
  <c r="D130" i="92"/>
  <c r="A125" i="92"/>
  <c r="D7" i="92"/>
  <c r="E35" i="92"/>
  <c r="E34" i="92"/>
  <c r="V33" i="92"/>
  <c r="J33" i="92"/>
  <c r="W30" i="92"/>
  <c r="BF4" i="92"/>
  <c r="BF1" i="92"/>
  <c r="BE3" i="92"/>
  <c r="T30" i="92"/>
  <c r="K30" i="92"/>
  <c r="J30" i="92"/>
  <c r="Q4" i="92"/>
  <c r="S29" i="92"/>
  <c r="S28" i="92"/>
  <c r="Q27" i="92"/>
  <c r="S27" i="92"/>
  <c r="E27" i="92"/>
  <c r="S26" i="92"/>
  <c r="M26" i="92"/>
  <c r="M11" i="92"/>
  <c r="X11" i="92"/>
  <c r="H11" i="92"/>
  <c r="E26" i="92"/>
  <c r="U25" i="92"/>
  <c r="S25" i="92"/>
  <c r="E25" i="92"/>
  <c r="U24" i="92"/>
  <c r="S24" i="92"/>
  <c r="Q24" i="92"/>
  <c r="S23" i="92"/>
  <c r="Q23" i="92"/>
  <c r="K23" i="92"/>
  <c r="J23" i="92"/>
  <c r="I23" i="92"/>
  <c r="H23" i="92"/>
  <c r="G23" i="92"/>
  <c r="F23" i="92"/>
  <c r="E23" i="92"/>
  <c r="H10" i="92"/>
  <c r="S22" i="92"/>
  <c r="M22" i="92"/>
  <c r="M10" i="92"/>
  <c r="J24" i="92"/>
  <c r="J22" i="92"/>
  <c r="I24" i="92"/>
  <c r="I22" i="92"/>
  <c r="H24" i="92"/>
  <c r="H22" i="92"/>
  <c r="G24" i="92"/>
  <c r="G22" i="92"/>
  <c r="F24" i="92"/>
  <c r="F22" i="92"/>
  <c r="E24" i="92"/>
  <c r="E22" i="92"/>
  <c r="S21" i="92"/>
  <c r="E21" i="92"/>
  <c r="S20" i="92"/>
  <c r="S19" i="92"/>
  <c r="Q19" i="92"/>
  <c r="J19" i="92"/>
  <c r="I19" i="92"/>
  <c r="H19" i="92"/>
  <c r="G19" i="92"/>
  <c r="F19" i="92"/>
  <c r="E19" i="92"/>
  <c r="S18" i="92"/>
  <c r="M18" i="92"/>
  <c r="M9" i="92"/>
  <c r="S9" i="92"/>
  <c r="K18" i="92"/>
  <c r="J20" i="92"/>
  <c r="J18" i="92"/>
  <c r="I20" i="92"/>
  <c r="I18" i="92"/>
  <c r="H20" i="92"/>
  <c r="H18" i="92"/>
  <c r="G20" i="92"/>
  <c r="G18" i="92"/>
  <c r="F20" i="92"/>
  <c r="F18" i="92"/>
  <c r="H9" i="92"/>
  <c r="E18" i="92"/>
  <c r="M16" i="92"/>
  <c r="N14" i="92"/>
  <c r="I14" i="92"/>
  <c r="M14" i="92"/>
  <c r="K14" i="92"/>
  <c r="Q13" i="92"/>
  <c r="P13" i="92"/>
  <c r="I13" i="92"/>
  <c r="N13" i="92"/>
  <c r="M13" i="92"/>
  <c r="K13" i="92"/>
  <c r="Q15" i="92"/>
  <c r="Q14" i="92"/>
  <c r="Q12" i="92"/>
  <c r="M12" i="92"/>
  <c r="C12" i="92"/>
  <c r="V11" i="92"/>
  <c r="J11" i="92"/>
  <c r="X10" i="92"/>
  <c r="W10" i="92"/>
  <c r="V10" i="92"/>
  <c r="J10" i="92"/>
  <c r="I10" i="92"/>
  <c r="W9" i="92"/>
  <c r="V9" i="92"/>
  <c r="J9" i="92"/>
  <c r="U6" i="92"/>
  <c r="AX5" i="92"/>
  <c r="AW5" i="92"/>
  <c r="AV5" i="92"/>
  <c r="AU5" i="92"/>
  <c r="AT5" i="92"/>
  <c r="AS5" i="92"/>
  <c r="AR5" i="92"/>
  <c r="AQ5" i="92"/>
  <c r="AO5" i="92"/>
  <c r="AY5" i="92"/>
  <c r="T14" i="92"/>
  <c r="A14" i="92"/>
  <c r="C14" i="92"/>
  <c r="H14" i="92"/>
  <c r="BA5" i="92"/>
  <c r="AP5" i="92"/>
  <c r="J5" i="92"/>
  <c r="BE4" i="92"/>
  <c r="BD4" i="92"/>
  <c r="BC4" i="92"/>
  <c r="Q2" i="92"/>
  <c r="AX4" i="92"/>
  <c r="AW4" i="92"/>
  <c r="AV4" i="92"/>
  <c r="AU4" i="92"/>
  <c r="AT4" i="92"/>
  <c r="AS4" i="92"/>
  <c r="AR4" i="92"/>
  <c r="AQ4" i="92"/>
  <c r="AO4" i="92"/>
  <c r="AY4" i="92"/>
  <c r="T13" i="92"/>
  <c r="A13" i="92"/>
  <c r="C13" i="92"/>
  <c r="H13" i="92"/>
  <c r="BA4" i="92"/>
  <c r="AP4" i="92"/>
  <c r="B4" i="92"/>
  <c r="A4" i="92"/>
  <c r="BD3" i="92"/>
  <c r="C6" i="92"/>
  <c r="X9" i="92"/>
  <c r="B7" i="92"/>
  <c r="C9" i="92"/>
  <c r="Q1" i="92"/>
  <c r="BC3" i="92"/>
  <c r="AY3" i="92"/>
  <c r="AO3" i="92"/>
  <c r="AX3" i="92"/>
  <c r="AV3" i="92"/>
  <c r="AU3" i="92"/>
  <c r="AT3" i="92"/>
  <c r="AS3" i="92"/>
  <c r="AR3" i="92"/>
  <c r="AQ3" i="92"/>
  <c r="A12" i="92"/>
  <c r="H12" i="92"/>
  <c r="BA3" i="92"/>
  <c r="AP3" i="92"/>
  <c r="E76" i="92"/>
  <c r="E75" i="92"/>
  <c r="L10" i="92"/>
  <c r="K10" i="92"/>
  <c r="C7" i="92"/>
  <c r="C10" i="92"/>
  <c r="S10" i="92"/>
  <c r="K12" i="92"/>
  <c r="T6" i="92"/>
  <c r="T5" i="92"/>
  <c r="T4" i="92"/>
  <c r="B6" i="92"/>
  <c r="M3" i="92"/>
  <c r="AR2" i="92"/>
  <c r="L25" i="92"/>
  <c r="H76" i="92"/>
  <c r="H75" i="92"/>
  <c r="B10" i="92"/>
  <c r="AQ2" i="92"/>
</calcChain>
</file>

<file path=xl/comments1.xml><?xml version="1.0" encoding="utf-8"?>
<comments xmlns="http://schemas.openxmlformats.org/spreadsheetml/2006/main">
  <authors>
    <author>Dave Peters</author>
  </authors>
  <commentList>
    <comment ref="A281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v7</t>
        </r>
      </text>
    </comment>
    <comment ref="A286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v7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v7</t>
        </r>
      </text>
    </comment>
    <comment ref="A450" authorId="0">
      <text>
        <r>
          <rPr>
            <b/>
            <sz val="9"/>
            <color indexed="81"/>
            <rFont val="Tahoma"/>
            <family val="2"/>
          </rPr>
          <t>0417 update</t>
        </r>
      </text>
    </comment>
  </commentList>
</comments>
</file>

<file path=xl/comments2.xml><?xml version="1.0" encoding="utf-8"?>
<comments xmlns="http://schemas.openxmlformats.org/spreadsheetml/2006/main">
  <authors>
    <author>Dave Peters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Set column M memory to match available column C values.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Perpetual + SUMS
100+25/client</t>
        </r>
      </text>
    </comment>
    <comment ref="F63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4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dave</author>
    <author>Dave Peters</author>
  </authors>
  <commentList>
    <comment ref="O2" authorId="0">
      <text>
        <r>
          <rPr>
            <b/>
            <sz val="8"/>
            <color indexed="81"/>
            <rFont val="Tahoma"/>
            <family val="2"/>
          </rPr>
          <t>Client Mbpd</t>
        </r>
        <r>
          <rPr>
            <sz val="8"/>
            <color indexed="81"/>
            <rFont val="Tahoma"/>
            <family val="2"/>
          </rPr>
          <t xml:space="preserve">
Use ESRI Standard values if no traffic measurements are available.</t>
        </r>
      </text>
    </comment>
    <comment ref="P2" authorId="0">
      <text>
        <r>
          <rPr>
            <b/>
            <sz val="8"/>
            <color indexed="81"/>
            <rFont val="Tahoma"/>
            <family val="2"/>
          </rPr>
          <t>RESET</t>
        </r>
        <r>
          <rPr>
            <sz val="8"/>
            <color indexed="81"/>
            <rFont val="Tahoma"/>
            <family val="2"/>
          </rPr>
          <t xml:space="preserve">
Do not leave in AJUST mode.</t>
        </r>
      </text>
    </comment>
    <comment ref="Q2" authorId="0">
      <text>
        <r>
          <rPr>
            <b/>
            <sz val="8"/>
            <color indexed="81"/>
            <rFont val="Tahoma"/>
            <family val="2"/>
          </rPr>
          <t>Blink</t>
        </r>
        <r>
          <rPr>
            <sz val="8"/>
            <color indexed="81"/>
            <rFont val="Tahoma"/>
            <family val="2"/>
          </rPr>
          <t xml:space="preserve">
Select from large to smaller values during max loads.</t>
        </r>
      </text>
    </comment>
    <comment ref="A3" authorId="0">
      <text>
        <r>
          <rPr>
            <b/>
            <sz val="8"/>
            <color indexed="81"/>
            <rFont val="Tahoma"/>
            <family val="2"/>
          </rPr>
          <t>Throughput (TPH)</t>
        </r>
        <r>
          <rPr>
            <sz val="8"/>
            <color indexed="81"/>
            <rFont val="Tahoma"/>
            <family val="2"/>
          </rPr>
          <t xml:space="preserve">
TPH&gt;0 takes priority over peak user input.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>dave:</t>
        </r>
        <r>
          <rPr>
            <sz val="8"/>
            <color indexed="81"/>
            <rFont val="Tahoma"/>
            <family val="2"/>
          </rPr>
          <t xml:space="preserve">
Network Bandwidth</t>
        </r>
      </text>
    </comment>
    <comment ref="F3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Select client resolution in cell T2.
</t>
        </r>
      </text>
    </comment>
    <comment ref="A5" authorId="0">
      <text>
        <r>
          <rPr>
            <b/>
            <sz val="8"/>
            <color indexed="81"/>
            <rFont val="Tahoma"/>
            <family val="2"/>
          </rPr>
          <t>Peak Users</t>
        </r>
        <r>
          <rPr>
            <sz val="8"/>
            <color indexed="81"/>
            <rFont val="Tahoma"/>
            <family val="2"/>
          </rPr>
          <t xml:space="preserve">
TPH takes priority over peak user input.</t>
        </r>
      </text>
    </comment>
    <comment ref="B12" authorId="0">
      <text>
        <r>
          <rPr>
            <sz val="8"/>
            <color indexed="81"/>
            <rFont val="Tahoma"/>
            <family val="2"/>
          </rPr>
          <t>MXD: MXD display render time.
MSD: MSD display render time.</t>
        </r>
      </text>
    </comment>
    <comment ref="A18" authorId="0">
      <text>
        <r>
          <rPr>
            <b/>
            <sz val="8"/>
            <color indexed="81"/>
            <rFont val="Tahoma"/>
            <family val="2"/>
          </rPr>
          <t>MXD Service Time.</t>
        </r>
        <r>
          <rPr>
            <sz val="8"/>
            <color indexed="81"/>
            <rFont val="Tahoma"/>
            <family val="2"/>
          </rPr>
          <t xml:space="preserve">
Takes priority over test results.</t>
        </r>
      </text>
    </comment>
  </commentList>
</comments>
</file>

<file path=xl/comments4.xml><?xml version="1.0" encoding="utf-8"?>
<comments xmlns="http://schemas.openxmlformats.org/spreadsheetml/2006/main">
  <authors>
    <author>Dave Peters</author>
    <author>dave</author>
  </authors>
  <commentList>
    <comment ref="A29" authorId="0">
      <text>
        <r>
          <rPr>
            <b/>
            <sz val="9"/>
            <color indexed="81"/>
            <rFont val="Tahoma"/>
            <family val="2"/>
          </rPr>
          <t>0715 Desktop selection</t>
        </r>
      </text>
    </comment>
    <comment ref="A62" authorId="1">
      <text>
        <r>
          <rPr>
            <b/>
            <sz val="8"/>
            <color indexed="81"/>
            <rFont val="Tahoma"/>
            <family val="2"/>
          </rPr>
          <t>Candidates</t>
        </r>
        <r>
          <rPr>
            <sz val="8"/>
            <color indexed="81"/>
            <rFont val="Tahoma"/>
            <family val="2"/>
          </rPr>
          <t xml:space="preserve">
copy platform row and insert copied cells.</t>
        </r>
      </text>
    </comment>
    <comment ref="A65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6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7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8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9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8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9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0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3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4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5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6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3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4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5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5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6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7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8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9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0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8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Custom Amazon build
Performance estimate based on published compute units.</t>
        </r>
      </text>
    </comment>
    <comment ref="F389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Custom Amazon build
Performance estimate based on published compute units.</t>
        </r>
      </text>
    </comment>
    <comment ref="F390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Custom Amazon build
Performance estimate based on published compute units.</t>
        </r>
      </text>
    </comment>
    <comment ref="F391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Custom Amazon build
Performance estimate based on published compute units.</t>
        </r>
      </text>
    </comment>
    <comment ref="O465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K$1* LN(core) + L$1</t>
        </r>
      </text>
    </comment>
    <comment ref="P465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N3 * LN(core) + N4</t>
        </r>
      </text>
    </comment>
    <comment ref="A585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9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0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1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2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3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1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2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3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4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5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2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3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4" authorId="0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dave</author>
    <author>Dave Peters</author>
  </authors>
  <commentList>
    <comment ref="C2" authorId="0">
      <text>
        <r>
          <rPr>
            <b/>
            <sz val="8"/>
            <color indexed="81"/>
            <rFont val="Tahoma"/>
            <family val="2"/>
          </rPr>
          <t>Test platform:</t>
        </r>
        <r>
          <rPr>
            <sz val="8"/>
            <color indexed="81"/>
            <rFont val="Tahoma"/>
            <family val="2"/>
          </rPr>
          <t xml:space="preserve">
Select platform used to measure custom  service times.</t>
        </r>
      </text>
    </comment>
    <comment ref="I10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Reduced processing due to feature caching on client application.  Adjusted here because of ICA rather than feature output in Output adjustments.</t>
        </r>
      </text>
    </comment>
    <comment ref="C23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100 Geocodes per transaction</t>
        </r>
      </text>
    </comment>
    <comment ref="C24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-1 GeoEvent per transaction
-Set chatter at 1
-Set productivity (60dpm)</t>
        </r>
      </text>
    </comment>
    <comment ref="C25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-1 GeoEvent per transaction
-Set chatter at 1
-Set productivity (60dpm)</t>
        </r>
      </text>
    </comment>
  </commentList>
</comments>
</file>

<file path=xl/comments6.xml><?xml version="1.0" encoding="utf-8"?>
<comments xmlns="http://schemas.openxmlformats.org/spreadsheetml/2006/main">
  <authors>
    <author>dave</author>
    <author>Dave Peters</author>
  </authors>
  <commentList>
    <comment ref="A5" authorId="0">
      <text>
        <r>
          <rPr>
            <b/>
            <sz val="8"/>
            <color indexed="81"/>
            <rFont val="Tahoma"/>
            <family val="2"/>
          </rPr>
          <t xml:space="preserve">Autoadjust
</t>
        </r>
        <r>
          <rPr>
            <sz val="8"/>
            <color indexed="81"/>
            <rFont val="Tahoma"/>
            <family val="2"/>
          </rPr>
          <t xml:space="preserve">copy/insert row from this section and select new processor in column B
</t>
        </r>
      </text>
    </comment>
    <comment ref="B5" authorId="0">
      <text>
        <r>
          <rPr>
            <b/>
            <sz val="8"/>
            <color indexed="81"/>
            <rFont val="Tahoma"/>
            <family val="2"/>
          </rPr>
          <t>Processor Selection</t>
        </r>
        <r>
          <rPr>
            <sz val="8"/>
            <color indexed="81"/>
            <rFont val="Tahoma"/>
            <family val="2"/>
          </rPr>
          <t xml:space="preserve">
Select new processors in this column (B)</t>
        </r>
      </text>
    </comment>
    <comment ref="C5" authorId="0">
      <text>
        <r>
          <rPr>
            <b/>
            <sz val="8"/>
            <color indexed="81"/>
            <rFont val="Tahoma"/>
            <family val="2"/>
          </rPr>
          <t>Core</t>
        </r>
        <r>
          <rPr>
            <sz val="8"/>
            <color indexed="81"/>
            <rFont val="Tahoma"/>
            <family val="2"/>
          </rPr>
          <t xml:space="preserve">
Enter number of core and autoajust will make the appropriate adjustments.</t>
        </r>
      </text>
    </comment>
    <comment ref="A25" authorId="1">
      <text>
        <r>
          <rPr>
            <b/>
            <sz val="9"/>
            <color indexed="81"/>
            <rFont val="Tahoma"/>
            <family val="2"/>
          </rPr>
          <t>0715 Desktop selection</t>
        </r>
      </text>
    </comment>
    <comment ref="A58" authorId="0">
      <text>
        <r>
          <rPr>
            <b/>
            <sz val="8"/>
            <color indexed="81"/>
            <rFont val="Tahoma"/>
            <family val="2"/>
          </rPr>
          <t>Candidates</t>
        </r>
        <r>
          <rPr>
            <sz val="8"/>
            <color indexed="81"/>
            <rFont val="Tahoma"/>
            <family val="2"/>
          </rPr>
          <t xml:space="preserve">
copy platform row and insert copied cells.</t>
        </r>
      </text>
    </comment>
    <comment ref="A59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2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4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6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4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5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6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6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7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8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7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5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Custom Amazon build
Performance estimate based on published compute units.</t>
        </r>
      </text>
    </comment>
    <comment ref="F346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Custom Amazon build
Performance estimate based on published compute units.</t>
        </r>
      </text>
    </comment>
    <comment ref="F347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Custom Amazon build
Performance estimate based on published compute units.</t>
        </r>
      </text>
    </comment>
    <comment ref="F348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Custom Amazon build
Performance estimate based on published compute units.</t>
        </r>
      </text>
    </comment>
    <comment ref="F349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Custom Amazon build
Performance estimate based on published compute units.</t>
        </r>
      </text>
    </comment>
    <comment ref="A495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96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0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1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2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12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13" authorId="1">
      <text>
        <r>
          <rPr>
            <b/>
            <sz val="9"/>
            <color indexed="81"/>
            <rFont val="Tahoma"/>
            <family val="2"/>
          </rPr>
          <t>0715 Server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8" authorId="0">
      <text>
        <r>
          <rPr>
            <b/>
            <sz val="8"/>
            <color indexed="81"/>
            <rFont val="Tahoma"/>
            <family val="2"/>
          </rPr>
          <t>Candidates</t>
        </r>
        <r>
          <rPr>
            <sz val="8"/>
            <color indexed="81"/>
            <rFont val="Tahoma"/>
            <family val="2"/>
          </rPr>
          <t xml:space="preserve">
copy platform row and insert copied cells.</t>
        </r>
      </text>
    </comment>
    <comment ref="G541" authorId="0">
      <text>
        <r>
          <rPr>
            <b/>
            <sz val="8"/>
            <color indexed="81"/>
            <rFont val="Tahoma"/>
            <family val="2"/>
          </rPr>
          <t>DPM/client</t>
        </r>
        <r>
          <rPr>
            <sz val="8"/>
            <color indexed="81"/>
            <rFont val="Tahoma"/>
            <family val="2"/>
          </rPr>
          <t xml:space="preserve">
Leave blank for default productivity.
Desktop = 10 DPM
Server = 6 DPM</t>
        </r>
      </text>
    </comment>
    <comment ref="H541" authorId="0">
      <text>
        <r>
          <rPr>
            <sz val="9"/>
            <color indexed="81"/>
            <rFont val="Tahoma"/>
            <family val="2"/>
          </rPr>
          <t xml:space="preserve">total physical machines
</t>
        </r>
      </text>
    </comment>
    <comment ref="C543" authorId="0">
      <text>
        <r>
          <rPr>
            <sz val="8"/>
            <color indexed="81"/>
            <rFont val="Tahoma"/>
            <family val="2"/>
          </rPr>
          <t xml:space="preserve">Relative to current 4 core performance baseline
</t>
        </r>
      </text>
    </comment>
    <comment ref="D543" authorId="0">
      <text>
        <r>
          <rPr>
            <sz val="8"/>
            <color indexed="81"/>
            <rFont val="Tahoma"/>
            <family val="2"/>
          </rPr>
          <t>Performance relative to current platform performance baseline</t>
        </r>
      </text>
    </comment>
    <comment ref="F545" authorId="0">
      <text>
        <r>
          <rPr>
            <sz val="8"/>
            <color indexed="81"/>
            <rFont val="Tahoma"/>
            <family val="2"/>
          </rPr>
          <t>relative to 2010 performance baseline</t>
        </r>
      </text>
    </comment>
  </commentList>
</comments>
</file>

<file path=xl/comments7.xml><?xml version="1.0" encoding="utf-8"?>
<comments xmlns="http://schemas.openxmlformats.org/spreadsheetml/2006/main">
  <authors>
    <author>dave</author>
  </authors>
  <commentList>
    <comment ref="G1" authorId="0">
      <text>
        <r>
          <rPr>
            <b/>
            <sz val="8"/>
            <color indexed="81"/>
            <rFont val="Tahoma"/>
            <family val="2"/>
          </rPr>
          <t>DPM/client</t>
        </r>
        <r>
          <rPr>
            <sz val="8"/>
            <color indexed="81"/>
            <rFont val="Tahoma"/>
            <family val="2"/>
          </rPr>
          <t xml:space="preserve">
Leave blank for default productivity.
Desktop = 10 DPM
Server = 6 DPM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total physical machines
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Relative to current 4 core performance baseline
</t>
        </r>
      </text>
    </comment>
    <comment ref="D3" authorId="0">
      <text>
        <r>
          <rPr>
            <sz val="8"/>
            <color indexed="81"/>
            <rFont val="Tahoma"/>
            <family val="2"/>
          </rPr>
          <t>Performance relative to current platform performance baseline</t>
        </r>
      </text>
    </comment>
    <comment ref="F5" authorId="0">
      <text>
        <r>
          <rPr>
            <sz val="8"/>
            <color indexed="81"/>
            <rFont val="Tahoma"/>
            <family val="2"/>
          </rPr>
          <t>relative to 2010 performance baseline</t>
        </r>
      </text>
    </comment>
  </commentList>
</comments>
</file>

<file path=xl/comments8.xml><?xml version="1.0" encoding="utf-8"?>
<comments xmlns="http://schemas.openxmlformats.org/spreadsheetml/2006/main">
  <authors>
    <author>Dave Peters</author>
    <author>dave</author>
    <author>Dave</author>
  </authors>
  <commentList>
    <comment ref="N3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ArcGIS Pro MT</t>
        </r>
      </text>
    </comment>
    <comment ref="T3" authorId="0">
      <text>
        <r>
          <rPr>
            <sz val="9"/>
            <color indexed="81"/>
            <rFont val="Tahoma"/>
            <family val="2"/>
          </rPr>
          <t xml:space="preserve">Includes batch process instance loads for application tier in sizing
</t>
        </r>
      </text>
    </comment>
    <comment ref="A5" authorId="1">
      <text>
        <r>
          <rPr>
            <b/>
            <sz val="8"/>
            <color indexed="81"/>
            <rFont val="Tahoma"/>
            <family val="2"/>
          </rPr>
          <t xml:space="preserve">Users:
</t>
        </r>
        <r>
          <rPr>
            <sz val="8"/>
            <color indexed="81"/>
            <rFont val="Tahoma"/>
            <family val="2"/>
          </rPr>
          <t>Peak Users Only</t>
        </r>
        <r>
          <rPr>
            <b/>
            <sz val="8"/>
            <color indexed="81"/>
            <rFont val="Tahoma"/>
            <family val="2"/>
          </rPr>
          <t xml:space="preserve">
Users orTPH:
</t>
        </r>
        <r>
          <rPr>
            <sz val="8"/>
            <color indexed="81"/>
            <rFont val="Tahoma"/>
            <family val="2"/>
          </rPr>
          <t>Users &lt; 1000 
TPH = 1000 or more</t>
        </r>
        <r>
          <rPr>
            <b/>
            <sz val="8"/>
            <color indexed="81"/>
            <rFont val="Tahoma"/>
            <family val="2"/>
          </rPr>
          <t xml:space="preserve">
TPH:
</t>
        </r>
        <r>
          <rPr>
            <sz val="8"/>
            <color indexed="81"/>
            <rFont val="Tahoma"/>
            <family val="2"/>
          </rPr>
          <t>TPH Only</t>
        </r>
      </text>
    </comment>
    <comment ref="K5" authorId="1">
      <text>
        <r>
          <rPr>
            <b/>
            <sz val="8"/>
            <color indexed="81"/>
            <rFont val="Tahoma"/>
            <family val="2"/>
          </rPr>
          <t>Map Cache Basemap</t>
        </r>
        <r>
          <rPr>
            <sz val="8"/>
            <color indexed="81"/>
            <rFont val="Tahoma"/>
            <family val="2"/>
          </rPr>
          <t xml:space="preserve">
use +MapCache for composite workflow.</t>
        </r>
      </text>
    </comment>
    <comment ref="B6" authorId="1">
      <text>
        <r>
          <rPr>
            <b/>
            <sz val="8"/>
            <color indexed="81"/>
            <rFont val="Tahoma"/>
            <family val="2"/>
          </rPr>
          <t>DPM/client</t>
        </r>
        <r>
          <rPr>
            <sz val="8"/>
            <color indexed="81"/>
            <rFont val="Tahoma"/>
            <family val="2"/>
          </rPr>
          <t xml:space="preserve">
shows YELLOW &gt; 10
Auto Adjust = T4
Default = S6 (RESET)</t>
        </r>
      </text>
    </comment>
    <comment ref="Q8" authorId="1">
      <text>
        <r>
          <rPr>
            <b/>
            <sz val="8"/>
            <color indexed="81"/>
            <rFont val="Tahoma"/>
            <family val="2"/>
          </rPr>
          <t>Platform Memory</t>
        </r>
        <r>
          <rPr>
            <sz val="8"/>
            <color indexed="81"/>
            <rFont val="Tahoma"/>
            <family val="2"/>
          </rPr>
          <t xml:space="preserve">
Enter GB per user will overide default platform memory calculation.
</t>
        </r>
      </text>
    </comment>
    <comment ref="C12" authorId="1">
      <text>
        <r>
          <rPr>
            <b/>
            <sz val="8"/>
            <color indexed="81"/>
            <rFont val="Tahoma"/>
            <family val="2"/>
          </rPr>
          <t>Data Center Traffic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" authorId="1">
      <text>
        <r>
          <rPr>
            <b/>
            <sz val="8"/>
            <color indexed="81"/>
            <rFont val="Tahoma"/>
            <family val="2"/>
          </rPr>
          <t>Remote Users:</t>
        </r>
        <r>
          <rPr>
            <sz val="8"/>
            <color indexed="81"/>
            <rFont val="Tahoma"/>
            <family val="2"/>
          </rPr>
          <t xml:space="preserve">
Use when more than one client is sharing the same remote bandwidth connection</t>
        </r>
      </text>
    </comment>
    <comment ref="L12" authorId="1">
      <text>
        <r>
          <rPr>
            <b/>
            <sz val="8"/>
            <color indexed="81"/>
            <rFont val="Tahoma"/>
            <family val="2"/>
          </rPr>
          <t>Transport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2" authorId="1">
      <text>
        <r>
          <rPr>
            <b/>
            <sz val="8"/>
            <color indexed="81"/>
            <rFont val="Tahoma"/>
            <family val="2"/>
          </rPr>
          <t>Queue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3" authorId="1">
      <text>
        <r>
          <rPr>
            <b/>
            <sz val="8"/>
            <color indexed="81"/>
            <rFont val="Tahoma"/>
            <family val="2"/>
          </rPr>
          <t>Remote site traffic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3" authorId="1">
      <text>
        <r>
          <rPr>
            <b/>
            <sz val="8"/>
            <color indexed="81"/>
            <rFont val="Tahoma"/>
            <family val="2"/>
          </rPr>
          <t>Remote Users:</t>
        </r>
        <r>
          <rPr>
            <sz val="8"/>
            <color indexed="81"/>
            <rFont val="Tahoma"/>
            <family val="2"/>
          </rPr>
          <t xml:space="preserve">
Use when more than one client is sharing the same remote bandwidth connection</t>
        </r>
      </text>
    </comment>
    <comment ref="L13" authorId="1">
      <text>
        <r>
          <rPr>
            <b/>
            <sz val="8"/>
            <color indexed="81"/>
            <rFont val="Tahoma"/>
            <family val="2"/>
          </rPr>
          <t>Transport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3" authorId="1">
      <text>
        <r>
          <rPr>
            <b/>
            <sz val="8"/>
            <color indexed="81"/>
            <rFont val="Tahoma"/>
            <family val="2"/>
          </rPr>
          <t>Queue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3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Batch Capacity</t>
        </r>
      </text>
    </comment>
    <comment ref="C14" authorId="1">
      <text>
        <r>
          <rPr>
            <b/>
            <sz val="8"/>
            <color indexed="81"/>
            <rFont val="Tahoma"/>
            <family val="2"/>
          </rPr>
          <t>Remote site traffic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4" authorId="1">
      <text>
        <r>
          <rPr>
            <b/>
            <sz val="8"/>
            <color indexed="81"/>
            <rFont val="Tahoma"/>
            <family val="2"/>
          </rPr>
          <t>Remote Users:</t>
        </r>
        <r>
          <rPr>
            <sz val="8"/>
            <color indexed="81"/>
            <rFont val="Tahoma"/>
            <family val="2"/>
          </rPr>
          <t xml:space="preserve">
Use when more than one client is sharing the same remote bandwidth connection</t>
        </r>
      </text>
    </comment>
    <comment ref="L14" authorId="1">
      <text>
        <r>
          <rPr>
            <b/>
            <sz val="8"/>
            <color indexed="81"/>
            <rFont val="Tahoma"/>
            <family val="2"/>
          </rPr>
          <t>Transport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4" authorId="1">
      <text>
        <r>
          <rPr>
            <b/>
            <sz val="8"/>
            <color indexed="81"/>
            <rFont val="Tahoma"/>
            <family val="2"/>
          </rPr>
          <t>Queue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4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Batch throughput</t>
        </r>
      </text>
    </comment>
    <comment ref="L17" authorId="2">
      <text>
        <r>
          <rPr>
            <b/>
            <sz val="9"/>
            <color indexed="81"/>
            <rFont val="Tahoma"/>
            <family val="2"/>
          </rPr>
          <t>VMset:</t>
        </r>
        <r>
          <rPr>
            <sz val="9"/>
            <color indexed="81"/>
            <rFont val="Tahoma"/>
            <family val="2"/>
          </rPr>
          <t xml:space="preserve">
VM adjust strategy
- VMsoc, soc machine only
-VMgen, all machines</t>
        </r>
      </text>
    </comment>
    <comment ref="M21" authorId="1">
      <text>
        <r>
          <rPr>
            <b/>
            <sz val="8"/>
            <color indexed="81"/>
            <rFont val="Tahoma"/>
            <family val="2"/>
          </rPr>
          <t>Overide</t>
        </r>
        <r>
          <rPr>
            <sz val="8"/>
            <color indexed="81"/>
            <rFont val="Tahoma"/>
            <family val="2"/>
          </rPr>
          <t xml:space="preserve">
Entry will replace calculated adjustment</t>
        </r>
      </text>
    </comment>
    <comment ref="N24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Includes TPS</t>
        </r>
      </text>
    </comment>
    <comment ref="M25" authorId="1">
      <text>
        <r>
          <rPr>
            <b/>
            <sz val="8"/>
            <color indexed="81"/>
            <rFont val="Tahoma"/>
            <family val="2"/>
          </rPr>
          <t>Overide</t>
        </r>
        <r>
          <rPr>
            <sz val="8"/>
            <color indexed="81"/>
            <rFont val="Tahoma"/>
            <family val="2"/>
          </rPr>
          <t xml:space="preserve">
Entry will replace calculated adjustment</t>
        </r>
      </text>
    </comment>
    <comment ref="M29" authorId="1">
      <text>
        <r>
          <rPr>
            <b/>
            <sz val="8"/>
            <color indexed="81"/>
            <rFont val="Tahoma"/>
            <family val="2"/>
          </rPr>
          <t>Overide</t>
        </r>
        <r>
          <rPr>
            <sz val="8"/>
            <color indexed="81"/>
            <rFont val="Tahoma"/>
            <family val="2"/>
          </rPr>
          <t xml:space="preserve">
Entry will replace calculated adjustment</t>
        </r>
      </text>
    </comment>
    <comment ref="Q32" authorId="1">
      <text>
        <r>
          <rPr>
            <b/>
            <sz val="8"/>
            <color indexed="81"/>
            <rFont val="Tahoma"/>
            <family val="2"/>
          </rPr>
          <t>Platform Memory</t>
        </r>
        <r>
          <rPr>
            <sz val="8"/>
            <color indexed="81"/>
            <rFont val="Tahoma"/>
            <family val="2"/>
          </rPr>
          <t xml:space="preserve">
Enter MB per user will overide default platform memory calculation
</t>
        </r>
      </text>
    </comment>
    <comment ref="M36" authorId="1">
      <text>
        <r>
          <rPr>
            <b/>
            <sz val="8"/>
            <color indexed="81"/>
            <rFont val="Tahoma"/>
            <family val="2"/>
          </rPr>
          <t>Overide</t>
        </r>
        <r>
          <rPr>
            <sz val="8"/>
            <color indexed="81"/>
            <rFont val="Tahoma"/>
            <family val="2"/>
          </rPr>
          <t xml:space="preserve">
Entry will replace calculated adjustment</t>
        </r>
      </text>
    </comment>
    <comment ref="O36" authorId="0">
      <text>
        <r>
          <rPr>
            <sz val="9"/>
            <color indexed="81"/>
            <rFont val="Tahoma"/>
            <family val="2"/>
          </rPr>
          <t>Default hypervisor overhead</t>
        </r>
      </text>
    </comment>
    <comment ref="H83" authorId="0">
      <text>
        <r>
          <rPr>
            <b/>
            <sz val="9"/>
            <color indexed="81"/>
            <rFont val="Tahoma"/>
            <family val="2"/>
          </rPr>
          <t>0.5 only, no longer MXD workflow.
AGS10 MSD
&lt;AGS10 MXD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0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Must include space to left of PortalShare.</t>
        </r>
      </text>
    </comment>
    <comment ref="B101" authorId="1">
      <text>
        <r>
          <rPr>
            <b/>
            <sz val="8"/>
            <color indexed="81"/>
            <rFont val="Tahoma"/>
            <family val="2"/>
          </rPr>
          <t>Test platform:</t>
        </r>
        <r>
          <rPr>
            <sz val="8"/>
            <color indexed="81"/>
            <rFont val="Tahoma"/>
            <family val="2"/>
          </rPr>
          <t xml:space="preserve">
Select platform used to measure custom  service times on WFBaseline tab.</t>
        </r>
      </text>
    </comment>
    <comment ref="E111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Reduced processing load due to feature caching on application client.</t>
        </r>
      </text>
    </comment>
    <comment ref="A115" authorId="0">
      <text>
        <r>
          <rPr>
            <b/>
            <sz val="9"/>
            <color indexed="81"/>
            <rFont val="Tahoma"/>
            <family val="2"/>
          </rPr>
          <t>Selection removed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9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Make sure to include space after R.
</t>
        </r>
      </text>
    </comment>
    <comment ref="H122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Average Web client display resolution.</t>
        </r>
      </text>
    </comment>
    <comment ref="H124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Typical ArcGIS Desktop power user display resolution.</t>
        </r>
      </text>
    </comment>
    <comment ref="H125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Average Web client display resolution.</t>
        </r>
      </text>
    </comment>
    <comment ref="H126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Typical ArcGIS Desktop power user display resolution.</t>
        </r>
      </text>
    </comment>
    <comment ref="H127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Custom display setting</t>
        </r>
      </text>
    </comment>
    <comment ref="C128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Vector only baseline</t>
        </r>
      </text>
    </comment>
    <comment ref="D128" authorId="1">
      <text>
        <r>
          <rPr>
            <b/>
            <sz val="8"/>
            <color indexed="81"/>
            <rFont val="Tahoma"/>
            <family val="2"/>
          </rPr>
          <t>MSD: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29" authorId="0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Raster 7.143x Vector
0.28 Mbpd
2.0 Mbpd</t>
        </r>
      </text>
    </comment>
    <comment ref="D129" authorId="1">
      <text>
        <r>
          <rPr>
            <b/>
            <sz val="8"/>
            <color indexed="81"/>
            <rFont val="Tahoma"/>
            <family val="2"/>
          </rPr>
          <t>Workflow</t>
        </r>
      </text>
    </comment>
    <comment ref="D134" authorId="1">
      <text>
        <r>
          <rPr>
            <b/>
            <sz val="8"/>
            <color indexed="81"/>
            <rFont val="Tahoma"/>
            <family val="2"/>
          </rPr>
          <t xml:space="preserve">Platform overcapcity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35" authorId="0">
      <text>
        <r>
          <rPr>
            <b/>
            <sz val="9"/>
            <color indexed="81"/>
            <rFont val="Tahoma"/>
            <family val="2"/>
          </rPr>
          <t>Portal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Validate VDI Workflow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set 50% minimum memory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set 50% minimum memory</t>
        </r>
      </text>
    </comment>
  </commentList>
</comments>
</file>

<file path=xl/comments9.xml><?xml version="1.0" encoding="utf-8"?>
<comments xmlns="http://schemas.openxmlformats.org/spreadsheetml/2006/main">
  <authors>
    <author>dave</author>
  </authors>
  <commentList>
    <comment ref="U3" authorId="0">
      <text>
        <r>
          <rPr>
            <b/>
            <sz val="8"/>
            <color indexed="81"/>
            <rFont val="Tahoma"/>
            <family val="2"/>
          </rPr>
          <t>Reference Platform:</t>
        </r>
        <r>
          <rPr>
            <sz val="8"/>
            <color indexed="81"/>
            <rFont val="Tahoma"/>
            <family val="2"/>
          </rPr>
          <t xml:space="preserve">
Identify reference platform for workflow service times</t>
        </r>
      </text>
    </comment>
    <comment ref="C81" authorId="0">
      <text>
        <r>
          <rPr>
            <b/>
            <sz val="8"/>
            <color indexed="81"/>
            <rFont val="Tahoma"/>
            <family val="2"/>
          </rPr>
          <t>dave: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5" authorId="0">
      <text>
        <r>
          <rPr>
            <b/>
            <sz val="8"/>
            <color indexed="81"/>
            <rFont val="Tahoma"/>
            <family val="2"/>
          </rPr>
          <t>%Workflow</t>
        </r>
        <r>
          <rPr>
            <sz val="8"/>
            <color indexed="81"/>
            <rFont val="Tahoma"/>
            <family val="2"/>
          </rPr>
          <t xml:space="preserve">
Identify percent of workflow using this service</t>
        </r>
      </text>
    </comment>
  </commentList>
</comments>
</file>

<file path=xl/comments10.xml><?xml version="1.0" encoding="utf-8"?>
<comments xmlns="http://schemas.openxmlformats.org/spreadsheetml/2006/main">
  <authors>
    <author>dave</author>
    <author>Dave Peters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Productivity</t>
        </r>
        <r>
          <rPr>
            <sz val="8"/>
            <color indexed="81"/>
            <rFont val="Tahoma"/>
            <family val="2"/>
          </rPr>
          <t xml:space="preserve">
Live  max productivity
- 10 DPM WTS &amp; Desktop
- 6 DPM Server
Test productivity based on minimum think time
(make sure AI cells = 100)</t>
        </r>
      </text>
    </comment>
    <comment ref="T2" authorId="0">
      <text>
        <r>
          <rPr>
            <b/>
            <sz val="8"/>
            <color indexed="81"/>
            <rFont val="Tahoma"/>
            <family val="2"/>
          </rPr>
          <t>RESET</t>
        </r>
        <r>
          <rPr>
            <sz val="8"/>
            <color indexed="81"/>
            <rFont val="Tahoma"/>
            <family val="2"/>
          </rPr>
          <t xml:space="preserve">
Do not leave in AJUST mode.</t>
        </r>
      </text>
    </comment>
    <comment ref="U2" authorId="0">
      <text>
        <r>
          <rPr>
            <b/>
            <sz val="8"/>
            <color indexed="81"/>
            <rFont val="Tahoma"/>
            <family val="2"/>
          </rPr>
          <t>Blink</t>
        </r>
        <r>
          <rPr>
            <sz val="8"/>
            <color indexed="81"/>
            <rFont val="Tahoma"/>
            <family val="2"/>
          </rPr>
          <t xml:space="preserve">
Select from large to smaller values during max loads.</t>
        </r>
      </text>
    </comment>
    <comment ref="D4" authorId="0">
      <text>
        <r>
          <rPr>
            <b/>
            <sz val="8"/>
            <color indexed="81"/>
            <rFont val="Tahoma"/>
            <family val="2"/>
          </rPr>
          <t xml:space="preserve">TPH
</t>
        </r>
        <r>
          <rPr>
            <sz val="8"/>
            <color indexed="81"/>
            <rFont val="Tahoma"/>
            <family val="2"/>
          </rPr>
          <t>Transactions per hour</t>
        </r>
        <r>
          <rPr>
            <b/>
            <sz val="8"/>
            <color indexed="81"/>
            <rFont val="Tahoma"/>
            <family val="2"/>
          </rPr>
          <t xml:space="preserve">
Clients
</t>
        </r>
        <r>
          <rPr>
            <sz val="8"/>
            <color indexed="81"/>
            <rFont val="Tahoma"/>
            <family val="2"/>
          </rPr>
          <t>users or Batch process</t>
        </r>
        <r>
          <rPr>
            <b/>
            <sz val="8"/>
            <color indexed="81"/>
            <rFont val="Tahoma"/>
            <family val="2"/>
          </rPr>
          <t xml:space="preserve">
Clients or TPH
</t>
        </r>
        <r>
          <rPr>
            <sz val="8"/>
            <color indexed="81"/>
            <rFont val="Tahoma"/>
            <family val="2"/>
          </rPr>
          <t xml:space="preserve">&lt;1000, users or Batch
1000 or more, TPH
</t>
        </r>
      </text>
    </comment>
    <comment ref="K24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25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5" authorId="0">
      <text>
        <r>
          <rPr>
            <sz val="8"/>
            <color indexed="81"/>
            <rFont val="Tahoma"/>
            <family val="2"/>
          </rPr>
          <t>Physical Chips per tier
or Virtual Server Nodes</t>
        </r>
      </text>
    </comment>
    <comment ref="A26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6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26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26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28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29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9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0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0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30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30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32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33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3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34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34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36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37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7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8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38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38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40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41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41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2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42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42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45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46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46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7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47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47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49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50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0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51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51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51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53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54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4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55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55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55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57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58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8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59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59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59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61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62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62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63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63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63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66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67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67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68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68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68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70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71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71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2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72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72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74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75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75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6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76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76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78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79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79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80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80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80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82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83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83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84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84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84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X86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Costs identified from HWPricing tab</t>
        </r>
      </text>
    </comment>
    <comment ref="Y86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Costs identified from HWPricing tab</t>
        </r>
      </text>
    </comment>
    <comment ref="O89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89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O92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92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O95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95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O98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98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O101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101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B131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Costs identified from HWPricing tab</t>
        </r>
      </text>
    </comment>
    <comment ref="A168" authorId="0">
      <text>
        <r>
          <rPr>
            <b/>
            <sz val="8"/>
            <color indexed="81"/>
            <rFont val="Tahoma"/>
            <family val="2"/>
          </rPr>
          <t>dave: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94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Site xCom Factor</t>
        </r>
      </text>
    </comment>
    <comment ref="H195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Hypervisor overhead factor</t>
        </r>
      </text>
    </comment>
  </commentList>
</comments>
</file>

<file path=xl/comments11.xml><?xml version="1.0" encoding="utf-8"?>
<comments xmlns="http://schemas.openxmlformats.org/spreadsheetml/2006/main">
  <authors>
    <author>dave</author>
    <author>Dave Peters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Productivity</t>
        </r>
        <r>
          <rPr>
            <sz val="8"/>
            <color indexed="81"/>
            <rFont val="Tahoma"/>
            <family val="2"/>
          </rPr>
          <t xml:space="preserve">
Live  max productivity
- 10 DPM WTS &amp; Desktop
- 6 DPM Server
Test productivity based on minimum think time
(make sure AI cells = 100)</t>
        </r>
      </text>
    </comment>
    <comment ref="T2" authorId="0">
      <text>
        <r>
          <rPr>
            <b/>
            <sz val="8"/>
            <color indexed="81"/>
            <rFont val="Tahoma"/>
            <family val="2"/>
          </rPr>
          <t>RESET</t>
        </r>
        <r>
          <rPr>
            <sz val="8"/>
            <color indexed="81"/>
            <rFont val="Tahoma"/>
            <family val="2"/>
          </rPr>
          <t xml:space="preserve">
Do not leave in AJUST mode.</t>
        </r>
      </text>
    </comment>
    <comment ref="U2" authorId="0">
      <text>
        <r>
          <rPr>
            <b/>
            <sz val="8"/>
            <color indexed="81"/>
            <rFont val="Tahoma"/>
            <family val="2"/>
          </rPr>
          <t>Blink</t>
        </r>
        <r>
          <rPr>
            <sz val="8"/>
            <color indexed="81"/>
            <rFont val="Tahoma"/>
            <family val="2"/>
          </rPr>
          <t xml:space="preserve">
Select from large to smaller values during max loads.</t>
        </r>
      </text>
    </comment>
    <comment ref="D4" authorId="0">
      <text>
        <r>
          <rPr>
            <b/>
            <sz val="8"/>
            <color indexed="81"/>
            <rFont val="Tahoma"/>
            <family val="2"/>
          </rPr>
          <t xml:space="preserve">TPH
</t>
        </r>
        <r>
          <rPr>
            <sz val="8"/>
            <color indexed="81"/>
            <rFont val="Tahoma"/>
            <family val="2"/>
          </rPr>
          <t>Transactions per hour</t>
        </r>
        <r>
          <rPr>
            <b/>
            <sz val="8"/>
            <color indexed="81"/>
            <rFont val="Tahoma"/>
            <family val="2"/>
          </rPr>
          <t xml:space="preserve">
Clients
</t>
        </r>
        <r>
          <rPr>
            <sz val="8"/>
            <color indexed="81"/>
            <rFont val="Tahoma"/>
            <family val="2"/>
          </rPr>
          <t>users or Batch process</t>
        </r>
        <r>
          <rPr>
            <b/>
            <sz val="8"/>
            <color indexed="81"/>
            <rFont val="Tahoma"/>
            <family val="2"/>
          </rPr>
          <t xml:space="preserve">
Clients or TPH
</t>
        </r>
        <r>
          <rPr>
            <sz val="8"/>
            <color indexed="81"/>
            <rFont val="Tahoma"/>
            <family val="2"/>
          </rPr>
          <t xml:space="preserve">&lt;1000, users or Batch
1000 or more, TPH
</t>
        </r>
      </text>
    </comment>
    <comment ref="K20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21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Physical Chips per tier
or Virtual Server Nodes</t>
        </r>
      </text>
    </comment>
    <comment ref="A22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2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22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22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24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25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5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6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6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26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26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28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29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9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0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30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30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32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33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3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34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34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36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37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7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8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38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38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41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42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42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3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43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43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45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46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46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7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47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47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49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50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0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51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51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51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53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54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4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55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55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55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57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58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8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59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59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59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62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63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63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64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64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64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66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67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67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68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68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68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70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71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71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2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72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72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74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75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75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6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76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76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K78" authorId="0">
      <text>
        <r>
          <rPr>
            <b/>
            <sz val="8"/>
            <color indexed="81"/>
            <rFont val="Tahoma"/>
            <family val="2"/>
          </rPr>
          <t>Service time adj:</t>
        </r>
        <r>
          <rPr>
            <sz val="8"/>
            <color indexed="81"/>
            <rFont val="Tahoma"/>
            <family val="2"/>
          </rPr>
          <t xml:space="preserve">
manual service time adjusment - overides auto adjustment  if not blank.</t>
        </r>
      </text>
    </comment>
    <comment ref="D79" authorId="0">
      <text>
        <r>
          <rPr>
            <b/>
            <sz val="8"/>
            <color indexed="81"/>
            <rFont val="Tahoma"/>
            <family val="2"/>
          </rPr>
          <t>Core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79" authorId="0">
      <text>
        <r>
          <rPr>
            <b/>
            <sz val="8"/>
            <color indexed="81"/>
            <rFont val="Tahoma"/>
            <family val="2"/>
          </rPr>
          <t>Physical Chips per tier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80" authorId="0">
      <text>
        <r>
          <rPr>
            <b/>
            <sz val="8"/>
            <color indexed="81"/>
            <rFont val="Tahoma"/>
            <family val="2"/>
          </rPr>
          <t>Peak Users/Node</t>
        </r>
        <r>
          <rPr>
            <sz val="8"/>
            <color indexed="81"/>
            <rFont val="Tahoma"/>
            <family val="2"/>
          </rPr>
          <t xml:space="preserve">
Reduced by rollover percentage</t>
        </r>
      </text>
    </comment>
    <comment ref="O80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80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X82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Costs identified from HWPricing tab</t>
        </r>
      </text>
    </comment>
    <comment ref="Y82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Costs identified from HWPricing tab</t>
        </r>
      </text>
    </comment>
    <comment ref="O85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85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O88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88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O91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91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O94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94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O97" authorId="0">
      <text>
        <r>
          <rPr>
            <b/>
            <sz val="8"/>
            <color indexed="81"/>
            <rFont val="Tahoma"/>
            <family val="2"/>
          </rPr>
          <t>Requirements Link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97" authorId="0">
      <text>
        <r>
          <rPr>
            <b/>
            <sz val="8"/>
            <color indexed="81"/>
            <rFont val="Tahoma"/>
            <family val="2"/>
          </rPr>
          <t>Overide  Memory</t>
        </r>
        <r>
          <rPr>
            <sz val="8"/>
            <color indexed="81"/>
            <rFont val="Tahoma"/>
            <family val="2"/>
          </rPr>
          <t xml:space="preserve">
Based on 
Average Session Memory
</t>
        </r>
      </text>
    </comment>
    <comment ref="B127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Costs identified from HWPricing tab</t>
        </r>
      </text>
    </comment>
    <comment ref="A164" authorId="0">
      <text>
        <r>
          <rPr>
            <b/>
            <sz val="8"/>
            <color indexed="81"/>
            <rFont val="Tahoma"/>
            <family val="2"/>
          </rPr>
          <t>dave: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90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Site xCom Factor</t>
        </r>
      </text>
    </comment>
    <comment ref="H191" authorId="1">
      <text>
        <r>
          <rPr>
            <b/>
            <sz val="9"/>
            <color indexed="81"/>
            <rFont val="Tahoma"/>
            <family val="2"/>
          </rPr>
          <t>Dave Peters:</t>
        </r>
        <r>
          <rPr>
            <sz val="9"/>
            <color indexed="81"/>
            <rFont val="Tahoma"/>
            <family val="2"/>
          </rPr>
          <t xml:space="preserve">
Hypervisor overhead factor</t>
        </r>
      </text>
    </comment>
  </commentList>
</comments>
</file>

<file path=xl/sharedStrings.xml><?xml version="1.0" encoding="utf-8"?>
<sst xmlns="http://schemas.openxmlformats.org/spreadsheetml/2006/main" count="7159" uniqueCount="1932">
  <si>
    <t xml:space="preserve"> ==== AMD Windows Server Candidates ======</t>
  </si>
  <si>
    <t>Unlink</t>
  </si>
  <si>
    <t>Results</t>
  </si>
  <si>
    <t>(identify primary workflow first)</t>
  </si>
  <si>
    <t>Display Workflow + Services/Tasks</t>
  </si>
  <si>
    <t>Total traffic and processing time</t>
  </si>
  <si>
    <t>Composite workflow service times (sec) / Composite Traffic (Mbpd)</t>
  </si>
  <si>
    <t>Test Workflows ======</t>
  </si>
  <si>
    <t>Arc09 Baseline</t>
  </si>
  <si>
    <t xml:space="preserve">WTS </t>
  </si>
  <si>
    <t>Platform Solution</t>
  </si>
  <si>
    <t>Total Throughput</t>
  </si>
  <si>
    <t>Peak Users</t>
  </si>
  <si>
    <t xml:space="preserve">Performance </t>
  </si>
  <si>
    <t>Profile</t>
  </si>
  <si>
    <t>Documentation</t>
  </si>
  <si>
    <t>WTS/DBMS</t>
  </si>
  <si>
    <t>Capacity Planning Calculator</t>
  </si>
  <si>
    <t>MapDoc</t>
  </si>
  <si>
    <t>Complexity</t>
  </si>
  <si>
    <t>DC</t>
  </si>
  <si>
    <t>DPM/client</t>
  </si>
  <si>
    <t>Architecture</t>
  </si>
  <si>
    <t>3 Tier</t>
  </si>
  <si>
    <t>Platform Capacity</t>
  </si>
  <si>
    <t>Memory</t>
  </si>
  <si>
    <t>Queue</t>
  </si>
  <si>
    <t>Platform Tier</t>
  </si>
  <si>
    <t>Rollover</t>
  </si>
  <si>
    <t>Per Node</t>
  </si>
  <si>
    <t>svctime</t>
  </si>
  <si>
    <t>SPECrate_int2006</t>
  </si>
  <si>
    <t>core</t>
  </si>
  <si>
    <t>Display</t>
  </si>
  <si>
    <t>Single</t>
  </si>
  <si>
    <t>ASC</t>
  </si>
  <si>
    <t>2 Tier</t>
  </si>
  <si>
    <t xml:space="preserve">Network </t>
  </si>
  <si>
    <t xml:space="preserve">Software  </t>
  </si>
  <si>
    <t xml:space="preserve">Client  </t>
  </si>
  <si>
    <t>Full Cache</t>
  </si>
  <si>
    <t>Min Think</t>
  </si>
  <si>
    <t>TOTAL</t>
  </si>
  <si>
    <t>Data Source Traffic =</t>
  </si>
  <si>
    <t>CalcData</t>
  </si>
  <si>
    <t>Image</t>
  </si>
  <si>
    <t>Totals</t>
  </si>
  <si>
    <t>cell&gt;=TPH</t>
  </si>
  <si>
    <t>Server Configuration</t>
  </si>
  <si>
    <t>%DataCache</t>
  </si>
  <si>
    <t>User Requirements</t>
  </si>
  <si>
    <t>Client Desktop =</t>
  </si>
  <si>
    <t>DPM or TPM</t>
  </si>
  <si>
    <t>Translated Performance</t>
  </si>
  <si>
    <t>LOGIC</t>
  </si>
  <si>
    <t>UserNeed</t>
  </si>
  <si>
    <t>Adjusted Software Component Service Times</t>
  </si>
  <si>
    <t>Composite Workflow Recipe</t>
  </si>
  <si>
    <t>Recipe</t>
  </si>
  <si>
    <t>%Workflow</t>
  </si>
  <si>
    <t>Output</t>
  </si>
  <si>
    <t>Resolution</t>
  </si>
  <si>
    <t>Lite_Light</t>
  </si>
  <si>
    <t>Service Time Adjustment</t>
  </si>
  <si>
    <t>Med_Medium</t>
  </si>
  <si>
    <t>Availability</t>
  </si>
  <si>
    <t>Hvy_Heavy</t>
  </si>
  <si>
    <t>Map Display Complexity</t>
  </si>
  <si>
    <t>Vector</t>
  </si>
  <si>
    <t>JPEG</t>
  </si>
  <si>
    <t>PNG8</t>
  </si>
  <si>
    <t>PNG24</t>
  </si>
  <si>
    <t>PNG32</t>
  </si>
  <si>
    <t>PDF</t>
  </si>
  <si>
    <t>Feature</t>
  </si>
  <si>
    <t>TPH</t>
  </si>
  <si>
    <t xml:space="preserve">Baseline = </t>
  </si>
  <si>
    <t>Calculator Workflows ======</t>
  </si>
  <si>
    <t>Composite Workflows ======</t>
  </si>
  <si>
    <t xml:space="preserve"> Display Resolution</t>
  </si>
  <si>
    <t>Density</t>
  </si>
  <si>
    <t>App (Web,SOC)</t>
  </si>
  <si>
    <t>App (SOC,SDE,DB)</t>
  </si>
  <si>
    <t>Dynamic</t>
  </si>
  <si>
    <t>Composite Workflow Analysis</t>
  </si>
  <si>
    <t>Hardware tab</t>
  </si>
  <si>
    <t>OS ST Adjusments</t>
  </si>
  <si>
    <t>SDE_ DBMS</t>
  </si>
  <si>
    <t>Data Source Adjustments</t>
  </si>
  <si>
    <t>Installed</t>
  </si>
  <si>
    <t>Hardware Performance</t>
  </si>
  <si>
    <t>OS</t>
  </si>
  <si>
    <t>AGS Full MapCache</t>
  </si>
  <si>
    <t>AGS Full MapCache Service</t>
  </si>
  <si>
    <t>ICA</t>
  </si>
  <si>
    <t>Select</t>
  </si>
  <si>
    <t>Favorite</t>
  </si>
  <si>
    <t>Hardware Platform Select</t>
  </si>
  <si>
    <t>Total Core</t>
  </si>
  <si>
    <t>Supported Operating Systems</t>
  </si>
  <si>
    <t>No Workflow</t>
  </si>
  <si>
    <t>(Copy/Insert custom workflows below)</t>
  </si>
  <si>
    <t xml:space="preserve">SRint2006 = </t>
  </si>
  <si>
    <t>Per Tier</t>
  </si>
  <si>
    <t>Peak TPH</t>
  </si>
  <si>
    <t>100%DPM</t>
  </si>
  <si>
    <t>(sec)</t>
  </si>
  <si>
    <t>VMset</t>
  </si>
  <si>
    <t>VMsoc</t>
  </si>
  <si>
    <t>VMgen</t>
  </si>
  <si>
    <t>Identify non SDE</t>
  </si>
  <si>
    <t>Client or TPH</t>
  </si>
  <si>
    <t>Services</t>
  </si>
  <si>
    <t>User</t>
  </si>
  <si>
    <t>User or TPH</t>
  </si>
  <si>
    <t>Design</t>
  </si>
  <si>
    <t>Calculator</t>
  </si>
  <si>
    <t>x</t>
  </si>
  <si>
    <t>Reference</t>
  </si>
  <si>
    <t>Model</t>
  </si>
  <si>
    <t>Platform Name</t>
  </si>
  <si>
    <t>Nickname</t>
  </si>
  <si>
    <t>Response =</t>
  </si>
  <si>
    <t>Prod</t>
  </si>
  <si>
    <t>DFault</t>
  </si>
  <si>
    <t>Design Tab</t>
  </si>
  <si>
    <t>Default Productivity</t>
  </si>
  <si>
    <t>DPM/c</t>
  </si>
  <si>
    <t>Local Client</t>
  </si>
  <si>
    <t>Tier03: Platform Tier 03</t>
  </si>
  <si>
    <t>Tier04: Platform Tier 04</t>
  </si>
  <si>
    <t>Reorganize platform tier list for improved Excel stability {DBMS located on Tier 10 with application servers on Tier01 through Tier09}</t>
  </si>
  <si>
    <t>RAM</t>
  </si>
  <si>
    <t>Hardware Tab</t>
  </si>
  <si>
    <t>Set User</t>
  </si>
  <si>
    <t>Memory (MB)</t>
  </si>
  <si>
    <t>Arc10 Baseline</t>
  </si>
  <si>
    <t>Xeon X5677</t>
  </si>
  <si>
    <t>Xeon X5667</t>
  </si>
  <si>
    <t>Xeon L5640</t>
  </si>
  <si>
    <t>Xeon X5650</t>
  </si>
  <si>
    <t>Xeon X5680</t>
  </si>
  <si>
    <t>Xeon X5670</t>
  </si>
  <si>
    <t>Xeon X5660</t>
  </si>
  <si>
    <t>AGD10 wkstn MXD Med 100%Dyn 10x7 Feature</t>
  </si>
  <si>
    <t>AGD10 WTS Citrix MXD Med 100%Dyn 10x7 R ICA</t>
  </si>
  <si>
    <t>ArcGIS Server 10  =========</t>
  </si>
  <si>
    <t>AGS10 ArcGIS Mobile Client</t>
  </si>
  <si>
    <t>ArcGIS 10 Mobile Services  =========</t>
  </si>
  <si>
    <t>AGS10 ArcGIS Mobile Sychronization Service</t>
  </si>
  <si>
    <t>AGS10 ArcGIS Mobile Provisioning Service</t>
  </si>
  <si>
    <t>ArcGIS 10 Image Services  =========</t>
  </si>
  <si>
    <t>SFG_Small File GDB</t>
  </si>
  <si>
    <t>LFG_Large File GDB</t>
  </si>
  <si>
    <t>+mapcache</t>
  </si>
  <si>
    <t>Test Tab</t>
  </si>
  <si>
    <t>SOURCE</t>
  </si>
  <si>
    <t>Calculator tab</t>
  </si>
  <si>
    <t xml:space="preserve"> ==== 2010 Server Platforms ====</t>
  </si>
  <si>
    <t>Base</t>
  </si>
  <si>
    <t>Turbo</t>
  </si>
  <si>
    <t>Intel Platform Specifications</t>
  </si>
  <si>
    <t xml:space="preserve"> ===Processor Selection===</t>
  </si>
  <si>
    <t>Baseline</t>
  </si>
  <si>
    <t>Server Core</t>
  </si>
  <si>
    <t>WATT</t>
  </si>
  <si>
    <t>Xeon E5640</t>
  </si>
  <si>
    <t>Intel Core 2 Duo E6850</t>
  </si>
  <si>
    <t>Intel Core 2 Duo E8500</t>
  </si>
  <si>
    <t>Intel Core 2 Duo T7600</t>
  </si>
  <si>
    <t>Intel Core 2 Duo T9500</t>
  </si>
  <si>
    <t>Intel Core 2 Duo T9700</t>
  </si>
  <si>
    <t xml:space="preserve"> ==== 2010 Desktop Platforms ====</t>
  </si>
  <si>
    <t>WATTs</t>
  </si>
  <si>
    <t>wkstn</t>
  </si>
  <si>
    <t>MXDPerfstat</t>
  </si>
  <si>
    <t xml:space="preserve"> ==== 2010 DP Server Platforms ====</t>
  </si>
  <si>
    <t xml:space="preserve"> ==== 2010 MP Server Platforms ====</t>
  </si>
  <si>
    <t>Xeon E7520</t>
  </si>
  <si>
    <t>Xeon E7530</t>
  </si>
  <si>
    <t>Xeon E7540</t>
  </si>
  <si>
    <t>Xeon L7545</t>
  </si>
  <si>
    <t>Xeon E7550</t>
  </si>
  <si>
    <t>Xeon L7555</t>
  </si>
  <si>
    <t>Xeon E7560</t>
  </si>
  <si>
    <t>Xeon E7560 E</t>
  </si>
  <si>
    <t>Measured Performance</t>
  </si>
  <si>
    <t>Server Traffic</t>
  </si>
  <si>
    <t>AGS10 Image MXD Med 100%Dyn 10x7 R JPEG</t>
  </si>
  <si>
    <t>AMD Opt 6174</t>
  </si>
  <si>
    <t>AMD Opt 6176SE</t>
  </si>
  <si>
    <t>IBM p7</t>
  </si>
  <si>
    <t>Itanium 2 9350</t>
  </si>
  <si>
    <t>Sun UltraSPARC II</t>
  </si>
  <si>
    <t>Sun UltraSPARC IV+</t>
  </si>
  <si>
    <t>Sun SPARC64 VII</t>
  </si>
  <si>
    <t xml:space="preserve">Intel Core i5-680 </t>
  </si>
  <si>
    <t>Intel Xeon X5667</t>
  </si>
  <si>
    <t>Intel Xeon X5677 Tboost</t>
  </si>
  <si>
    <t>Intel Core i7-965 Tboost</t>
  </si>
  <si>
    <t>Intel Core i7-975 Tboost</t>
  </si>
  <si>
    <t>Intel Core 2 Extreem X6800</t>
  </si>
  <si>
    <t>Intel Pentium Extreem 965</t>
  </si>
  <si>
    <t xml:space="preserve">Intel PentiumD </t>
  </si>
  <si>
    <t>Sample Workflows ========</t>
  </si>
  <si>
    <t>Intel Core i7-620M Tboost</t>
  </si>
  <si>
    <t xml:space="preserve">Intel Core i7-610E </t>
  </si>
  <si>
    <t xml:space="preserve"> ==== Platform Configuration Autoadjust ======</t>
  </si>
  <si>
    <t>Workflow tab</t>
  </si>
  <si>
    <t>S DeskEdit_ArcGIS Desktop Editor</t>
  </si>
  <si>
    <t>S DeskView_ArcGIS Desktop Viewer</t>
  </si>
  <si>
    <t>S CitrixEdit_Remote ArcGIS Desktop Editor</t>
  </si>
  <si>
    <t>S CitrixView_Remote ArcGIS Desktop Viewer</t>
  </si>
  <si>
    <t>S WebMap_Web Mapping Service</t>
  </si>
  <si>
    <t>S WebMobile_Web Mobile Sync Service</t>
  </si>
  <si>
    <t>Workflow Source =</t>
  </si>
  <si>
    <t>Machine</t>
  </si>
  <si>
    <t>OS Select</t>
  </si>
  <si>
    <t>Workflow Loads Analysis  Key: Peak Users - Displays per Minute - Seconds per Minute</t>
  </si>
  <si>
    <t>G&gt;0</t>
  </si>
  <si>
    <t xml:space="preserve">Fix </t>
  </si>
  <si>
    <t>MXD Performance Adjustment Tool</t>
  </si>
  <si>
    <t>Valid</t>
  </si>
  <si>
    <t>Speed</t>
  </si>
  <si>
    <t>Platform Capacity Calculator</t>
  </si>
  <si>
    <t>Select Platform Configuration</t>
  </si>
  <si>
    <t>Sizing Tab</t>
  </si>
  <si>
    <t>Background Traffic</t>
  </si>
  <si>
    <t>Bkgnd Traffic</t>
  </si>
  <si>
    <t>TPH Translator</t>
  </si>
  <si>
    <t>TPH ==&gt;</t>
  </si>
  <si>
    <t>Operating System Adjustments</t>
  </si>
  <si>
    <t>Transactions per hour</t>
  </si>
  <si>
    <t>Peak concurrent users</t>
  </si>
  <si>
    <t>Factor</t>
  </si>
  <si>
    <t>Capacity Output =</t>
  </si>
  <si>
    <t>Special Productivity (DPM/client) =</t>
  </si>
  <si>
    <t>RAM/User (50% for OS)</t>
  </si>
  <si>
    <t xml:space="preserve"> ==== Project Platform Candidates ======</t>
  </si>
  <si>
    <t>BW</t>
  </si>
  <si>
    <t>Peak platform utilization set at 80 percent</t>
  </si>
  <si>
    <t>Virtual Core</t>
  </si>
  <si>
    <t>Calculations assume no virtual server overhead</t>
  </si>
  <si>
    <t>Xeon E5620</t>
  </si>
  <si>
    <t>Xeon X3480</t>
  </si>
  <si>
    <t>Citrix</t>
  </si>
  <si>
    <t>Remote site 1</t>
  </si>
  <si>
    <t>Remote site 2</t>
  </si>
  <si>
    <t>Intel Core i7-860 Tboost</t>
  </si>
  <si>
    <t xml:space="preserve"> +MapCache</t>
  </si>
  <si>
    <t>client</t>
  </si>
  <si>
    <t>Perf Factor</t>
  </si>
  <si>
    <t>Client traffic</t>
  </si>
  <si>
    <t>Adjusted baseline svc times</t>
  </si>
  <si>
    <t>Performance factor tables</t>
  </si>
  <si>
    <t>General CPT configuration parameters</t>
  </si>
  <si>
    <t>Specific Calculator tab design lookup lists</t>
  </si>
  <si>
    <t>Custom workflow service times</t>
  </si>
  <si>
    <t>Display traffic</t>
  </si>
  <si>
    <t>Production svc times</t>
  </si>
  <si>
    <t>Reorganize supporting lookup tables and analysis computations {better organized analysis}</t>
  </si>
  <si>
    <t>Update output factor table to match Feature and ICA with ArcGIS Desktop traffic {improve analysis consistency}</t>
  </si>
  <si>
    <t>Base Workflow</t>
  </si>
  <si>
    <t>Xeon X5690</t>
  </si>
  <si>
    <t>DS Adjust</t>
  </si>
  <si>
    <t>Data Source Baseline</t>
  </si>
  <si>
    <t>SSF_Small ShapeFile</t>
  </si>
  <si>
    <t>LSF_Large ShapeFile</t>
  </si>
  <si>
    <t>Fix error in adjusting application service time with Shapefile data source {search for File in name was case sensitive}</t>
  </si>
  <si>
    <t>Change ArcGIS 10  software selection order to reflect priority for REST and WMS services over SOAP and ADF {selection convenience}</t>
  </si>
  <si>
    <t>Core /</t>
  </si>
  <si>
    <t>SPECint_Rate2006</t>
  </si>
  <si>
    <t>Rate 2006</t>
  </si>
  <si>
    <t>Total</t>
  </si>
  <si>
    <t>Per Core</t>
  </si>
  <si>
    <t># of</t>
  </si>
  <si>
    <t>Translation (2.1)</t>
  </si>
  <si>
    <t>Latency</t>
  </si>
  <si>
    <t>Wkflow Chatter</t>
  </si>
  <si>
    <t>Relative</t>
  </si>
  <si>
    <t>Workflow</t>
  </si>
  <si>
    <t>Select Category Workflow</t>
  </si>
  <si>
    <t>Name Workflow as Required</t>
  </si>
  <si>
    <t>AMD</t>
  </si>
  <si>
    <t>DPH</t>
  </si>
  <si>
    <t>Calculate from Capacity</t>
  </si>
  <si>
    <t>Calculate from Svc Time</t>
  </si>
  <si>
    <t>Relative Performance Sizing</t>
  </si>
  <si>
    <t>DB</t>
  </si>
  <si>
    <t>CNW</t>
  </si>
  <si>
    <t>DNW</t>
  </si>
  <si>
    <t>Labels</t>
  </si>
  <si>
    <t>Think</t>
  </si>
  <si>
    <t>Time</t>
  </si>
  <si>
    <t>Software
Service Time</t>
  </si>
  <si>
    <t>Network Labeling</t>
  </si>
  <si>
    <t>Blink</t>
  </si>
  <si>
    <t>Design Model Metrics</t>
  </si>
  <si>
    <t>NWQ</t>
  </si>
  <si>
    <t>sec</t>
  </si>
  <si>
    <t>Data Source</t>
  </si>
  <si>
    <t>(Copy/Insert new workflows as needed)</t>
  </si>
  <si>
    <t xml:space="preserve">Types of Workflows </t>
  </si>
  <si>
    <t>Client</t>
  </si>
  <si>
    <t>Web</t>
  </si>
  <si>
    <t>Users</t>
  </si>
  <si>
    <t>DPM</t>
  </si>
  <si>
    <t>Mbps</t>
  </si>
  <si>
    <t>Mbpd</t>
  </si>
  <si>
    <t>DBMS</t>
  </si>
  <si>
    <t>NW</t>
  </si>
  <si>
    <t>Sec</t>
  </si>
  <si>
    <t>SOC</t>
  </si>
  <si>
    <t>Core</t>
  </si>
  <si>
    <t>Platform</t>
  </si>
  <si>
    <t>Svc Time</t>
  </si>
  <si>
    <t>Capacity</t>
  </si>
  <si>
    <t>Traffic</t>
  </si>
  <si>
    <t>CPT2000</t>
  </si>
  <si>
    <t>CPT2006</t>
  </si>
  <si>
    <t>ADF</t>
  </si>
  <si>
    <t xml:space="preserve"> SRint06/core =</t>
  </si>
  <si>
    <t>Itanium</t>
  </si>
  <si>
    <t>PARisc</t>
  </si>
  <si>
    <t>IBM pSeries</t>
  </si>
  <si>
    <t>Nodes</t>
  </si>
  <si>
    <t>Bandwidth</t>
  </si>
  <si>
    <t>Network</t>
  </si>
  <si>
    <t>SRint2006</t>
  </si>
  <si>
    <t>Data</t>
  </si>
  <si>
    <t>SDE</t>
  </si>
  <si>
    <t>Requirements Analysis</t>
  </si>
  <si>
    <t>Server</t>
  </si>
  <si>
    <t>WTS</t>
  </si>
  <si>
    <t>Model Number</t>
  </si>
  <si>
    <t>Intel</t>
  </si>
  <si>
    <t>Desktop</t>
  </si>
  <si>
    <t>Processor</t>
  </si>
  <si>
    <t>SPEC Web Site</t>
  </si>
  <si>
    <t>Chip</t>
  </si>
  <si>
    <t>Chips</t>
  </si>
  <si>
    <t xml:space="preserve">Wkflow </t>
  </si>
  <si>
    <t>Chatter</t>
  </si>
  <si>
    <t>msec</t>
  </si>
  <si>
    <t>Platform Utilization Profile</t>
  </si>
  <si>
    <t>Min</t>
  </si>
  <si>
    <t>(F9 key)</t>
  </si>
  <si>
    <t>Utilization</t>
  </si>
  <si>
    <t>Test Platform</t>
  </si>
  <si>
    <t>Software</t>
  </si>
  <si>
    <t>DB Traffic</t>
  </si>
  <si>
    <t>Productivity</t>
  </si>
  <si>
    <t>DEFAULT</t>
  </si>
  <si>
    <t>SAVE</t>
  </si>
  <si>
    <t>ADJUST</t>
  </si>
  <si>
    <t>Platform Service time</t>
  </si>
  <si>
    <t>Test</t>
  </si>
  <si>
    <t>System Capacity =</t>
  </si>
  <si>
    <t>Traffic Flow Analysis</t>
  </si>
  <si>
    <t>RESET</t>
  </si>
  <si>
    <t>Qtime</t>
  </si>
  <si>
    <t>Response</t>
  </si>
  <si>
    <t>Max DPM/c</t>
  </si>
  <si>
    <t>Calc</t>
  </si>
  <si>
    <t>Minimum</t>
  </si>
  <si>
    <t>Fix Nodes</t>
  </si>
  <si>
    <t>NIC</t>
  </si>
  <si>
    <t>WAS</t>
  </si>
  <si>
    <t>Geodatabase</t>
  </si>
  <si>
    <t>Database</t>
  </si>
  <si>
    <t>Performance Factors</t>
  </si>
  <si>
    <t>File Data Share</t>
  </si>
  <si>
    <t>File</t>
  </si>
  <si>
    <t>Share</t>
  </si>
  <si>
    <t>Platform Service Times (seconds)</t>
  </si>
  <si>
    <t>Service</t>
  </si>
  <si>
    <t>Think Time</t>
  </si>
  <si>
    <t>Keep this section open to support platform utilization profile</t>
  </si>
  <si>
    <t>Qfac</t>
  </si>
  <si>
    <t>NQfac</t>
  </si>
  <si>
    <t>DBNW</t>
  </si>
  <si>
    <t>Default tier</t>
  </si>
  <si>
    <t>Default</t>
  </si>
  <si>
    <t>Service time = function (throughput, utilization)</t>
  </si>
  <si>
    <t>Queue time = function (service time, utilization)</t>
  </si>
  <si>
    <t xml:space="preserve">Response time = function (service time, queue time) </t>
  </si>
  <si>
    <t>Wkflow</t>
  </si>
  <si>
    <t>Live</t>
  </si>
  <si>
    <t>&lt;Name&gt;</t>
  </si>
  <si>
    <t>&lt;Number&gt;</t>
  </si>
  <si>
    <t>Workflow Favorites</t>
  </si>
  <si>
    <t>Workflow Description</t>
  </si>
  <si>
    <t>LAN_Local Clients</t>
  </si>
  <si>
    <t>WAN_Clients</t>
  </si>
  <si>
    <t>Internet_Clients</t>
  </si>
  <si>
    <t>User Environment</t>
  </si>
  <si>
    <t>%Cap</t>
  </si>
  <si>
    <t xml:space="preserve">Standard  </t>
  </si>
  <si>
    <t xml:space="preserve"> ** Hardware Platform Favorites **</t>
  </si>
  <si>
    <t>Col(i)</t>
  </si>
  <si>
    <t>Software Configuration</t>
  </si>
  <si>
    <t>(Identify where the software components are  installed)</t>
  </si>
  <si>
    <t>Software Component Service Times</t>
  </si>
  <si>
    <t>Peak Concurrent</t>
  </si>
  <si>
    <t>Data {TPH}</t>
  </si>
  <si>
    <t>High Avail</t>
  </si>
  <si>
    <t>Default Availability =</t>
  </si>
  <si>
    <t>AGS License</t>
  </si>
  <si>
    <t>Physical</t>
  </si>
  <si>
    <t>Favorites</t>
  </si>
  <si>
    <t>Standard</t>
  </si>
  <si>
    <t>Solaris</t>
  </si>
  <si>
    <t>Windows</t>
  </si>
  <si>
    <t>Linux</t>
  </si>
  <si>
    <t>AIX</t>
  </si>
  <si>
    <t>HPUX</t>
  </si>
  <si>
    <t>Sun SPARC</t>
  </si>
  <si>
    <t xml:space="preserve"> ==== Performance Baselines ======</t>
  </si>
  <si>
    <t>Platform Specifications:  System, SPECrate_int2006 Performance</t>
  </si>
  <si>
    <t>Lookups</t>
  </si>
  <si>
    <t>Workflow Tab</t>
  </si>
  <si>
    <t>Lab Tab</t>
  </si>
  <si>
    <t>DPM/TPM</t>
  </si>
  <si>
    <t>App</t>
  </si>
  <si>
    <t>per Client</t>
  </si>
  <si>
    <t>Administration Section</t>
  </si>
  <si>
    <t>Trips</t>
  </si>
  <si>
    <t>Throughput (TPH)</t>
  </si>
  <si>
    <t>Workflows</t>
  </si>
  <si>
    <t>Software Technology Profiles</t>
  </si>
  <si>
    <t>Software Technology</t>
  </si>
  <si>
    <t>Hardware Platform Selection</t>
  </si>
  <si>
    <t>Intel Core 2 Quad Q9650</t>
  </si>
  <si>
    <t>MHz</t>
  </si>
  <si>
    <t>Intel Core 2 Duo T7700</t>
  </si>
  <si>
    <t>Intel Xeon MP</t>
  </si>
  <si>
    <t>Intel Xeon</t>
  </si>
  <si>
    <t>Intel PentiumD</t>
  </si>
  <si>
    <t>Arc08 Baseline</t>
  </si>
  <si>
    <t>Arc07 Baseline</t>
  </si>
  <si>
    <t>Arc06 Baseline</t>
  </si>
  <si>
    <t>Arc04/05 Baseline</t>
  </si>
  <si>
    <t>Arc03 Baseline</t>
  </si>
  <si>
    <t>PA-8800</t>
  </si>
  <si>
    <t>PA-8801</t>
  </si>
  <si>
    <t>PA-8802</t>
  </si>
  <si>
    <t>IBM p550</t>
  </si>
  <si>
    <t>IBM p570</t>
  </si>
  <si>
    <t>IBM p575</t>
  </si>
  <si>
    <t>IBM p595</t>
  </si>
  <si>
    <t>Tier05: Platform Tier 05</t>
  </si>
  <si>
    <t>Tier06: Platform Tier 06</t>
  </si>
  <si>
    <t>Display Render Time</t>
  </si>
  <si>
    <t>WindowTS</t>
  </si>
  <si>
    <t>Software Install</t>
  </si>
  <si>
    <t>Workstation</t>
  </si>
  <si>
    <t>LINK</t>
  </si>
  <si>
    <t xml:space="preserve"> ==== Sun Solaris Candidates ======</t>
  </si>
  <si>
    <t xml:space="preserve"> ==== HPUX Candidates ======</t>
  </si>
  <si>
    <t xml:space="preserve"> ==== IBM AIX Candidates ======</t>
  </si>
  <si>
    <t xml:space="preserve"> ==== Intel Desktop Candidates ======</t>
  </si>
  <si>
    <t>BW=&gt;</t>
  </si>
  <si>
    <t xml:space="preserve">Calc Think </t>
  </si>
  <si>
    <t xml:space="preserve"> ==== 2011 DP Server Platforms ====</t>
  </si>
  <si>
    <t>Xeon X5687</t>
  </si>
  <si>
    <t>Arc11 Baseline</t>
  </si>
  <si>
    <t>Upgrade workflows to Arc11 baseline of 40 {performance baseline update}</t>
  </si>
  <si>
    <t>Include new Arc11 performance baseline</t>
  </si>
  <si>
    <t>Upgrade to Arc11 baseline of 40 {performance baseline update}</t>
  </si>
  <si>
    <t>Client device load only:  AGD10 wkstn MXD Lite 100%Dyn V 4x3 Feature total service time</t>
  </si>
  <si>
    <t>Upgrade base workflows to Arc11 baseline of 40 {performance baseline update}</t>
  </si>
  <si>
    <t xml:space="preserve"> ==== 2011 Desktop Platforms ====</t>
  </si>
  <si>
    <t xml:space="preserve">Intel Core i7-2600 </t>
  </si>
  <si>
    <t xml:space="preserve">Intel Core i5-2500 </t>
  </si>
  <si>
    <t xml:space="preserve">Intel Core i5-2400 </t>
  </si>
  <si>
    <t>Intel Core i3-2120</t>
  </si>
  <si>
    <t>Xeon E3-1280</t>
  </si>
  <si>
    <t>Xeon E7-2870</t>
  </si>
  <si>
    <t>Xeon E7-4870</t>
  </si>
  <si>
    <t>Xeon E7-4860</t>
  </si>
  <si>
    <t>Xeon E7-4850</t>
  </si>
  <si>
    <t>Xeon E7-8837</t>
  </si>
  <si>
    <t>Xeon E7-4830</t>
  </si>
  <si>
    <t>Xeon E7-4820</t>
  </si>
  <si>
    <t>Vservers</t>
  </si>
  <si>
    <t>Xeon E3-1280 4 core (1 chip) 3500 MHz</t>
  </si>
  <si>
    <t>MSF_Medium ShapeFile</t>
  </si>
  <si>
    <t xml:space="preserve">Client  feature traffic reduced by %dynamic {corrects feature traffic reduction when using map cache} </t>
  </si>
  <si>
    <t>Desktop Workstations ===</t>
  </si>
  <si>
    <t>Total VMs =</t>
  </si>
  <si>
    <t>Provide variable number of virtual server on platform capacity calculator {select number of VMs}</t>
  </si>
  <si>
    <t>Round off Platform Capacity Calculator TPH results to 100s of transactions {more appropriate and easier to work with}</t>
  </si>
  <si>
    <t>TIFF_uncompress</t>
  </si>
  <si>
    <t>TIFFLZW_compress</t>
  </si>
  <si>
    <t>TIFFJPG_compress</t>
  </si>
  <si>
    <t>MRSID</t>
  </si>
  <si>
    <t>ECW</t>
  </si>
  <si>
    <t>IMG_ERDAS</t>
  </si>
  <si>
    <t>JPG2000</t>
  </si>
  <si>
    <t>Image size KB</t>
  </si>
  <si>
    <t>ArcIMS ArcMap Server Light Dynamic (Web App)</t>
  </si>
  <si>
    <t>ArcIMS ArcMap Server Light Dynamic (Web Service)</t>
  </si>
  <si>
    <t>ArcIMS Image Server Light Dynamic (Web App)</t>
  </si>
  <si>
    <t>ArcIMS Image Server Medium Dynamic (Web App)</t>
  </si>
  <si>
    <t>ArcIMS Image Server Light Dynamic (Web Service)</t>
  </si>
  <si>
    <t>ArcIMS Image Server Medium Dynamic (Web Service)</t>
  </si>
  <si>
    <t>Remove nickname and include Arc in front of all legacy ArcIMS workflows {more consistent with other workflow names}</t>
  </si>
  <si>
    <t>Actual</t>
  </si>
  <si>
    <t>Tiles per second</t>
  </si>
  <si>
    <t>Model Throughput</t>
  </si>
  <si>
    <t>TPS</t>
  </si>
  <si>
    <t>Xeon E3-1270</t>
  </si>
  <si>
    <t>Xeon E3-1240</t>
  </si>
  <si>
    <t>Xeon E3-1230</t>
  </si>
  <si>
    <t>Xeon E3-1220</t>
  </si>
  <si>
    <t>Include Imagery legacy and mosaic map doc and specific data sources {introducing Imagery workflows}</t>
  </si>
  <si>
    <t>Include Imagery data sources {introducing Imagery workflows}</t>
  </si>
  <si>
    <t>GIS</t>
  </si>
  <si>
    <t>2Med_2xMedium</t>
  </si>
  <si>
    <t>3Med_3xMedium</t>
  </si>
  <si>
    <t>Virtual core/node</t>
  </si>
  <si>
    <t>Correct error when calculating workflow DBMS load when no specified SDE load.</t>
  </si>
  <si>
    <t>Correct error in calculating relative Speed when in a virtual server configuration.</t>
  </si>
  <si>
    <t>AGS10 Imagery Processed Lite 100%Dyn 10x7 R JPEG</t>
  </si>
  <si>
    <t>AGS10 Imagery Dynamic Med 100%Dyn 10x7 R JPEG</t>
  </si>
  <si>
    <t>TOTALS</t>
  </si>
  <si>
    <t>Servers</t>
  </si>
  <si>
    <t xml:space="preserve">Enhance platform solution {include solution metrics} </t>
  </si>
  <si>
    <t>Change Workflow Performance Summary layout {align with workflows for more adaptive design}</t>
  </si>
  <si>
    <t>Include virtual server configuration templates Col J-S {templates available for virtual server layout}</t>
  </si>
  <si>
    <t>Include solution summary template Col C-H {template available for creating design summary}</t>
  </si>
  <si>
    <t>AGS101 ArcGIS Mobile Client</t>
  </si>
  <si>
    <t>AGS101 ArcGIS Mobile Sychronization Service</t>
  </si>
  <si>
    <t>AGS101 ArcGIS Mobile Provisioning Service</t>
  </si>
  <si>
    <t>ArcGIS for Desktop 10.1  =========</t>
  </si>
  <si>
    <t>ArcGIS for Server 10.1  =========</t>
  </si>
  <si>
    <t>ArcGIS 10.1 for Mobile Services  =========</t>
  </si>
  <si>
    <t>ArcGIS 10.1 for Server Image Services  =========</t>
  </si>
  <si>
    <t>ArcGIS Desktop 10  =========</t>
  </si>
  <si>
    <t>RasterDS</t>
  </si>
  <si>
    <t>MosaicDS</t>
  </si>
  <si>
    <t xml:space="preserve"> Imagery</t>
  </si>
  <si>
    <t>Medium</t>
  </si>
  <si>
    <t>FGDB</t>
  </si>
  <si>
    <t>J6</t>
  </si>
  <si>
    <t>A11</t>
  </si>
  <si>
    <t>G3</t>
  </si>
  <si>
    <t>Include new Imagery workflow functionality</t>
  </si>
  <si>
    <t>Include RESET workflow {reset CPT calculator}</t>
  </si>
  <si>
    <t>Enhanced platform solution display {improved solution information when using platform solution module in documentation}</t>
  </si>
  <si>
    <t>Configurable design solution templates {system design solution summary and virtual server configuration templates included on Design tab}</t>
  </si>
  <si>
    <t>Include new Imagery workflow functionality{Imagery workflows fully integrated into CPT Calculator tab}</t>
  </si>
  <si>
    <t>Include new standard Imagery workflows {generated from Calculator tab}</t>
  </si>
  <si>
    <t>Exclude terminal/browser client load from Workflow Software Load Profile {use measured loads only}</t>
  </si>
  <si>
    <t>Rotate Workflow Performance Summary to align with Requirements Analysis workflows {improved design display}</t>
  </si>
  <si>
    <t>Standard Workflows =========</t>
  </si>
  <si>
    <t>DataSource</t>
  </si>
  <si>
    <t>Expand Platform Capacity Calculator to include data source {expand analysis capabilities}</t>
  </si>
  <si>
    <t>Include Workflow Performance Summary for selected workflows on the Platform Capacity Calculator {provide performance metrics with capacity}</t>
  </si>
  <si>
    <t>Light</t>
  </si>
  <si>
    <t>Processing time</t>
  </si>
  <si>
    <t>ShortName</t>
  </si>
  <si>
    <t>ImgCk</t>
  </si>
  <si>
    <t>Imagery</t>
  </si>
  <si>
    <t>MedST</t>
  </si>
  <si>
    <t>AGD10 wkstn MXD  100%Dyn Lite 10x7 Feature</t>
  </si>
  <si>
    <t>AGD10 wkstn MXD  100%Dyn Med 10x7 Feature</t>
  </si>
  <si>
    <t>AGS10 REST MSD V 40%Dyn Med 10x7 PNG24 +$$</t>
  </si>
  <si>
    <t>AGS10 REST MSD V 20%Dyn Med 10x7 Feature +$$</t>
  </si>
  <si>
    <t>AGS10 SOAP MXD V 10%Dyn Lite 4x3 Feature</t>
  </si>
  <si>
    <t>AGS10 SOAP MXD V 100%Dyn Lite 4x3 Feature</t>
  </si>
  <si>
    <t>Xeon X5672</t>
  </si>
  <si>
    <t>Xeon X6550</t>
  </si>
  <si>
    <t>Move RESET to top of selection</t>
  </si>
  <si>
    <t>AGS10 Imagery MosaicDS R 100%Dyn Med 10x7 JPEG</t>
  </si>
  <si>
    <t>AGS10 Imagery MosaicDS R 100%Dyn Lite 10x7 JPEG</t>
  </si>
  <si>
    <t>AGS10 Imagery RasterDS R 100%Dyn Med 10x7 JPEG</t>
  </si>
  <si>
    <t>Software Technology Performance Factors</t>
  </si>
  <si>
    <t>AGD10 Citrix MXD V 100%Dyn Lite 10x7 ICA</t>
  </si>
  <si>
    <t>AGD10 Citrix MXD V 100%Dyn Med 10x7 ICA</t>
  </si>
  <si>
    <t>AGD10 Citrix MXD R 100%Dyn Lite 10x7 ICA</t>
  </si>
  <si>
    <t>AGD10 Citrix MXD R 100%Dyn Med 10x7 ICA</t>
  </si>
  <si>
    <t>use medium workflow</t>
  </si>
  <si>
    <t>S Batch_Batch Mapping Service</t>
  </si>
  <si>
    <t>VM Set</t>
  </si>
  <si>
    <t xml:space="preserve">SP0201 (Arc10) - Released with Building a GIS 2nd Edition </t>
  </si>
  <si>
    <t xml:space="preserve">SP0801 (Arc11) - Changes since SP0201 </t>
  </si>
  <si>
    <t xml:space="preserve">SP0201 (Arc11) - Changes since SP0801 </t>
  </si>
  <si>
    <t>Xeon X5675</t>
  </si>
  <si>
    <t>Moved configurable design templates to lower rows and hid in a closed set of group 1 rows. {removes templates from view in normal configurations}</t>
  </si>
  <si>
    <t>Include additional column groups E:G and AF:AG {reduce display size and complexity}</t>
  </si>
  <si>
    <t>Include column I condition RED when network traffic exceeds 99% {Identify traffic bottleneck}</t>
  </si>
  <si>
    <t>Arc12 Baseline</t>
  </si>
  <si>
    <t>Remove Column Group "Workflow Software Load Profile" {simplify workflow tab}</t>
  </si>
  <si>
    <t>Hide Web1 column [simplify workflow tab}</t>
  </si>
  <si>
    <t>Remove ArcGIS 9 workflows {simplify workflow tab, available in Calculator as custom workflow}</t>
  </si>
  <si>
    <t>Update workflow service times to Arc12 baseline of 45 {2012 baseline update}</t>
  </si>
  <si>
    <t>Update Standard Workflow service times to Arc12 baseline {2012 performance baseline update}</t>
  </si>
  <si>
    <t>Include Arc12 baseline of 45 {2012 performance baseline update}</t>
  </si>
  <si>
    <t>Virtual Machine</t>
  </si>
  <si>
    <t>January 2012</t>
  </si>
  <si>
    <t>Baseline/core</t>
  </si>
  <si>
    <t>January 2011</t>
  </si>
  <si>
    <t>January 2010</t>
  </si>
  <si>
    <t>Xeon X5690 12 core (2 chip) 3466 MHz</t>
  </si>
  <si>
    <t xml:space="preserve"> ==== 2012 DP Server Platforms ====</t>
  </si>
  <si>
    <t>Xeon E5-2637</t>
  </si>
  <si>
    <t>Xeon E5-2643</t>
  </si>
  <si>
    <t>Xeon E5-2690</t>
  </si>
  <si>
    <t>Xeon E5-2680</t>
  </si>
  <si>
    <t xml:space="preserve"> ==== 2012 Desktop Platforms ====</t>
  </si>
  <si>
    <t>Intel Xeon E5-2637</t>
  </si>
  <si>
    <t>Xeon E5-2637 4 core (2 chip) 3000 MHz</t>
  </si>
  <si>
    <t>Xeon E5-2680 16 core (2 chip) 2700 MHz</t>
  </si>
  <si>
    <t>Xeon X5677 8 core (2 chip) 3467 MHz</t>
  </si>
  <si>
    <t>Xeon X5570 8 core (2 chip) 2933 MHz</t>
  </si>
  <si>
    <t>Xeon X5504 8 core (2 chip) 2000 MHz</t>
  </si>
  <si>
    <t>January 2009</t>
  </si>
  <si>
    <t>January 2008</t>
  </si>
  <si>
    <t>Xeon X5270 4 core (2 chip) 3500 MHz</t>
  </si>
  <si>
    <t>Xeon E5440 8 core (2 chip) 2833 MHz</t>
  </si>
  <si>
    <t>Xeon X5687 8 core (2 chip) 3600 MHz</t>
  </si>
  <si>
    <t>Xeon E7-4870 40 core (4 chip) 2400 MHz</t>
  </si>
  <si>
    <t>Xeon E5-2643 8 core (2 chip) 3300 MHz</t>
  </si>
  <si>
    <t xml:space="preserve"> System Design Strategies TRD</t>
  </si>
  <si>
    <t>Workflow throughput input cells turn RED for invalid workflows. {identify invalid workflows}</t>
  </si>
  <si>
    <t>ArcGIS Desktop 9.3.1  =========</t>
  </si>
  <si>
    <t>AGD931 wkstn MXD Lite 100%Dyn 10x7 Feature</t>
  </si>
  <si>
    <t>AGD931 wkstn MXD Med 100%Dyn 10x7 Feature</t>
  </si>
  <si>
    <t>AGD931 WTS Citrix MXD Lite 100%Dyn V 10x7 ICA</t>
  </si>
  <si>
    <t>AGD931 WTS Citrix MXD Med 100%Dyn V 10x7 ICA</t>
  </si>
  <si>
    <t>AGD931 WTS Citrix MXD Lite 100%Dyn R 10x7 ICA</t>
  </si>
  <si>
    <t>AGD931 WTS Citrix MXD Med 100%Dyn R 10x7 ICA</t>
  </si>
  <si>
    <t>ArcGIS Server 9.3.1  =========</t>
  </si>
  <si>
    <t>AGS931 ADF MXD Lite 100%Dyn 10x7 V PNG24</t>
  </si>
  <si>
    <t>AGS931 ADF MXD Lite 100%Dyn V 10x7 PNG24</t>
  </si>
  <si>
    <t>AGS931 ADF MXD Med 100%Dyn 10x7 R JPEG</t>
  </si>
  <si>
    <t>AGS931 ADF MXD Med 100%Dyn R 10x7 JPEG</t>
  </si>
  <si>
    <t>AGS931 REST MXD Lite 100%Dyn 10x7 V PNG24</t>
  </si>
  <si>
    <t>AGS931 REST MXD Lite 100%Dyn V 10x7 PNG24</t>
  </si>
  <si>
    <t>AGS931 REST MXD Med 100%Dyn 10x7 R JPEG</t>
  </si>
  <si>
    <t>AGS931 REST MXD Med 100%Dyn R 10x7 JPEG</t>
  </si>
  <si>
    <t>AGS931 REST MSD Lite 100%Dyn 10x7 V PNG24</t>
  </si>
  <si>
    <t>AGS931 REST MSD Lite 100%Dyn V 10x7 PNG24</t>
  </si>
  <si>
    <t>AGS931 REST MSD Med 100%Dyn 10x7 R JPEG</t>
  </si>
  <si>
    <t>AGS931 REST MSD Med 100%Dyn R 10x7 JPEG</t>
  </si>
  <si>
    <t>AGS931 REST MXD Lite 20%Dyn V 10x7 PNG24</t>
  </si>
  <si>
    <t>AGS931 WMS MXD Lite 100%Dyn V 10x7 PNG24</t>
  </si>
  <si>
    <t>AGS931 WMS MXD Med 100%Dyn R 10x7 JPEG</t>
  </si>
  <si>
    <t>ArcGIS 9.3.1 Mobile Services  =========</t>
  </si>
  <si>
    <t>AGS93 ArcGIS Mobile Client</t>
  </si>
  <si>
    <t>Client device load only:  AGD931 wkstn MXD Lite 100%Dyn V 4x3 Feature</t>
  </si>
  <si>
    <t>AGS931 ArcGIS Mobile Sychronization Service</t>
  </si>
  <si>
    <t>AGS931 SOAP MXD Lite 10%Dyn V 4x3 Feature</t>
  </si>
  <si>
    <t>AGS931 ArcGIS Mobile Provisioning Service</t>
  </si>
  <si>
    <t>AGS931 SOAP MXD Lite 100%Dyn V 4x3 Feature</t>
  </si>
  <si>
    <t>ArcGIS Desktop 9.3.0  =========</t>
  </si>
  <si>
    <t>AGD930 wkstn MXD Lite 100%Dyn V 10x7 Feature</t>
  </si>
  <si>
    <t>AGD930 wkstn MXD Med 100%Dyn V 10x7 Feature</t>
  </si>
  <si>
    <t>AGD930 WTS Citrix MXD Lite 100%Dyn V 10x7 ICA</t>
  </si>
  <si>
    <t>AGD930 WTS Citrix MXD Med 100%Dyn V 10x7 ICA</t>
  </si>
  <si>
    <t>AGD930 WTS Citrix MXD Lite 100%Dyn R 10x7 ICA</t>
  </si>
  <si>
    <t>AGD930 WTS Citrix MXD Med 100%Dyn R 10x7 ICA</t>
  </si>
  <si>
    <t>ArcGIS Server 9.3.0  =========</t>
  </si>
  <si>
    <t>AGS930 ADF MXD Lite 100%Dyn V 10x7 PNG24</t>
  </si>
  <si>
    <t>AGS930 ADF MXD Med 100%Dyn R 10x7 JPEG</t>
  </si>
  <si>
    <t>AGS930 SOAP MXD Lite 100%Dyn V 10x7 PNG24</t>
  </si>
  <si>
    <t>AGS930 SOAP MXD Med 100%Dyn R 10x7 JPEG</t>
  </si>
  <si>
    <t>AGS930 REST MXD Lite 100%Dyn V 10x7 PNG24</t>
  </si>
  <si>
    <t>AGS930 REST MXD Med 100%Dyn R 10x7 JPEG</t>
  </si>
  <si>
    <t>AGS930 REST MXD Lite 20%Dyn V 10x7 PNG24</t>
  </si>
  <si>
    <t>AGS930 REST MXD Lite Full CacheDyn V 10x7 PNG24</t>
  </si>
  <si>
    <t>Legacy Standard Workflows</t>
  </si>
  <si>
    <t>Legacy Standard Workflows are moved to the bottom of the sheet  {remove from lookup list}</t>
  </si>
  <si>
    <t>Phy/virtual/OS</t>
  </si>
  <si>
    <t>Xeon E5-2603</t>
  </si>
  <si>
    <t>Xeon E5-2609</t>
  </si>
  <si>
    <t>Xeon E5-2630L</t>
  </si>
  <si>
    <t>Xeon E5-2667</t>
  </si>
  <si>
    <t>Xeon E5-2650</t>
  </si>
  <si>
    <t>Test tab</t>
  </si>
  <si>
    <t>Change Measured Performance options to MXD and MSD in cell B12 (accommodate map publishing preview tool)</t>
  </si>
  <si>
    <t xml:space="preserve">SP0501 (Arc11) - Changes since SP0201 </t>
  </si>
  <si>
    <t>Include several new 2012 platforms</t>
  </si>
  <si>
    <t>Identify error (Cell G3 RED) when MXD is selected for AGS 101 REST workflow {MXD not supported for AGS 10.1}</t>
  </si>
  <si>
    <t>Update lookup table for Imagery MosaicDS vs RasterDS performance {Same performance through Imagery service}</t>
  </si>
  <si>
    <t>Cache_Cached Tiles</t>
  </si>
  <si>
    <t>Xeon E5-1660</t>
  </si>
  <si>
    <t>Xeon E5-1650</t>
  </si>
  <si>
    <t>Xeon E5-1620</t>
  </si>
  <si>
    <t>Xeon E5-2687W</t>
  </si>
  <si>
    <t>Xeon E5-2670</t>
  </si>
  <si>
    <t>Xeon E5-2650L</t>
  </si>
  <si>
    <t>Xeon E5-2640</t>
  </si>
  <si>
    <t>Xeon E5-2630</t>
  </si>
  <si>
    <t>Xeon E5-2620</t>
  </si>
  <si>
    <t>Client Traffic</t>
  </si>
  <si>
    <t xml:space="preserve">SP0802 (Arc12) - Changes since SP0501 </t>
  </si>
  <si>
    <t>Update workflows to Arc12 baseline</t>
  </si>
  <si>
    <t>Include WMS and KML workflow service time targets.</t>
  </si>
  <si>
    <t>Platform Per core Performance</t>
  </si>
  <si>
    <t>Update lookup table for feature service  adjustments {test updates}</t>
  </si>
  <si>
    <t>Include WMS and KML MSD workflow baselines {test updates}</t>
  </si>
  <si>
    <t>AGS10 WMS MSD R 100%Dyn Med 10x7 JPEG</t>
  </si>
  <si>
    <t>Workflow Software Load Profile</t>
  </si>
  <si>
    <t>(exclude terminal/browser client load)</t>
  </si>
  <si>
    <t xml:space="preserve">OS  </t>
  </si>
  <si>
    <t>More</t>
  </si>
  <si>
    <t>Operating</t>
  </si>
  <si>
    <t>System</t>
  </si>
  <si>
    <t xml:space="preserve">SP0101 (Arc12) - Changes since SP0501 </t>
  </si>
  <si>
    <t>Update virtual server load model {reduce higher capacity virtual overhead}</t>
  </si>
  <si>
    <t>Tier Capacity</t>
  </si>
  <si>
    <t>Move platform SPEC location and add tier Capacity {improve display}</t>
  </si>
  <si>
    <t>Update platform capacity calculator virtual server load model {reduce higher capacity virtual overhead}</t>
  </si>
  <si>
    <t>Host02: Virtual Host 02</t>
  </si>
  <si>
    <t>Host01: Virtual Host 01</t>
  </si>
  <si>
    <t>Host03: Virtual Host 03</t>
  </si>
  <si>
    <t>Virtual</t>
  </si>
  <si>
    <t>Host Platform</t>
  </si>
  <si>
    <t>HostArray</t>
  </si>
  <si>
    <t>Add 3-tier Virtual Server Host Platform Tier Configuration {assign virtual servers to host platform tier}</t>
  </si>
  <si>
    <t>Add Virtual Server Host Platform Tier Configuration {assign virtual servers to host platform tier}</t>
  </si>
  <si>
    <t>Host OS</t>
  </si>
  <si>
    <t>Node</t>
  </si>
  <si>
    <t>Host Platform Tier</t>
  </si>
  <si>
    <t>Virtual:Phy</t>
  </si>
  <si>
    <t>Host</t>
  </si>
  <si>
    <t>Qfactor</t>
  </si>
  <si>
    <t>Host platform configuration summary</t>
  </si>
  <si>
    <t>Server platform configuration summary</t>
  </si>
  <si>
    <t>VMHost</t>
  </si>
  <si>
    <t>Core/node</t>
  </si>
  <si>
    <t>Core/tier</t>
  </si>
  <si>
    <t>Peak capacity per node</t>
  </si>
  <si>
    <t>Peak capacity per tier</t>
  </si>
  <si>
    <t>VM only</t>
  </si>
  <si>
    <t>Tier</t>
  </si>
  <si>
    <t>hLoad</t>
  </si>
  <si>
    <t xml:space="preserve">Host </t>
  </si>
  <si>
    <t>Assigned</t>
  </si>
  <si>
    <t xml:space="preserve">Assign </t>
  </si>
  <si>
    <t>vMem</t>
  </si>
  <si>
    <t>vCore</t>
  </si>
  <si>
    <t>Config</t>
  </si>
  <si>
    <t>hMemory</t>
  </si>
  <si>
    <t>Host machine background turns YELLOW when vCPU &gt; physical core (overcommitted)</t>
  </si>
  <si>
    <t>Xeon E5-2400</t>
  </si>
  <si>
    <t>Xeon E5-2403</t>
  </si>
  <si>
    <t>Xeon E5-2407</t>
  </si>
  <si>
    <t>Xeon E5-2418</t>
  </si>
  <si>
    <t>Xeon E5-2420</t>
  </si>
  <si>
    <t>Xeon E5-2428</t>
  </si>
  <si>
    <t>Xeon E5-2430</t>
  </si>
  <si>
    <t>Xeon E5-2430L</t>
  </si>
  <si>
    <t>Xeon E5-2440</t>
  </si>
  <si>
    <t>Xeon E5-2448L</t>
  </si>
  <si>
    <t>Xeon E5-2450</t>
  </si>
  <si>
    <t>Xeon E5-2450L</t>
  </si>
  <si>
    <t>Xeon E5-2470</t>
  </si>
  <si>
    <t>Xeon E5-2648L</t>
  </si>
  <si>
    <t>Xeon E5-2658</t>
  </si>
  <si>
    <t>Xeon E5-2660</t>
  </si>
  <si>
    <t>Xeon E5-2665</t>
  </si>
  <si>
    <t xml:space="preserve"> ==== 2012 MP Server Platforms ====</t>
  </si>
  <si>
    <t>Xeon E5-4603</t>
  </si>
  <si>
    <t>Xeon E5-4607</t>
  </si>
  <si>
    <t>Xeon E5-4610</t>
  </si>
  <si>
    <t>Xeon E5-4617</t>
  </si>
  <si>
    <t>Xeon E5-4620</t>
  </si>
  <si>
    <t>Xeon E5-4640</t>
  </si>
  <si>
    <t>Xeon E5-4650</t>
  </si>
  <si>
    <t>Xeon E5-4650L</t>
  </si>
  <si>
    <t>Host platform selection cell RED means host platform does not match selected virtual machine platform (host platform sizing does not apply)</t>
  </si>
  <si>
    <t>Virtual platform selection cell YELLOW means selected virtual platform does not match host platform (virtual platform sizing still accurate)</t>
  </si>
  <si>
    <t>Host platform selection cell YELLOW means vCPU&gt;host platform core (vCPU cell also turns YELLOW).</t>
  </si>
  <si>
    <t>Match</t>
  </si>
  <si>
    <t>vMatch</t>
  </si>
  <si>
    <t>Rebuild workflow queue formulas to incorporate host machine capacity and improve efficiency.</t>
  </si>
  <si>
    <t>Tsvctime</t>
  </si>
  <si>
    <t>Adjust workflow formulas so they can handle Citrix + Server composite workflows (single workflows with mix of Citrix and Web Server component service times)</t>
  </si>
  <si>
    <t>Arc13 Baseline</t>
  </si>
  <si>
    <t xml:space="preserve"> Installed Platform Service Times</t>
  </si>
  <si>
    <t>Assigned and Adjusted Software Service Times</t>
  </si>
  <si>
    <t xml:space="preserve"> ==== 2013 DP Server Platforms ====</t>
  </si>
  <si>
    <t xml:space="preserve"> ==== 2013 Desktop Platforms ====</t>
  </si>
  <si>
    <t>Intel Xeon E5-2637 4 core (2 chip) 3000 MHz</t>
  </si>
  <si>
    <t>AGD102 wkstn MXD  100%Dyn Lite 10x7 Feature</t>
  </si>
  <si>
    <t>AGD102 wkstn MXD  100%Dyn Med 10x7 Feature</t>
  </si>
  <si>
    <t>AGS102 REST MSD R 100%Dyn Med 10x7 JPEG</t>
  </si>
  <si>
    <t>AGS102 ArcGIS Mobile Client</t>
  </si>
  <si>
    <t>AGS102 ArcGIS Mobile Sychronization Service</t>
  </si>
  <si>
    <t>AGS102 ArcGIS Mobile Provisioning Service</t>
  </si>
  <si>
    <t>ArcGIS for Desktop 10.2  =========</t>
  </si>
  <si>
    <t>ArcGIS for Server 10.2  =========</t>
  </si>
  <si>
    <t>ArcGIS 10.2 for Mobile Services  =========</t>
  </si>
  <si>
    <t>ArcGIS 10.2 for Server Image Services  =========</t>
  </si>
  <si>
    <t>Xeon E3-1280V2</t>
  </si>
  <si>
    <t>Xeon E3-1270V2</t>
  </si>
  <si>
    <t>Xeon E7-2850</t>
  </si>
  <si>
    <t>Xeon E7-2860</t>
  </si>
  <si>
    <t>Xeon E7-4807</t>
  </si>
  <si>
    <t>Include Arc13 baseline of 50 {new 2013 platform baseline}</t>
  </si>
  <si>
    <t>Upgrade Platform Capacity Calculator to Arc13 baseline</t>
  </si>
  <si>
    <t>Include several new 2013 server platforms</t>
  </si>
  <si>
    <t>Upgrade Test models to Arc13 baseline</t>
  </si>
  <si>
    <t>Calculator Tab</t>
  </si>
  <si>
    <t>Upgrade Calculator to Arc13 baseline</t>
  </si>
  <si>
    <t>Add new ArcGIS 10.2 workflows</t>
  </si>
  <si>
    <t>Fix Imagery workflow mosaic dataset load assignment</t>
  </si>
  <si>
    <t xml:space="preserve">Reduce virtual server overhead to match system designer  values {1-3 vCPU = 10%, 4-6 vCPU = 20%, &gt;6 CPU = 30%}. </t>
  </si>
  <si>
    <t xml:space="preserve">Virtual Server Host Platform Tier </t>
  </si>
  <si>
    <t>Peak throughput is provided at 80 pecent full capacity</t>
  </si>
  <si>
    <t>Xeon E3-1290V2</t>
  </si>
  <si>
    <t xml:space="preserve">SP0701 (Arc13) - Changes since SP0101 </t>
  </si>
  <si>
    <t>MDS</t>
  </si>
  <si>
    <t>SDE Checkout</t>
  </si>
  <si>
    <t>Make software load changes in Project Workflows</t>
  </si>
  <si>
    <t>FileDBMS</t>
  </si>
  <si>
    <t>Workflow performance summary</t>
  </si>
  <si>
    <t>Update platform memory calculations {match SDSwiki memory discussion}</t>
  </si>
  <si>
    <t>Update AGS102 and AGS101 Web service times (represent Web Adaptor load)</t>
  </si>
  <si>
    <t>Add new AGS102 REST KMZ workflow {new AGS102 KML compressed service}</t>
  </si>
  <si>
    <t>Update AGIS102 SOAP baseline service times {roughly same load as REST service}</t>
  </si>
  <si>
    <t>Add new "Portal" selection in the Density dropdown {Adds Portal Web loads to hosted service transactions}</t>
  </si>
  <si>
    <t>Add new AGS102 Portal workflow for accessing remote registered services, creating Web maps, and data package sharing transactions {internal hosted services are configured separate}</t>
  </si>
  <si>
    <t>Remove Output format service time adjustment for Web services {output format processing performed by SOC}</t>
  </si>
  <si>
    <t>Update baseline data source adjustment lookup table {model correction}</t>
  </si>
  <si>
    <t>Preview Display Light =</t>
  </si>
  <si>
    <t>Preview Display Medium =</t>
  </si>
  <si>
    <t>Preview Display Heavy =</t>
  </si>
  <si>
    <t>* FGDB data source</t>
  </si>
  <si>
    <t>Update display render time tools {convert to preview baseline}</t>
  </si>
  <si>
    <t>Density/Portal</t>
  </si>
  <si>
    <t>License calculation includes only SOC tier {ADF no longer supported after 10.0 release}</t>
  </si>
  <si>
    <t>Direct Connect</t>
  </si>
  <si>
    <t>Software configuration SDE/MSD component includes Direct Connect option {Direct Connect replaces Default/"Default" for more clarity}</t>
  </si>
  <si>
    <t>Software configuration component empty selection included in dropdown {blank selection is not shown with install in column B}</t>
  </si>
  <si>
    <t>VPortal</t>
  </si>
  <si>
    <t>RPortal</t>
  </si>
  <si>
    <t>V ector Only</t>
  </si>
  <si>
    <t>R aster Image</t>
  </si>
  <si>
    <t>RP</t>
  </si>
  <si>
    <t>Change SDE row 5 Default to Direct Connect.</t>
  </si>
  <si>
    <t>Correct  "Desktop" file/DBMS service time adjustments for Client and Citrix servers</t>
  </si>
  <si>
    <t>Remove group tier functionality {not required - reduce overall calculation load}</t>
  </si>
  <si>
    <t>Intel Core i3-4330</t>
  </si>
  <si>
    <t>Xeon E3-1280 v3</t>
  </si>
  <si>
    <t>Memory/core</t>
  </si>
  <si>
    <t>Vserver</t>
  </si>
  <si>
    <t>VDI</t>
  </si>
  <si>
    <t>RDS</t>
  </si>
  <si>
    <t>Include VDI processing overhead with VDI configuration selection {simplifies workflow configuration and expands CPT capabilities}</t>
  </si>
  <si>
    <t>Remove requirement for unique virtual desktop (VDI)  workflow software selection {remote desktop server workflows (XenApp and VDI) will be configured at the platform level}</t>
  </si>
  <si>
    <t>Return Citrix XenApp baseline workflow software selections to Citrix workflows {same workflows used for both XenApp and VDI configurations}</t>
  </si>
  <si>
    <t>Reture AGD XenApp standard workflows to AGD Citrix standard workflows {AGD Citrix workflows can be deployed on  XenApp (Vserver) or Virtual Desktop (VDI) configuration}</t>
  </si>
  <si>
    <t>Design tab</t>
  </si>
  <si>
    <t>Change virtual server configurations to include Vserver and VDI {Vserver used for AGD XenApp and AGS deployments and VDI used for virtual desktop deployments}</t>
  </si>
  <si>
    <t>Upgrade design tab to support virtual desktop platform configurations {virtual desktop (VDI) platform tier shows individual desktops}</t>
  </si>
  <si>
    <t>Upgrade design tab to support virtual desktop platform configurations  {virtual desktop (VDI) platform tier shows individual desktops}</t>
  </si>
  <si>
    <t>Memory (GB)</t>
  </si>
  <si>
    <t>Adjust VDI memory {Minimum recommended + 50 percent per additional core}</t>
  </si>
  <si>
    <t>Correct HA VDI client nodes {no HA client configuration}</t>
  </si>
  <si>
    <t>Include note in column H describing how display processing complexity is measured {help describe model}</t>
  </si>
  <si>
    <t>Minor adjustments to measured service time models {more accurate representation and improved color scheme}</t>
  </si>
  <si>
    <t>Change virtual selections to include VDI option {all virtual server selections the same, migrating VMware to Vserver}</t>
  </si>
  <si>
    <t>Implement VDI client tier for virtual desktop architecture {show client tier platforms}</t>
  </si>
  <si>
    <r>
      <t xml:space="preserve">Include AGD102 XenApp and VDI workflows in baseline {AGD Citrix = AGD XenApp; add VDI workflow} </t>
    </r>
    <r>
      <rPr>
        <sz val="10"/>
        <color rgb="FFFF0000"/>
        <rFont val="Arial Narrow"/>
        <family val="2"/>
      </rPr>
      <t>REMOVE WITH SP0201</t>
    </r>
  </si>
  <si>
    <r>
      <t xml:space="preserve">Change AGD102 Citrix to AGD102 XenApp workflows {Earlier release Citrix workflows = XenApp}  </t>
    </r>
    <r>
      <rPr>
        <sz val="10"/>
        <color rgb="FFFF0000"/>
        <rFont val="Arial Narrow"/>
        <family val="2"/>
      </rPr>
      <t>REMOVE WITH SP0201</t>
    </r>
  </si>
  <si>
    <t>Intel Core i7-2860QM</t>
  </si>
  <si>
    <t>TURBO</t>
  </si>
  <si>
    <t>Workflow Software Load Profile discussion</t>
  </si>
  <si>
    <t>This is the standard load profile for an MXD display</t>
  </si>
  <si>
    <t>PNG output increases SOC load with same SDE DBMS load.</t>
  </si>
  <si>
    <t>Server profile uses MSD rendering, reducing the SOC load.  Percentages are adusted accordingly.</t>
  </si>
  <si>
    <t>Fill load on the SOC - file data source.</t>
  </si>
  <si>
    <t>SOC load adjustment based on test results</t>
  </si>
  <si>
    <t>Used standard desktop load profile</t>
  </si>
  <si>
    <t>Increased SOC load  to render feature service</t>
  </si>
  <si>
    <t xml:space="preserve"> ==== 2013 Server Platforms ====</t>
  </si>
  <si>
    <t xml:space="preserve"> ==== 2012 Server Platforms ====</t>
  </si>
  <si>
    <t xml:space="preserve"> ==== 2011 Server Platforms ====</t>
  </si>
  <si>
    <t>AMD Opt 6136</t>
  </si>
  <si>
    <t>AMD Opteron 6370P</t>
  </si>
  <si>
    <t>AMD Opteron 6338P</t>
  </si>
  <si>
    <t>AMD Opteron 6386 SE</t>
  </si>
  <si>
    <t>AMD Opteron 6348</t>
  </si>
  <si>
    <t>AMD Opteron 6328</t>
  </si>
  <si>
    <t>AMD Opteron 6308</t>
  </si>
  <si>
    <t>AMD Opteron 4340</t>
  </si>
  <si>
    <t>AMD Opteron 6309</t>
  </si>
  <si>
    <t>AMD Opteron 6380</t>
  </si>
  <si>
    <t>AMD Opteron 6344</t>
  </si>
  <si>
    <t>AMD Opteron 6220</t>
  </si>
  <si>
    <t>AMD Opteron 4240</t>
  </si>
  <si>
    <t>AMD Opteron 6204</t>
  </si>
  <si>
    <t>AMD Phenom II X4 B97</t>
  </si>
  <si>
    <t>AMD Phenom II X4 975</t>
  </si>
  <si>
    <t>AMD Opteron 4184</t>
  </si>
  <si>
    <t>AMD Opteron 6180 SE</t>
  </si>
  <si>
    <t>AMD Opteron 6140</t>
  </si>
  <si>
    <t>AMD Opteron 6238</t>
  </si>
  <si>
    <t>AMD Opteron 6282 SE</t>
  </si>
  <si>
    <t>Completely removed group server functionality {performance enhancement - functionality not used and included complex calculations}</t>
  </si>
  <si>
    <t>Fix virtual host platform memory calculation {corrected formula}</t>
  </si>
  <si>
    <t>Update available 2014 Amazon machine instances</t>
  </si>
  <si>
    <t>Xeon E7-2890v2</t>
  </si>
  <si>
    <t>Xeon E7-4890v2</t>
  </si>
  <si>
    <t>Xeon E7-8890v2</t>
  </si>
  <si>
    <t xml:space="preserve"> ==== 2014 MP Server Platforms ====</t>
  </si>
  <si>
    <t>Include some new Intel 15-core processor platform configurations</t>
  </si>
  <si>
    <t>Arc14 Baseline</t>
  </si>
  <si>
    <t>Intel Core i7-4770</t>
  </si>
  <si>
    <t xml:space="preserve"> ==== 2014 Desktop Platforms ====</t>
  </si>
  <si>
    <t xml:space="preserve"> ==== 2014 DP Server Platforms ====</t>
  </si>
  <si>
    <t>Xeon E5-2637v2</t>
  </si>
  <si>
    <t>Xeon E5-2643v2</t>
  </si>
  <si>
    <t>Xeon E5-2667v2</t>
  </si>
  <si>
    <t>Xeon E5-2690v2</t>
  </si>
  <si>
    <t>Xeon E7-8893v2</t>
  </si>
  <si>
    <t>Xeon E7-8891v2</t>
  </si>
  <si>
    <t>Xeon E3-1270v3</t>
  </si>
  <si>
    <t>SP0101 (Arc13)</t>
  </si>
  <si>
    <t>SP0102 (Arc13)</t>
  </si>
  <si>
    <t>SP0201 (Arc13)</t>
  </si>
  <si>
    <t>Include Arc14 baseline of 50 {new 2014 platform baseline}</t>
  </si>
  <si>
    <t>Upgrade Platform Capacity Calculator to Arc14 baseline</t>
  </si>
  <si>
    <t>Include several new 2014 server platforms</t>
  </si>
  <si>
    <t>Upgrade Test models to Arc14 baseline</t>
  </si>
  <si>
    <t>Upgrade Calculator to Arc14 baseline</t>
  </si>
  <si>
    <t>Upgrade all workflows to new baseline</t>
  </si>
  <si>
    <t>Replace AGS102 REST MSD V 100%Dyn Med 10x7 PNG24 with AGS102 REST MSD VP 100%Dyn Med 10x7 PNG24 (new portal workflow)</t>
  </si>
  <si>
    <t>AGS10 REST MXD Med 100%Dyn 10x7 V JPEG</t>
  </si>
  <si>
    <t>Remove VMware from virtual server selection (use Vserver)</t>
  </si>
  <si>
    <t>Light_AGD102 wkstn MXD  100%Dyn Lite 10x7 Feature</t>
  </si>
  <si>
    <t>Medium_AGD102 wkstn MXD  100%Dyn Med 10x7 Feature</t>
  </si>
  <si>
    <t>Heavy_AGD102 wkstn MXD  100%Dyn Hvy 10x7 Feature</t>
  </si>
  <si>
    <t>2x Medium_AGD102 wkstn MXD  100%Dyn 2Med 10x7 Feature</t>
  </si>
  <si>
    <t>3x Medium_AGD102 wkstn MXD  100%Dyn 3Med 10x7 Feature</t>
  </si>
  <si>
    <t>Intel Core i7-4770 4 core (1 chip) 3400 MHz</t>
  </si>
  <si>
    <t>Upgrade Design to Arc14 baseline</t>
  </si>
  <si>
    <t>SP0701 (Arc14)</t>
  </si>
  <si>
    <t>AGS10 REST MXD V  100%Dyn Med 10x7 PNG24</t>
  </si>
  <si>
    <t>Include AGDCitrix Imagery baseline workflow</t>
  </si>
  <si>
    <t>Upgrade AGD Citrix R client traffic to 2 Mbpd (higher standard bandwidth results in more trafficand better display performance)</t>
  </si>
  <si>
    <t>SP0901 (Arc14)</t>
  </si>
  <si>
    <t>Custom Resolution</t>
  </si>
  <si>
    <t>Move Installed Platform Service Times to columns BF:BQ {simplify user display environment}</t>
  </si>
  <si>
    <t>Standby</t>
  </si>
  <si>
    <t>Failover</t>
  </si>
  <si>
    <t>Include HA DBMS failover server configuration {show DBMS platform in failover configuration}</t>
  </si>
  <si>
    <t>Custom</t>
  </si>
  <si>
    <t>Update resolution to include DeskDefault (1920x1080) and  WebDefault (1366x768) {adjusting to changes in average client display resolution}</t>
  </si>
  <si>
    <t xml:space="preserve">Add  custom resolution selection (cell F6) that uses values set in cell range J3:K3 {identify unique map display resolution adjustments} </t>
  </si>
  <si>
    <t>Include resolution adjustment in DB traffic flow {more acccurately model DB traffic flow}</t>
  </si>
  <si>
    <t>Upgrade ArcGIS 102 Standard Workflows with higher DeskDefault and WebDefault display resolution {reflect current client display resolution}</t>
  </si>
  <si>
    <t>Pwr Desktop</t>
  </si>
  <si>
    <t>Samsung S5</t>
  </si>
  <si>
    <t>Remove failover server when Fix Node value is selected {support manually selected multinode DBMS solutions}</t>
  </si>
  <si>
    <t>Fix virtual DBMS HA Failover host platform memory requirements {Include memory for DBMS failover node}</t>
  </si>
  <si>
    <t>Update HA hardware solution (column AE) to include failover node {failover platform node required for DB failover solution}</t>
  </si>
  <si>
    <t>Include baseline software workflow for AGDCitrix Imagery workflow {Includes imagery workflows for virtual application and desktop architecture}</t>
  </si>
  <si>
    <t>Upgrade AGD Citrix R client traffic to 2 Mbpd {higher standard bandwidth results in more trafficand better display performance}</t>
  </si>
  <si>
    <t>Include Cell F6 yellow warning when selecting DeskDefault resolution with Web service or WebDefault resolution with Desktop workflow {help avoid inadvertent error}</t>
  </si>
  <si>
    <t>AGS Site</t>
  </si>
  <si>
    <t xml:space="preserve">Siloed </t>
  </si>
  <si>
    <t>AGS Site LB Traffic Overhead</t>
  </si>
  <si>
    <t>Enable platform tier 'AGS Site' selection (cell N23) which includes AGS LB communication loads. Loads not included with 'siloed' selection.</t>
  </si>
  <si>
    <t>Enable platform tier 'AGS Site' selection (column J for each platform tier) which includes AGS LB communication loads. Loads not included with 'siloed' selection.</t>
  </si>
  <si>
    <t>SP0902 (Arc14)</t>
  </si>
  <si>
    <t>Portal</t>
  </si>
  <si>
    <t>Move Portal loads to a separate Portal Web server.</t>
  </si>
  <si>
    <t>Provide separate Web server software component for the Portal software.</t>
  </si>
  <si>
    <t>ArcGIS for Server 10.3  =========</t>
  </si>
  <si>
    <t>ArcGIS 10.3 for Mobile Services  =========</t>
  </si>
  <si>
    <t>ArcGIS 10.3 for Server Image Services  =========</t>
  </si>
  <si>
    <t>AGS103 ArcGIS Mobile Client</t>
  </si>
  <si>
    <t>AGS103 ArcGIS Mobile Sychronization Service</t>
  </si>
  <si>
    <t>AGS103 ArcGIS Mobile Provisioning Service</t>
  </si>
  <si>
    <t>Add ArcGIS 10.3 software workflow selections</t>
  </si>
  <si>
    <t>SP0101 (Arc14)</t>
  </si>
  <si>
    <t>Add ArcGIS 10.3 Standard  Workflows</t>
  </si>
  <si>
    <t xml:space="preserve">Total </t>
  </si>
  <si>
    <t>Department</t>
  </si>
  <si>
    <t>City Hall Local Network</t>
  </si>
  <si>
    <t>IT Data Center</t>
  </si>
  <si>
    <t>Social Services</t>
  </si>
  <si>
    <t>Water Department</t>
  </si>
  <si>
    <t>City of Portland</t>
  </si>
  <si>
    <t>Wide Area Network (WAN)</t>
  </si>
  <si>
    <t>Maintenance Facility</t>
  </si>
  <si>
    <t>Sandy River</t>
  </si>
  <si>
    <t>Internet</t>
  </si>
  <si>
    <t>Public</t>
  </si>
  <si>
    <t>City totals</t>
  </si>
  <si>
    <t>ArcGIS Desktop</t>
  </si>
  <si>
    <t>ArcGIS Server</t>
  </si>
  <si>
    <t>Power</t>
  </si>
  <si>
    <t>Viewers</t>
  </si>
  <si>
    <t>Internal</t>
  </si>
  <si>
    <t>Hardware Platforms</t>
  </si>
  <si>
    <t>Price</t>
  </si>
  <si>
    <t>HWConfig</t>
  </si>
  <si>
    <t>per core</t>
  </si>
  <si>
    <t>Per VM pricing</t>
  </si>
  <si>
    <t>QTY</t>
  </si>
  <si>
    <t>Vmware standard server configuration</t>
  </si>
  <si>
    <t>Virtual Hardware Configuration</t>
  </si>
  <si>
    <t>Physical Hardware Configuration</t>
  </si>
  <si>
    <t>Platform Tier Selection</t>
  </si>
  <si>
    <t>Needs tab</t>
  </si>
  <si>
    <t>HWPricing tab</t>
  </si>
  <si>
    <t>Provide lookup table for hardware pricing (pricing table from City of Rome demo)</t>
  </si>
  <si>
    <t>Include hardware solution pricing summary (linked with platform tier selections and HWPricing tab)</t>
  </si>
  <si>
    <t>$/core</t>
  </si>
  <si>
    <t>Selection</t>
  </si>
  <si>
    <t>SWPrice</t>
  </si>
  <si>
    <t>Provide template for collecting user requirements (Portland Exercise Template)</t>
  </si>
  <si>
    <t>Support</t>
  </si>
  <si>
    <t>NO</t>
  </si>
  <si>
    <t>Increased mobile client loads to support 1024x760 client display {more current technology}</t>
  </si>
  <si>
    <t>Reduce 10.3 portal registered service load to 10% Portal service load.</t>
  </si>
  <si>
    <t>AGS103 PortalShare</t>
  </si>
  <si>
    <t xml:space="preserve"> - additional platforms can be inserted in the selection list by using copy row and insert copied cells command.</t>
  </si>
  <si>
    <t xml:space="preserve"> - Platforms  must be included in the Hardware tab before selection in column B.</t>
  </si>
  <si>
    <t xml:space="preserve"> - Memory (column C) and platform price (column F) must be updated to reflect vendor offerings.</t>
  </si>
  <si>
    <t>Warning: VM pricing may not be valid for your analysis.</t>
  </si>
  <si>
    <t>MaxRam</t>
  </si>
  <si>
    <t xml:space="preserve"> ==== 2015 DP Server Platforms ====</t>
  </si>
  <si>
    <t>Published</t>
  </si>
  <si>
    <t>Xeon E5-2637v3</t>
  </si>
  <si>
    <t>Xeon E5-2643v3</t>
  </si>
  <si>
    <t>Xeon E3-1231v3</t>
  </si>
  <si>
    <t>Xeon E5-2623v3</t>
  </si>
  <si>
    <t>Xeon E5-2667v3</t>
  </si>
  <si>
    <t>Xeon E5-2687Wv3</t>
  </si>
  <si>
    <t>Xeon E5-2690v3</t>
  </si>
  <si>
    <t>Xeon E5-2660v3</t>
  </si>
  <si>
    <t>Xeon E5-2640v3</t>
  </si>
  <si>
    <t>Xeon E5-2697v3</t>
  </si>
  <si>
    <t>HW Price</t>
  </si>
  <si>
    <t>4Med_4xMedium</t>
  </si>
  <si>
    <t>5Med_5xMedium</t>
  </si>
  <si>
    <t>3D</t>
  </si>
  <si>
    <t>Graphics</t>
  </si>
  <si>
    <t>2D</t>
  </si>
  <si>
    <t>AGD</t>
  </si>
  <si>
    <t>Map</t>
  </si>
  <si>
    <t>Pro</t>
  </si>
  <si>
    <t>AGOL</t>
  </si>
  <si>
    <t>ArcGIS for Desktop 10.3 Workstation =========</t>
  </si>
  <si>
    <t xml:space="preserve">PRO </t>
  </si>
  <si>
    <t>ArcGIS for Desktop 10.3 Citrix =========</t>
  </si>
  <si>
    <t>Eliminate SDE ASC architecture patterns, SDE load on application, workflows will all be direct connect architecture</t>
  </si>
  <si>
    <t>Remove all workflow releases before ArcGIS 10.1, legacy workflows available at bottom on workflow tab.</t>
  </si>
  <si>
    <t>DB_DBMS</t>
  </si>
  <si>
    <t>SDE_DBMS replaced with DB_DBMS (direct connect load same for GDB and feature DBMS)</t>
  </si>
  <si>
    <t>Change Display to Desktop selection (select Map or Pro desktop application)</t>
  </si>
  <si>
    <t>Eliminate display render engine selection for ArcGIS Server workflows (always MSD)</t>
  </si>
  <si>
    <t>For 2D displays, ArcGIS Pro render time is twice as fast as ArcGIS Map.</t>
  </si>
  <si>
    <t>For 3D displays, complexity is roughly twice 2D displays (i.e. heavy 3D display = same extent as medium 2D display)</t>
  </si>
  <si>
    <t>Change complexity selections to lite, med, hvy, 2med, 3med, 4med, 5med to accommodate higher complexity workflows.</t>
  </si>
  <si>
    <t>Add graphics selection (2D or 3D) to include 3D workflows.</t>
  </si>
  <si>
    <t>Add wkstn fsvc workflow to support AGS and Portal feature service workflows.</t>
  </si>
  <si>
    <t>Add Citrix fsvc workflow to support AGS and Portal feature service workflows.</t>
  </si>
  <si>
    <t>Include siloed and site AGS scalability models (select option in cell N23)</t>
  </si>
  <si>
    <t>Redesign workflow recipe to accommodate new ArcGIS 10.3 workflow patterns</t>
  </si>
  <si>
    <t>AGS103 SOAP  2D V  Lite 10%Dyn 10x7 Feature</t>
  </si>
  <si>
    <t>ArcMap</t>
  </si>
  <si>
    <t>AGD103 wkstn ArcMap 2D V Lite 100%Dyn 19x10 Feature</t>
  </si>
  <si>
    <t>AGD103 wkstn ArcMap 2D V Med 100%Dyn 19x10 Feature</t>
  </si>
  <si>
    <t>AGD103 Citrix ArcMap 2D V Lite 100%Dyn 19x10 ICA</t>
  </si>
  <si>
    <t>AGD103 Citrix ArcMap 2D V Med 100%Dyn 19x10 ICA</t>
  </si>
  <si>
    <t>AGD103 Citrix ArcMap 2D R Med 100%Dyn 19x10 ICA</t>
  </si>
  <si>
    <t>AGS103 REST 2D VP Med 100%Dyn 13x7 PNG24</t>
  </si>
  <si>
    <t>AGS103 REST 2D V Lite 100%Dyn 13x7 PNG24</t>
  </si>
  <si>
    <t>AGS103 REST 2D V Med 100%Dyn 13x7 PNG24</t>
  </si>
  <si>
    <t>AGS103 REST 2D V Med 100%Dyn 13x7 PNG24 +$$</t>
  </si>
  <si>
    <t>AGS103 REST 2D V Med 40%Dyn 13x7 PNG24 +$$</t>
  </si>
  <si>
    <t>AGS103 Imagery MosaicDS 2D R Lite 100%Dyn 13x7 JPEG</t>
  </si>
  <si>
    <t>AGS103 Imagery RasterDS 2D R Med 100%Dyn 13x7 JPEG</t>
  </si>
  <si>
    <t>AGD103 wkstn Pro 3D V Med 100%Dyn 19x10 Feature</t>
  </si>
  <si>
    <t>AGD103 wkstn Pro 2D V  Lite 100%Dyn 19x10 Feature</t>
  </si>
  <si>
    <t>AGD103 wkstn Pro 2D V  Med 100%Dyn 19x10 Feature</t>
  </si>
  <si>
    <t>AGD103 wkstn FSvc Pro 2D VP Med 20%Dyn 19x10 Feature +$$</t>
  </si>
  <si>
    <t>AGD103 Citrix Pro 2D V Lite 100%Dyn 19x10 ICA</t>
  </si>
  <si>
    <t>AGD103 Citrix Pro 2D V Med 100%Dyn 19x10 ICA</t>
  </si>
  <si>
    <t>AGD103 Citrix Pro 2D R Med 100%Dyn 19x10 ICA</t>
  </si>
  <si>
    <t>AGD103 Citrix Pro 3D V Med 100%Dyn 19x10 ICA</t>
  </si>
  <si>
    <t>MXDperfstat</t>
  </si>
  <si>
    <t>Preview</t>
  </si>
  <si>
    <t>AGD102 wkstn ArcMap 2D V Lite 100%Dyn 19x10 Feature</t>
  </si>
  <si>
    <t>AGD102 wkstn ArcMap 2D V Med 100%Dyn 19x10 Feature</t>
  </si>
  <si>
    <t>AGD102 Citrix ArcMap 2D V Lite 100%Dyn 19x10 ICA</t>
  </si>
  <si>
    <t>AGD102 Citrix ArcMap 2D V Med 100%Dyn 19x10 ICA</t>
  </si>
  <si>
    <t>AGD102 Citrix ArcMap 2D R Lite 100%Dyn 19x10 ICA</t>
  </si>
  <si>
    <t>AGD102 Citrix ArcMap 2D R Med 100%Dyn 19x10 ICA</t>
  </si>
  <si>
    <t>AGS102 REST 2D VP Med 100%Dyn 13x7 PNG24</t>
  </si>
  <si>
    <t>AGS102 REST 2D V Lite 100%Dyn 13x7 PNG24</t>
  </si>
  <si>
    <t>AGS102 REST 2D V Med 100%Dyn 13x7 PNG24</t>
  </si>
  <si>
    <t>AGS102 REST 2D V Med 100%Dyn 13x7 PNG24 +$$</t>
  </si>
  <si>
    <t>AGS102 REST 2D V Med 40%Dyn 13x7 PNG24 +$$</t>
  </si>
  <si>
    <t>AGS102 REST 2D V Med 20%Dyn 13x7 Feature +$$</t>
  </si>
  <si>
    <t>AGS102 PortalShare</t>
  </si>
  <si>
    <t>AGS102 KML 2D V Med 100%Dyn 13x7 PNG24</t>
  </si>
  <si>
    <t>AGS102 WMS 2D V Med 100%Dyn 13x7 PNG24</t>
  </si>
  <si>
    <t>AGS102 SOAP 2D V Lite 10%Dyn 10x7 Feature</t>
  </si>
  <si>
    <t>AGS102 SOAP 2D V Lite 100%Dyn 10x7 Feature</t>
  </si>
  <si>
    <t>Xeon E5-2637v3 4 core (1 chip) 3500 MHz</t>
  </si>
  <si>
    <t>Xeon E5-2637v3 8 core (2 chip) 3500 MHz</t>
  </si>
  <si>
    <t>Xeon E5-2643v3 12 core (2 chip) 3400 MHz</t>
  </si>
  <si>
    <t>Xeon E5-2667v3 16 core (2 chip) 3200 MHz</t>
  </si>
  <si>
    <t>Warning: Hardware pricing must be updated to match your procurement cost.</t>
  </si>
  <si>
    <t>2015 Platform updates</t>
  </si>
  <si>
    <t>2015 Hardware pricing update</t>
  </si>
  <si>
    <t>Arc15 Baseline</t>
  </si>
  <si>
    <t>1.  Update baseline workflows (old service time x old baseline/new baseline)</t>
  </si>
  <si>
    <t>Procedure to update annual performance baseline</t>
  </si>
  <si>
    <t>1.  Add new performance baseline platform to platform lookup table.</t>
  </si>
  <si>
    <t>5. Update current year standard workflows from calculator tab for high accuracy.</t>
  </si>
  <si>
    <t>Heavy</t>
  </si>
  <si>
    <t>Include Heavy, Medium, and Light complexity workflows in Platform Capacity Calculator.</t>
  </si>
  <si>
    <t>Front</t>
  </si>
  <si>
    <t>Back</t>
  </si>
  <si>
    <t>Fcount</t>
  </si>
  <si>
    <t>Bcount</t>
  </si>
  <si>
    <t>Business Requirements Summary</t>
  </si>
  <si>
    <t>Peak Usage</t>
  </si>
  <si>
    <t>Central Data Center</t>
  </si>
  <si>
    <t>GIS Desktop</t>
  </si>
  <si>
    <t>DeskEdit</t>
  </si>
  <si>
    <t>DeskView</t>
  </si>
  <si>
    <t>WebMap</t>
  </si>
  <si>
    <t>Local Area Network</t>
  </si>
  <si>
    <t>Wide Area Network</t>
  </si>
  <si>
    <t>Internet Connection</t>
  </si>
  <si>
    <t>Local Area Network (LAN)</t>
  </si>
  <si>
    <t>Total local clients</t>
  </si>
  <si>
    <t>AGD103 Citrix FSvc Pro 2D VP Med 20%Dyn 19x10 ICA</t>
  </si>
  <si>
    <t>AGD103 Citrix FSvc Pro 2D RP Med 20%Dyn 19x10 ICA +$$</t>
  </si>
  <si>
    <t>AGS103 REST 2D VP Med 20%Dyn 13x7 Feature +$$</t>
  </si>
  <si>
    <t>AGS103 SOAP 2D V Lite 100%Dyn 10x7 Feature</t>
  </si>
  <si>
    <t>Client: AGD103 wkstn ArcMap 2D V Lite 100%Dyn 10x7 Feature</t>
  </si>
  <si>
    <t>AGD103 wkstn Pro 3D V Lite 100%Dyn 19x10 Feature</t>
  </si>
  <si>
    <t>AGD103 Citrix Pro 3D R Med 100%Dyn 19x10 ICA</t>
  </si>
  <si>
    <t>Client: AGD102 wkstn ArcMap 2D V Lite 100%Dyn 10x7 Feature</t>
  </si>
  <si>
    <t>AGD101 wkstn ArcMap 2D V Med 100%Dyn 19x10 Feature</t>
  </si>
  <si>
    <t>AGD101 wkstn ArcMap 2D V Lite 100%Dyn 19x10 Feature</t>
  </si>
  <si>
    <t>AGD101 Citrix ArcMap 2D V Lite 100%Dyn 19x10 ICA</t>
  </si>
  <si>
    <t>AGD101 Citrix ArcMap 2D V Med 100%Dyn 19x10 ICA</t>
  </si>
  <si>
    <t>AGD101 Citrix ArcMap 2D R Med 100%Dyn 19x10 ICA</t>
  </si>
  <si>
    <t>AGD101 Citrix ArcMap 2D R Lite 100%Dyn 19x10 ICA</t>
  </si>
  <si>
    <t>AGS101 REST 2D V Lite 100%Dyn 13x7 PNG24</t>
  </si>
  <si>
    <t>AGS101 REST 2D V Med 100%Dyn 13x7 PNG24</t>
  </si>
  <si>
    <t>AGS101 REST 2D V Med 40%Dyn 13x7 PNG24 +$$</t>
  </si>
  <si>
    <t>AGS101 REST 2D V Med 20%Dyn 13x7 Feature +$$</t>
  </si>
  <si>
    <t>AGS101 WMS 2D V Med 100%Dyn 13x7 PNG24</t>
  </si>
  <si>
    <t>AGS101 SOAP 2D V Lite 10%Dyn 10x7 Feature</t>
  </si>
  <si>
    <t>AGS101 SOAP 2D V Lite 100%Dyn 10x7 Feature</t>
  </si>
  <si>
    <t>Client: AGD101 wkstn ArcMap 2D V Lite 100%Dyn 10x7 Feature</t>
  </si>
  <si>
    <t>AGS101 Imagery RasterDS 2D R Med 100%Dyn 13x7 JPEG</t>
  </si>
  <si>
    <t>AGS101 Imagery MosaicDS 2D R Med 100%Dyn 13x7 JPEG</t>
  </si>
  <si>
    <t>AGS101 Imagery MosaicDS 2D R Lite 100%Dyn 13x7 JPEG</t>
  </si>
  <si>
    <t>AGS103 Imagery MosaicDS 2D R Med 100%Dyn 13x7 JPEG</t>
  </si>
  <si>
    <t>AGS102 Imagery MosaicDS 2D R Med 100%Dyn 13x7 JPEG</t>
  </si>
  <si>
    <t>AGS102 Imagery MosaicDS 2D R Lite 100%Dyn 13x7 JPEG</t>
  </si>
  <si>
    <t>AGS102 Imagery RasterDS 2D R Med 100%Dyn 13x7 JPEG</t>
  </si>
  <si>
    <t>For 2D displays, ArcGIS Pro service time is same as fast as ArcGIS Map.</t>
  </si>
  <si>
    <t>For 3D displays, ArcGIS Pro service time is twice 2D displays (i.e. 3D display = 2x processing time as medium 2D display)</t>
  </si>
  <si>
    <t>Arc15 baseline performance upgrade for all workflows.</t>
  </si>
  <si>
    <t>All Standard workflows upgraded to Arc15 performance baseline</t>
  </si>
  <si>
    <t>Standard workflows before ArcGIS 10.1 removed to Legacy workflows.</t>
  </si>
  <si>
    <t>Standard workflows upgraded to new recipe models.</t>
  </si>
  <si>
    <t>AGD103 Citrix ArcMap 2D R Lite 100%Dyn 19x10 ICA</t>
  </si>
  <si>
    <t>AGD103 Citrix Pro 2D R Lite 100%Dyn 19x10 ICA</t>
  </si>
  <si>
    <t xml:space="preserve">R </t>
  </si>
  <si>
    <t xml:space="preserve"> - Column M links Design Tab memory with available purchase options (Column M must match column C offerings)</t>
  </si>
  <si>
    <t>Automate platform memory selection in pricing module (links with HWPricing Memory lookup table)</t>
  </si>
  <si>
    <t>Xeon E5-2680v2</t>
  </si>
  <si>
    <t>RS</t>
  </si>
  <si>
    <t>Intel Core i7-4790</t>
  </si>
  <si>
    <t>Intel Core i7-4770K</t>
  </si>
  <si>
    <t>Upgrade HWPricing to include additional bandwidth and OS Licensing costs for high capacity servers.</t>
  </si>
  <si>
    <t>Xeon E5-2687Wv3 20 core (2 chip) 3100 MHz</t>
  </si>
  <si>
    <t>Xeon E5-2690v3 24 core (2 chip) 2600 MHz</t>
  </si>
  <si>
    <t>Xeon E5-2697v3 28 core (2 chip) 2600 MHz</t>
  </si>
  <si>
    <t>Extend pricing to include high capacity (up to 28 core) servers.</t>
  </si>
  <si>
    <t>Include Memory lookup table (link memory selection to Design tab) {automate pricing}</t>
  </si>
  <si>
    <t>4OC48</t>
  </si>
  <si>
    <t>OC192</t>
  </si>
  <si>
    <t>4OC12</t>
  </si>
  <si>
    <t>OC48</t>
  </si>
  <si>
    <t>OC12</t>
  </si>
  <si>
    <t>OC3</t>
  </si>
  <si>
    <t>3T3</t>
  </si>
  <si>
    <t>2T3</t>
  </si>
  <si>
    <t>T3</t>
  </si>
  <si>
    <t>4T2</t>
  </si>
  <si>
    <t>3T2</t>
  </si>
  <si>
    <t>2T2</t>
  </si>
  <si>
    <t>T2</t>
  </si>
  <si>
    <t>2T1</t>
  </si>
  <si>
    <t>T1</t>
  </si>
  <si>
    <t>4OC3</t>
  </si>
  <si>
    <t>2OC3</t>
  </si>
  <si>
    <t>Xeon E5-2697v2</t>
  </si>
  <si>
    <t>MT</t>
  </si>
  <si>
    <t>Include multi-threading response time correction.</t>
  </si>
  <si>
    <t>Multi-thread</t>
  </si>
  <si>
    <t>Include ArcGIS Pro multi-threading response time correction.</t>
  </si>
  <si>
    <t xml:space="preserve"> wkstn </t>
  </si>
  <si>
    <t>Virtual Server Host Platforms</t>
  </si>
  <si>
    <t>AGS103 KML 2D V Med 100%Dyn 13x7 PNG24</t>
  </si>
  <si>
    <t>AGS103 WMS 2D V Med 100%Dyn 13x7 PNG24</t>
  </si>
  <si>
    <t>AGS10 REST MXD V  100%Dyn Lite 10x7 PNG24</t>
  </si>
  <si>
    <t>AGS10 REST MSD V  100%Dyn Lite 10x7 PNG24</t>
  </si>
  <si>
    <t>AGS10 REST MSD V  100%Dyn Med 10x7 PNG24</t>
  </si>
  <si>
    <t>AGS10 ADF MXD V  100%Dyn Lite 10x7 PNG24</t>
  </si>
  <si>
    <t>AGS10 ADF MXD V  100%Dyn Med 10x7 PNG24</t>
  </si>
  <si>
    <t xml:space="preserve"> SOFTWARE =</t>
  </si>
  <si>
    <t>Xeon E5-2680v3</t>
  </si>
  <si>
    <t xml:space="preserve"> ==== 2015 Desktop Platforms ====</t>
  </si>
  <si>
    <t>Intel i7-5960X</t>
  </si>
  <si>
    <t>Intel Core i7-4770K 4 core (1 chip) 3500 MHz</t>
  </si>
  <si>
    <t>Increase</t>
  </si>
  <si>
    <t>AGS931</t>
  </si>
  <si>
    <t>AGS930</t>
  </si>
  <si>
    <t>ArcIMS</t>
  </si>
  <si>
    <t>2015 Xeon E5-2637v3</t>
  </si>
  <si>
    <t>2014 Xeon E5-2637v2</t>
  </si>
  <si>
    <t>2013 Xeon E3-1280V2</t>
  </si>
  <si>
    <t>2012 Xeon E5-2643</t>
  </si>
  <si>
    <t>2011 Xeon E3-1280</t>
  </si>
  <si>
    <t>2010 Xeon X5677</t>
  </si>
  <si>
    <t>MXD</t>
  </si>
  <si>
    <t xml:space="preserve"> ==== SADS Exercise 1 Server Candidates ======</t>
  </si>
  <si>
    <t xml:space="preserve"> ==== SADS Exercise 8 Best Buy ======</t>
  </si>
  <si>
    <t xml:space="preserve"> ==== SADS Exercise 8 Server History ======</t>
  </si>
  <si>
    <t>WFBaseline tab</t>
  </si>
  <si>
    <t>DS/MDS</t>
  </si>
  <si>
    <t>feature</t>
  </si>
  <si>
    <t>ST</t>
  </si>
  <si>
    <t>hST</t>
  </si>
  <si>
    <t>load</t>
  </si>
  <si>
    <t>Sec/min</t>
  </si>
  <si>
    <t>6Med_6xMedium</t>
  </si>
  <si>
    <t>7Med_7xMedium</t>
  </si>
  <si>
    <t>8Med_8xMedium</t>
  </si>
  <si>
    <t>9Med_9xMedium</t>
  </si>
  <si>
    <t>10Med_10xMedium</t>
  </si>
  <si>
    <t>AGS103 REST 2D V Lite 85%Dyn 13x7 PNG24</t>
  </si>
  <si>
    <t>SP0715 (Arc15) CPT for  SADS 3.0 Class Exercises (Fall 2015)</t>
  </si>
  <si>
    <t>RedlandsVM_AGS103 REST 2D V Lite 85%Dyn 13x7 PNG24</t>
  </si>
  <si>
    <t>CanadaVM_AGS103 REST 2D V Lite 100%Dyn 13x7 PNG24</t>
  </si>
  <si>
    <t>AGS103 REST 2D V Med 80%Dyn 13x7 PNG24</t>
  </si>
  <si>
    <t>CanadaVM_AGS103 REST 2D V Med 80%Dyn 13x7 PNG24</t>
  </si>
  <si>
    <t>AGS103 Imagery 2D R Med 100%Dyn 13x7 JPEG</t>
  </si>
  <si>
    <t>AGS103 Imagery 2D R Hvy 100%Dyn 13x7 JPEG</t>
  </si>
  <si>
    <t>Batch</t>
  </si>
  <si>
    <t>SP0101 (Arc15)</t>
  </si>
  <si>
    <t>Client load =</t>
  </si>
  <si>
    <t>AGD wkstn FSvc</t>
  </si>
  <si>
    <t>AGD Citrix</t>
  </si>
  <si>
    <t>AGD Citrix FSvc</t>
  </si>
  <si>
    <t>AGS REST</t>
  </si>
  <si>
    <t>AGS KML</t>
  </si>
  <si>
    <t>AGS WMS</t>
  </si>
  <si>
    <t>AGS SOAP</t>
  </si>
  <si>
    <t>AGS KMZ</t>
  </si>
  <si>
    <t>AGD wkstn</t>
  </si>
  <si>
    <t>AGD_wkstn Imagery</t>
  </si>
  <si>
    <t>AGD_Citrix Imagery</t>
  </si>
  <si>
    <t>AGS PortalShare</t>
  </si>
  <si>
    <t>AGS Imagery</t>
  </si>
  <si>
    <t>AGD ArcFM  wkstn</t>
  </si>
  <si>
    <t>AGD ArcFM Citrix</t>
  </si>
  <si>
    <t>AGS ArcFM REST</t>
  </si>
  <si>
    <t>ArcGIS_Base</t>
  </si>
  <si>
    <t>ArcGIS_BASE</t>
  </si>
  <si>
    <t>ArcGIS for Desktop Workstation =========</t>
  </si>
  <si>
    <t>ArcGIS for Desktop Citrix =========</t>
  </si>
  <si>
    <t>ArcGIS for Server  =========</t>
  </si>
  <si>
    <t>ArcGIS for Mobile Services  =========</t>
  </si>
  <si>
    <t>ArcGIS for Server Image Services  =========</t>
  </si>
  <si>
    <t>AGD wkstn ArcMap 2D V Med 100%Dyn 19x10 Feature</t>
  </si>
  <si>
    <t>AGD Citrix ArcMap 2D V Med 100%Dyn 19x10 ICA</t>
  </si>
  <si>
    <t>AGD Citrix ArcMap 2D R Med 100%Dyn 19x10 ICA</t>
  </si>
  <si>
    <t>AGD Citrix Pro 2D V Med 100%Dyn 19x10 ICA</t>
  </si>
  <si>
    <t>AGD Citrix Pro 2D R Med 100%Dyn 19x10 ICA</t>
  </si>
  <si>
    <t>AGS REST 2D VP Med 100%Dyn 13x7 PNG24</t>
  </si>
  <si>
    <t>AGS REST 2D V Lite 100%Dyn 13x7 PNG24</t>
  </si>
  <si>
    <t>AGS REST 2D V Med 100%Dyn 13x7 PNG24</t>
  </si>
  <si>
    <t>AGS REST 2D V Med 40%Dyn 13x7 PNG24 +$$</t>
  </si>
  <si>
    <t>AGS REST 2D VP Med 20%Dyn 13x7 Feature +$$</t>
  </si>
  <si>
    <t>AGS ArcGIS Mobile Sychronization Service</t>
  </si>
  <si>
    <t>AGS ArcGIS Mobile Provisioning Service</t>
  </si>
  <si>
    <t>AGS REST 2D V Dynamic</t>
  </si>
  <si>
    <t>AGS103 Imagery 2D R Lite 100%Dyn 13x7 JPEG</t>
  </si>
  <si>
    <t>ArcFM Electric</t>
  </si>
  <si>
    <t>Xeon E5-1620V2</t>
  </si>
  <si>
    <t>GeoProcessing</t>
  </si>
  <si>
    <t xml:space="preserve"> PortalShare</t>
  </si>
  <si>
    <t xml:space="preserve"> ==== SADS Demo 10 Queue ======</t>
  </si>
  <si>
    <t>AGS Geocode100</t>
  </si>
  <si>
    <t>AutoBatch</t>
  </si>
  <si>
    <t>WF Pattern</t>
  </si>
  <si>
    <t xml:space="preserve">WF </t>
  </si>
  <si>
    <t>Xeon E5-2695v2</t>
  </si>
  <si>
    <t>Xeon E5-2695v3</t>
  </si>
  <si>
    <t>concurrent geoprocessing instances</t>
  </si>
  <si>
    <t>Geoprocessing Services  =========</t>
  </si>
  <si>
    <t>AGD Citrix GeoBatch</t>
  </si>
  <si>
    <t>AGS SOC GeoBatch</t>
  </si>
  <si>
    <t>AGS DBMS GeoBatch</t>
  </si>
  <si>
    <t>SP0103 (Arc15)</t>
  </si>
  <si>
    <t>SP0301 (Arc15)</t>
  </si>
  <si>
    <t>SADS Class Exercise Project Workflows =========</t>
  </si>
  <si>
    <t>SADS Class Exercise Workflows</t>
  </si>
  <si>
    <t>Lesson 02  =========</t>
  </si>
  <si>
    <t>Lesson 03  =========</t>
  </si>
  <si>
    <t>Lesson 05  =========</t>
  </si>
  <si>
    <t>Lesson 06  =========</t>
  </si>
  <si>
    <t>Lesson 10  =========</t>
  </si>
  <si>
    <t>Citrix Batch Process</t>
  </si>
  <si>
    <t>SOC Batch Process</t>
  </si>
  <si>
    <t>DBMS Batch Process</t>
  </si>
  <si>
    <t>ArcGIS Server Mapping Services =============</t>
  </si>
  <si>
    <t>ArcGIS Server Mobile Services ==============</t>
  </si>
  <si>
    <t>Batch Administration Services ==============</t>
  </si>
  <si>
    <t>Arc15 Server Platforms =================</t>
  </si>
  <si>
    <t>AMI m3.large  2 core (6.5 CU) 7.5 GB</t>
  </si>
  <si>
    <t xml:space="preserve"> ==== 2016 Desktop Platforms ====</t>
  </si>
  <si>
    <t xml:space="preserve"> ==== 2016 DP Server Platforms ====</t>
  </si>
  <si>
    <t>Intel E3-1280v5</t>
  </si>
  <si>
    <t>Intel E3-1270v5</t>
  </si>
  <si>
    <t>Arc16 Baseline</t>
  </si>
  <si>
    <t>DISK</t>
  </si>
  <si>
    <t>EBS</t>
  </si>
  <si>
    <t>AMI m3.xlarge (4vc)</t>
  </si>
  <si>
    <t>AMI m3.large (2vc)</t>
  </si>
  <si>
    <t>AMI m3.2xlarge (8vc)</t>
  </si>
  <si>
    <t>AMI m4.large (2vc)</t>
  </si>
  <si>
    <t>AMI m4.xlarge (4vc)</t>
  </si>
  <si>
    <t>AMI m4.2xlarge (8vc)</t>
  </si>
  <si>
    <t>AMI m4.4xlarge (16vc)</t>
  </si>
  <si>
    <t>AMI m4.10xlarge (40vc)</t>
  </si>
  <si>
    <t>AMI d2.xlarge (4vc)</t>
  </si>
  <si>
    <t>AMI d2.2xlarge (8vc)</t>
  </si>
  <si>
    <t>AMI d2.4xlarge (16vc)</t>
  </si>
  <si>
    <t>AMI d2.8xlarge (36vc)</t>
  </si>
  <si>
    <t>AMI r3.large (2vc)</t>
  </si>
  <si>
    <t>AMI r3.xlarge (4vc)</t>
  </si>
  <si>
    <t>AMI r3.2xlarge (8vc)</t>
  </si>
  <si>
    <t>AMI r3.4xlarge (16vc)</t>
  </si>
  <si>
    <t>AMI r3.8xlarge (32vc)</t>
  </si>
  <si>
    <t>Hardware</t>
  </si>
  <si>
    <t>AMI c4.2xlarge (8vc)</t>
  </si>
  <si>
    <t>AGD wkstn ArcMap 2D V Hvy 100%Dyn 19x10 Feature</t>
  </si>
  <si>
    <t>AGD wkstn Pro 2D V Med 100%Dyn 19x10 Feature</t>
  </si>
  <si>
    <t>AGD wkstn Pro 2D V Hvy 100%Dyn 19x10 Feature</t>
  </si>
  <si>
    <t>AGD wkstn FSvc Pro 2D VP Hvy 20%Dyn 19x10 Feature +$$</t>
  </si>
  <si>
    <t>AGD wkstn Pro 3D V Hvy 100%Dyn 19x10 Feature</t>
  </si>
  <si>
    <t>AGD Citrix ArcMap 2D V Hvy 100%Dyn 19x10 ICA</t>
  </si>
  <si>
    <t>AGD Citrix ArcMap 2D R Hvy 100%Dyn 19x10 ICA</t>
  </si>
  <si>
    <t>AGD Citrix Pro 2D R Hvy 100%Dyn 19x10 ICA</t>
  </si>
  <si>
    <t>AGD Citrix Pro 2D V Hvy 100%Dyn 19x10 ICA</t>
  </si>
  <si>
    <t>AGD Citrix FSvc Pro 2D VP Hvy 20%Dyn 19x10 ICA</t>
  </si>
  <si>
    <t>AGD Citrix FSvc Pro 2D RP Hvy 20%Dyn 19x10 ICA +$$</t>
  </si>
  <si>
    <t>AGD Citrix Pro 3D V Hvy 100%Dyn 19x10 ICA</t>
  </si>
  <si>
    <t>AGD Citrix Pro 3D R Hvy 100%Dyn 19x10 ICA</t>
  </si>
  <si>
    <t>Legacy ArcIMS Software  =========</t>
  </si>
  <si>
    <t>AGS REST 2D VP Hvy 100%Dyn 13x7 PNG24</t>
  </si>
  <si>
    <t>AGS REST 2D V Hvy 100%Dyn 13x7 PNG24</t>
  </si>
  <si>
    <t>AGS REST 2D V Hvy 100%Dyn 13x7 PNG24 +$$</t>
  </si>
  <si>
    <t>AGS REST 2D V Hvy 40%Dyn 13x7 PNG24 +$$</t>
  </si>
  <si>
    <t>AGS REST 2D V Hvy 20%Dyn 13x7 Feature +$$</t>
  </si>
  <si>
    <t>AGS KML 2D V Hvy 100%Dyn 13x7 PNG24</t>
  </si>
  <si>
    <t>AGS WMS 2D V Hvy 100%Dyn 13x7 PNG24</t>
  </si>
  <si>
    <t>AGS SOAP 2D V Med 10%Dyn 13x7 Feature</t>
  </si>
  <si>
    <t>AGS SOAP 2D V Med 100%Dyn 13x7 Feature</t>
  </si>
  <si>
    <t>AGS Imagery 2D R Lite 100%Dyn 19x10 JPEG</t>
  </si>
  <si>
    <t>AGS Imagery 2D R Med 100%Dyn 19x10 JPEG</t>
  </si>
  <si>
    <t>AGS Imagery 2D R Hvy 100%Dyn 19x10 JPEG</t>
  </si>
  <si>
    <t>Xeon E3-1270v5</t>
  </si>
  <si>
    <t>Xeon E3-1270v5 4 core (1 chip) 3600 MHz</t>
  </si>
  <si>
    <t>Xeon E5-2698v3</t>
  </si>
  <si>
    <t>Xeon E5-2699v3</t>
  </si>
  <si>
    <t>Xeon E7-8891v3</t>
  </si>
  <si>
    <t>AGS10 REST MXD V  100%Dyn Hvy 10x7 PNG24</t>
  </si>
  <si>
    <t>ArcIMS Image Server Heavy Dynamic (Web App)</t>
  </si>
  <si>
    <t>Intel Core i7-6700</t>
  </si>
  <si>
    <t>Intel Core i7-6700K</t>
  </si>
  <si>
    <t>Intel Core i7-5960X</t>
  </si>
  <si>
    <t>Xeon E5-2637v4</t>
  </si>
  <si>
    <t>Xeon E5-2643v4</t>
  </si>
  <si>
    <t>Xeon E5-2667v4</t>
  </si>
  <si>
    <t>Xeon E5-2689v4</t>
  </si>
  <si>
    <t>Xeon E5-2687Wv4</t>
  </si>
  <si>
    <t>Xeon E5-2690v4</t>
  </si>
  <si>
    <t>Xeon E5-2697Av4</t>
  </si>
  <si>
    <t>Xeon E5-2697v4</t>
  </si>
  <si>
    <t>Xeon E5-2699v4</t>
  </si>
  <si>
    <t>2016 Xeon E5-2667v4</t>
  </si>
  <si>
    <t>Xeon E5-2637v4 4 core (1 chip) 3500 MHz</t>
  </si>
  <si>
    <t>SP0701 (Arc16) CPT for  SADS 4.0 Class Exercises (Fall 2016)</t>
  </si>
  <si>
    <t>2016 Xeon E5-2637v4</t>
  </si>
  <si>
    <t>1.  Update medium display render time (cell B20).</t>
  </si>
  <si>
    <t>2.  Update software technology profile lookup table with new service  times.</t>
  </si>
  <si>
    <t>WEB</t>
  </si>
  <si>
    <t>DeskEdit_AGD wkstn ArcMap 2D V Hvy 100%Dyn 19x10 Feature</t>
  </si>
  <si>
    <t>DeskView_AGD wkstn ArcMap 2D V Med 100%Dyn 19x10 Feature</t>
  </si>
  <si>
    <t>CitrixView_AGD Citrix ArcMap 2D R Med 100%Dyn 19x10 ICA</t>
  </si>
  <si>
    <t>WebMap_AGS REST 2D V Hvy 100%Dyn 13x7 PNG24 +$$</t>
  </si>
  <si>
    <t>FSvcEdit_AGS REST 2D V Hvy 10%Dyn 13x7 Feature +$$</t>
  </si>
  <si>
    <t>AGS REST 2D V Hvy 10%Dyn 13x7 Feature +$$</t>
  </si>
  <si>
    <t>WebImage_AGS Imagery 2D R Med 100%Dyn 19x10 JPEG</t>
  </si>
  <si>
    <t>WebLite_AGS REST 2D V Hvy 40%Dyn 6x4 PNG24 +$$</t>
  </si>
  <si>
    <t>AGS REST 2D V Hvy 40%Dyn 6x4 PNG24 +$$</t>
  </si>
  <si>
    <t xml:space="preserve">    Test Workflow_WebMap validation test</t>
  </si>
  <si>
    <t>Intel Core i7-6700 4 core (1 chip) 3400 MHz</t>
  </si>
  <si>
    <t>Results based on selected heavy workflow throughput</t>
  </si>
  <si>
    <t>Select Heavy Workflow</t>
  </si>
  <si>
    <t>Q4 2015</t>
  </si>
  <si>
    <t>Q1 2016</t>
  </si>
  <si>
    <t>Q3 2014</t>
  </si>
  <si>
    <t>AGS REST 2D VP Hvy 20%Dyn 13x7 Feature +$$</t>
  </si>
  <si>
    <t>Q16Host_Xeon E5-2667v4</t>
  </si>
  <si>
    <t>Q12Host_Xeon E5-2667v4</t>
  </si>
  <si>
    <t>Q8Host_Xeon E5-2667v4</t>
  </si>
  <si>
    <t xml:space="preserve"> ==== Intel Windows Server Candidates ======</t>
  </si>
  <si>
    <t>HP Xeon E3-1270v5</t>
  </si>
  <si>
    <t>Dell Xeon E5-2637v4</t>
  </si>
  <si>
    <t>IBM Intel E3-1280v5</t>
  </si>
  <si>
    <t>BB_Xeon E5-2637v4</t>
  </si>
  <si>
    <t>BB_Xeon E5-2643v4</t>
  </si>
  <si>
    <t>BB_Xeon E5-2667v4</t>
  </si>
  <si>
    <t>BB_Xeon E5-2689v4</t>
  </si>
  <si>
    <t>BB_Xeon E5-2687Wv4</t>
  </si>
  <si>
    <t>BB_Xeon E5-2690v4</t>
  </si>
  <si>
    <t>BB_Xeon E5-2697Av4</t>
  </si>
  <si>
    <t>BB_Xeon E5-2697v4</t>
  </si>
  <si>
    <t>BB_Xeon E5-2699v4</t>
  </si>
  <si>
    <t>Xeon E3-1280v5</t>
  </si>
  <si>
    <t>Hypervisor overhead =</t>
  </si>
  <si>
    <t>Virtual App</t>
  </si>
  <si>
    <t>Virtual Desktop</t>
  </si>
  <si>
    <t>MDS FGDB</t>
  </si>
  <si>
    <t>MDS EGDB</t>
  </si>
  <si>
    <t>Register</t>
  </si>
  <si>
    <t>with</t>
  </si>
  <si>
    <t xml:space="preserve">Portal </t>
  </si>
  <si>
    <t>Upgrade</t>
  </si>
  <si>
    <t>Std BW</t>
  </si>
  <si>
    <t>Selected Platform Service Times</t>
  </si>
  <si>
    <t>Web: Platform Tier 13</t>
  </si>
  <si>
    <t>GIS: Platform Tier 14</t>
  </si>
  <si>
    <t>DBMS: Platform Tier 15</t>
  </si>
  <si>
    <t>Tier07: Platform Tier 07</t>
  </si>
  <si>
    <t>Host04: Virtual Host 04</t>
  </si>
  <si>
    <t>Host05: Virtual Host 05</t>
  </si>
  <si>
    <t>Physical memory template</t>
  </si>
  <si>
    <t>OPEN</t>
  </si>
  <si>
    <t>Tier08: Platform Tier 08</t>
  </si>
  <si>
    <t>Tier09: Platform Tier 09</t>
  </si>
  <si>
    <t>Tier10: Platform Tier 10</t>
  </si>
  <si>
    <t>VIRTUAL HARDWARE =</t>
  </si>
  <si>
    <t>PHYSICAL HARDWARE =</t>
  </si>
  <si>
    <t>SOFTWARE =</t>
  </si>
  <si>
    <t>EGD_DBMS</t>
  </si>
  <si>
    <t>Project Workflows =========</t>
  </si>
  <si>
    <t>Tier02: Platform Tier 02</t>
  </si>
  <si>
    <t>Tier01: Platform Tier 01</t>
  </si>
  <si>
    <t>WTS: Platform Tier 11</t>
  </si>
  <si>
    <t xml:space="preserve">SP00101 (Arc16) CPT </t>
  </si>
  <si>
    <t>Tier12: Platform Tier 12</t>
  </si>
  <si>
    <t xml:space="preserve"> ==== SADS Class Platforms ======</t>
  </si>
  <si>
    <t>SDSwikiCh8</t>
  </si>
  <si>
    <t>HIDE THIS ROW</t>
  </si>
  <si>
    <t>ArcGIS Server  =========</t>
  </si>
  <si>
    <t>ArcGIS Mobile Services  =========</t>
  </si>
  <si>
    <t>ArcGIS Image Services  =========</t>
  </si>
  <si>
    <t>ArcGIS Desktop (ArcMap) Workstation =========</t>
  </si>
  <si>
    <t>ArcGIS Desktop (Pro) Workstation =========</t>
  </si>
  <si>
    <t>ArcGIS Desktop (ArcMap) Citrix =========</t>
  </si>
  <si>
    <t>ArcGIS Desktop (Pro) Citrix =========</t>
  </si>
  <si>
    <t>AGD wkstn FSvc ArcMap 2D VP Hvy 20%Dyn 19x10 Feature +$$</t>
  </si>
  <si>
    <t>AGD Citrix FSvc ArcMap 2D VP Hvy 20%Dyn 19x10 ICA +$$</t>
  </si>
  <si>
    <t>AGD Citrix FSvc ArcMap 2D RP Hvy 20%Dyn 19x10 ICA +$$</t>
  </si>
  <si>
    <t>Pro NVIDIA</t>
  </si>
  <si>
    <t>Host Nodes</t>
  </si>
  <si>
    <t>Host01</t>
  </si>
  <si>
    <t>Reserve</t>
  </si>
  <si>
    <t xml:space="preserve"> ==== 2017 AMI Platforms ====</t>
  </si>
  <si>
    <t>AMI c4.large (2vc)</t>
  </si>
  <si>
    <t>AMI c4.xlarge (4vc)</t>
  </si>
  <si>
    <t>AMI c4.4xlarge (16vc)</t>
  </si>
  <si>
    <t>AMI c4.8xlarge (32vc)</t>
  </si>
  <si>
    <t>AMI c3.large (2vc)</t>
  </si>
  <si>
    <t>AMI c3.xlarge (4vc)</t>
  </si>
  <si>
    <t>AMI c3.2xlarge (8vc)</t>
  </si>
  <si>
    <t>AMI c3.4xlarge (16vc)</t>
  </si>
  <si>
    <t>AMI c3.8xlarge (32vc)</t>
  </si>
  <si>
    <t xml:space="preserve"> ==== 2017 DP Server Platforms ====</t>
  </si>
  <si>
    <t>Xeon E5-2699Av4</t>
  </si>
  <si>
    <t>Arc17 Baseline</t>
  </si>
  <si>
    <t xml:space="preserve"> - 12-28 core servers include additional 20 Gbps storage network access.</t>
  </si>
  <si>
    <t xml:space="preserve"> - 32-44 core servers include additional 60 Gbps storage network access.</t>
  </si>
  <si>
    <t>Source Reference</t>
  </si>
  <si>
    <t>Dell PowerEdge R730 Rack Server</t>
  </si>
  <si>
    <t>NVIDIA GRID certified Dell platforms</t>
  </si>
  <si>
    <t>R730 Rack Server max M60 GPU = 2 (server requires 2 CPU)</t>
  </si>
  <si>
    <t>R730 GPU configuration/pricing ($6000 per server node)</t>
  </si>
  <si>
    <t>Network cost</t>
  </si>
  <si>
    <t>Enterprise Virtual WAN</t>
  </si>
  <si>
    <t xml:space="preserve">Next GEN Enterprise WAN </t>
  </si>
  <si>
    <t>AMI m4.16xlarge (64vc)</t>
  </si>
  <si>
    <t>AMI p2.xlarge (4vc)</t>
  </si>
  <si>
    <t>AMI p2.8xlarge (8vc)</t>
  </si>
  <si>
    <t>AMI p2.16xlarge (16vc)</t>
  </si>
  <si>
    <t>AMI x1.16large (64vc)</t>
  </si>
  <si>
    <t>AMI x1.32large (128vc)</t>
  </si>
  <si>
    <t>AMI r4.large (2vc)</t>
  </si>
  <si>
    <t>AMI r4.xlarge (4vc)</t>
  </si>
  <si>
    <t>AMI r4.2xlarge (8vc)</t>
  </si>
  <si>
    <t>AMI r4.4xlarge (16vc)</t>
  </si>
  <si>
    <t>AMI r4.8xlarge (32vc)</t>
  </si>
  <si>
    <t>AMI r4.16xlarge (64vc)</t>
  </si>
  <si>
    <t xml:space="preserve"> -</t>
  </si>
  <si>
    <t>1x1920 SSD</t>
  </si>
  <si>
    <t>2x1920 SSD</t>
  </si>
  <si>
    <t>1 x 4 SSD*6</t>
  </si>
  <si>
    <t>1 x 32 SSD*6</t>
  </si>
  <si>
    <t>2 x 40 SSD*6</t>
  </si>
  <si>
    <t>2 x 80 SSD*6</t>
  </si>
  <si>
    <t>AMI m3.medium (1vc)</t>
  </si>
  <si>
    <t>EBS only</t>
  </si>
  <si>
    <t>2 x 16 SSD</t>
  </si>
  <si>
    <t>2 x 40 SSD</t>
  </si>
  <si>
    <t>2 x 80 SSD</t>
  </si>
  <si>
    <t>2 x 160 SSD</t>
  </si>
  <si>
    <t>2 x 320 SSD</t>
  </si>
  <si>
    <t>EBS Only</t>
  </si>
  <si>
    <t>1 x 32 SSD</t>
  </si>
  <si>
    <t>1 x 80 SSD</t>
  </si>
  <si>
    <t>1 x 160 SSD</t>
  </si>
  <si>
    <t>1 x 320 SSD</t>
  </si>
  <si>
    <t>3 x 2000 HDD</t>
  </si>
  <si>
    <t>6 x 2000 HDD</t>
  </si>
  <si>
    <t>12 x 2000 HDD</t>
  </si>
  <si>
    <t>24 x 2000 HDD</t>
  </si>
  <si>
    <t xml:space="preserve"> NETWORK =</t>
  </si>
  <si>
    <t>WAN</t>
  </si>
  <si>
    <t>Intel Core i7-6700K 4 core (1 chip) 4000 MHz</t>
  </si>
  <si>
    <t>2.  Select new baseline platform in cell C2 (top of baseline workflows)</t>
  </si>
  <si>
    <t>2.  Select new baseline platform in WFBaseline tab (top of baseline workflows)</t>
  </si>
  <si>
    <t>Host02</t>
  </si>
  <si>
    <t>GPU Pricing</t>
  </si>
  <si>
    <t>NW Price/month</t>
  </si>
  <si>
    <t xml:space="preserve"> ==== Amazon Machines Instance ======</t>
  </si>
  <si>
    <t>GIS Server</t>
  </si>
  <si>
    <t xml:space="preserve">GPU </t>
  </si>
  <si>
    <t>Clients</t>
  </si>
  <si>
    <t>GPU</t>
  </si>
  <si>
    <t>NVIDIA</t>
  </si>
  <si>
    <t>Lookup</t>
  </si>
  <si>
    <t>HWCost</t>
  </si>
  <si>
    <t>Licensing</t>
  </si>
  <si>
    <t xml:space="preserve">SP0701 (Arc17) CPT </t>
  </si>
  <si>
    <t>Per core =</t>
  </si>
  <si>
    <t>Pricing Analysis</t>
  </si>
  <si>
    <t>SW/Core</t>
  </si>
  <si>
    <t>#Sites</t>
  </si>
  <si>
    <t>RemoteTotal</t>
  </si>
  <si>
    <t>Update</t>
  </si>
  <si>
    <t xml:space="preserve"> ==== MISC ======</t>
  </si>
  <si>
    <t>ArcGIS Desktop (ArcMap) Wkstn Workflows =============</t>
  </si>
  <si>
    <t>ArcGIS Desktop (Pro) Wkstn Workflows =============</t>
  </si>
  <si>
    <t>ArcGIS Desktop (ArcMap) Citrix Workflows =============</t>
  </si>
  <si>
    <t>ArcGIS Desktop (Pro) Citrix Workflows =============</t>
  </si>
  <si>
    <t>AGD Citrix FSvc Pro 2D RP Hvy 20%Dyn 19x10 ICA</t>
  </si>
  <si>
    <t>AGD Citrix FSvc ArcMap 2D VP Hvy 20%Dyn 19x10 ICA</t>
  </si>
  <si>
    <t>AGD Citrix FSvc ArcMap 2D RP Hvy 20%Dyn 19x10 ICA</t>
  </si>
  <si>
    <t>NW$ =</t>
  </si>
  <si>
    <t>Xeon Gold 5122</t>
  </si>
  <si>
    <t>Xeon Gold 6128</t>
  </si>
  <si>
    <t>Xeon Gold 6134</t>
  </si>
  <si>
    <t>Xeon Gold 5115</t>
  </si>
  <si>
    <t>Xeon Gold 6136</t>
  </si>
  <si>
    <t>Xeon Gold 6132</t>
  </si>
  <si>
    <t>Xeon Gold 6142</t>
  </si>
  <si>
    <t>Xeon Gold 6154</t>
  </si>
  <si>
    <t>Xeon Gold 6148</t>
  </si>
  <si>
    <t>Xeon Gold 6152</t>
  </si>
  <si>
    <t>Xeon E3-1280v6</t>
  </si>
  <si>
    <t>Q3 2017</t>
  </si>
  <si>
    <t>Q1 2017</t>
  </si>
  <si>
    <t>vCPU</t>
  </si>
  <si>
    <t xml:space="preserve"> ==== Azure Machines Instance ======</t>
  </si>
  <si>
    <t xml:space="preserve"> ==== 2017 AZI Platforms ====</t>
  </si>
  <si>
    <t>AZI D2v3 (2vc)</t>
  </si>
  <si>
    <t>AZI D4v3 (4vc)</t>
  </si>
  <si>
    <t>AZI D8v3 (8vc)</t>
  </si>
  <si>
    <t>AZI D16v3 (16vc)</t>
  </si>
  <si>
    <t>AZI D32v3 (32vc)</t>
  </si>
  <si>
    <t>AZI D64v3 (64vc)</t>
  </si>
  <si>
    <t>AZI F1 (2vc)</t>
  </si>
  <si>
    <t>AZI F2 (4vc)</t>
  </si>
  <si>
    <t>AZI F3 (8vc)</t>
  </si>
  <si>
    <t>AZI F4 (16vc)</t>
  </si>
  <si>
    <t>AZI F5 (32vc)</t>
  </si>
  <si>
    <t>F5</t>
  </si>
  <si>
    <t>E2v3</t>
  </si>
  <si>
    <t>E4v3</t>
  </si>
  <si>
    <t>E8v3</t>
  </si>
  <si>
    <t>E16v3</t>
  </si>
  <si>
    <t>E32v3</t>
  </si>
  <si>
    <t>E64v3</t>
  </si>
  <si>
    <t>AZI E2v3 (2vc)</t>
  </si>
  <si>
    <t>AZI E4v3 (4vc)</t>
  </si>
  <si>
    <t>AZI E8v3 (8vc)</t>
  </si>
  <si>
    <t>AZI E16v3 (16vc)</t>
  </si>
  <si>
    <t>AZI E32v3 (32vc)</t>
  </si>
  <si>
    <t>AZI E64v3 (64vc)</t>
  </si>
  <si>
    <t>D11v2</t>
  </si>
  <si>
    <t>D12v2</t>
  </si>
  <si>
    <t>D13v2</t>
  </si>
  <si>
    <t>D14v2</t>
  </si>
  <si>
    <t>D15v2</t>
  </si>
  <si>
    <t>AZI D11v2 (2vc)</t>
  </si>
  <si>
    <t>AZI D12v2 (4vc)</t>
  </si>
  <si>
    <t>AZI D13v2 (8vc)</t>
  </si>
  <si>
    <t>AZI D14v2 (16vc)</t>
  </si>
  <si>
    <t>AZI D15v2 (20vc)</t>
  </si>
  <si>
    <t>G1</t>
  </si>
  <si>
    <t>G2</t>
  </si>
  <si>
    <t>G4</t>
  </si>
  <si>
    <t>G5</t>
  </si>
  <si>
    <t>NC6</t>
  </si>
  <si>
    <t>NC12</t>
  </si>
  <si>
    <t>NC24</t>
  </si>
  <si>
    <t>NC24r</t>
  </si>
  <si>
    <t>NV6</t>
  </si>
  <si>
    <t>NV12</t>
  </si>
  <si>
    <t>NV24</t>
  </si>
  <si>
    <t>H8</t>
  </si>
  <si>
    <t>H16</t>
  </si>
  <si>
    <t>H8m</t>
  </si>
  <si>
    <t>H16m</t>
  </si>
  <si>
    <t>H16mr</t>
  </si>
  <si>
    <t>H16r</t>
  </si>
  <si>
    <t>General purpose</t>
  </si>
  <si>
    <t>Compute optimized</t>
  </si>
  <si>
    <t>Memory optimized</t>
  </si>
  <si>
    <t>GPU series</t>
  </si>
  <si>
    <t>High performance compute</t>
  </si>
  <si>
    <t>AZI G1 (2vc)</t>
  </si>
  <si>
    <t>AZI G2 (4vc)</t>
  </si>
  <si>
    <t>AZI G3 (8vc)</t>
  </si>
  <si>
    <t>AZI G4 (16vc)</t>
  </si>
  <si>
    <t>AZI G5 (32vc)</t>
  </si>
  <si>
    <t>AZI NC6 (6vc)</t>
  </si>
  <si>
    <t>AZI NC12 (12vc)</t>
  </si>
  <si>
    <t>AZI NC24 (24vc)</t>
  </si>
  <si>
    <t>AZI NC24r (24vc)</t>
  </si>
  <si>
    <t>AZI NV6 (6vc)</t>
  </si>
  <si>
    <t>AZI NV12 (12vc)</t>
  </si>
  <si>
    <t>AZI NV24 (24vc)</t>
  </si>
  <si>
    <t>AZI H8 (8vc)</t>
  </si>
  <si>
    <t>AZI H16 (16vc)</t>
  </si>
  <si>
    <t>AZI H8m (8vc)</t>
  </si>
  <si>
    <t>AZI H16m (16vc)</t>
  </si>
  <si>
    <t>AZI H16mr (16vc)</t>
  </si>
  <si>
    <t>AZI H16r (16vc)</t>
  </si>
  <si>
    <t>Storage optimized</t>
  </si>
  <si>
    <t>3yr hours</t>
  </si>
  <si>
    <t>AMI g3.4xlarge (16vc)</t>
  </si>
  <si>
    <t>AMI g3.8xlarge (32vc)</t>
  </si>
  <si>
    <t>AMI g3.16xlarge (64vc)</t>
  </si>
  <si>
    <t>Accelerated computing (GPU Optimized)</t>
  </si>
  <si>
    <t>Accelerated computing (General purpose GPU)</t>
  </si>
  <si>
    <t>Memory optimized (in memory apps)</t>
  </si>
  <si>
    <t>AMI i3.xlarge (4vc)</t>
  </si>
  <si>
    <t>AMI i3.8xlarge (32vc)</t>
  </si>
  <si>
    <t>AMI i3.large (2vc)</t>
  </si>
  <si>
    <t>AMI i3.2xlarge (8vc)</t>
  </si>
  <si>
    <t>AMI i3.4xlarge (16vc)</t>
  </si>
  <si>
    <t>AMI i3.16xlarge (64vc)</t>
  </si>
  <si>
    <t>1 x 475 SSD</t>
  </si>
  <si>
    <t>1 x 950 SSD</t>
  </si>
  <si>
    <t>1 x 1900 SSD</t>
  </si>
  <si>
    <t>2 x 1900 SSD</t>
  </si>
  <si>
    <t>4 x 1900 SSD</t>
  </si>
  <si>
    <t>8 x 1900 SSD</t>
  </si>
  <si>
    <t>SP00201 (Arc17) CPT - baseline for SADS class upgrade</t>
  </si>
  <si>
    <t>Microsoft Azure site</t>
  </si>
  <si>
    <t>Amazon EC2 Site</t>
  </si>
  <si>
    <t>SDSwikiCh7</t>
  </si>
  <si>
    <t>Memory optimized (GeoDatabase)</t>
  </si>
  <si>
    <t>General purpose (ArcGIS Server)</t>
  </si>
  <si>
    <t>Rec DB Memory</t>
  </si>
  <si>
    <t xml:space="preserve"> ==== 2017 AZIDB AzureSQL Platforms ====</t>
  </si>
  <si>
    <t>Standard Azure SQL</t>
  </si>
  <si>
    <t>AZISQL S1 (1vc)</t>
  </si>
  <si>
    <t>AZISQL S2 (1vc)</t>
  </si>
  <si>
    <t>AZISQL S3 (1vc)</t>
  </si>
  <si>
    <t>S0</t>
  </si>
  <si>
    <t>AZISQL S0 (1vc)</t>
  </si>
  <si>
    <t>Premium Azure SQL</t>
  </si>
  <si>
    <t>AZISQL P1 (2vc)</t>
  </si>
  <si>
    <t>AZISQL P2 (2vc)</t>
  </si>
  <si>
    <t>AZISQL P4 (2vc)</t>
  </si>
  <si>
    <t>AZISQL P6 (4vc)</t>
  </si>
  <si>
    <t>AZISQL P11 (8vc)</t>
  </si>
  <si>
    <t>AZISQL P15 (16vc)</t>
  </si>
  <si>
    <t>S1</t>
  </si>
  <si>
    <t>S2</t>
  </si>
  <si>
    <t>S3</t>
  </si>
  <si>
    <t>P1</t>
  </si>
  <si>
    <t>P2</t>
  </si>
  <si>
    <t>P4</t>
  </si>
  <si>
    <t>P6</t>
  </si>
  <si>
    <t>P11</t>
  </si>
  <si>
    <t>P15</t>
  </si>
  <si>
    <t>%Host</t>
  </si>
  <si>
    <t>Rec  DB Memory</t>
  </si>
  <si>
    <t>Min Memory</t>
  </si>
  <si>
    <t>VM_Mem</t>
  </si>
  <si>
    <t>AZI D1v2 (1vc)</t>
  </si>
  <si>
    <t>AZI D2v2 (2vc)</t>
  </si>
  <si>
    <t>AZI D3v2 (4vc)</t>
  </si>
  <si>
    <t>AZI D4v2 (8vc)</t>
  </si>
  <si>
    <t>AZI D5v2 (16vc)</t>
  </si>
  <si>
    <t>NVIDIA GRID 2 licensing model</t>
  </si>
  <si>
    <t xml:space="preserve"> ==== UNIX Server Candidates ======</t>
  </si>
  <si>
    <t>Platforms</t>
  </si>
  <si>
    <t>Project</t>
  </si>
  <si>
    <t>AmazonVM</t>
  </si>
  <si>
    <t>AzureVM</t>
  </si>
  <si>
    <t>UNIX</t>
  </si>
  <si>
    <t>SADS</t>
  </si>
  <si>
    <t>Thrds/vCPU</t>
  </si>
  <si>
    <t>HWCore</t>
  </si>
  <si>
    <t>Phy/Core</t>
  </si>
  <si>
    <t>Rate2006</t>
  </si>
  <si>
    <t>vRAM</t>
  </si>
  <si>
    <t>vCore/core</t>
  </si>
  <si>
    <t>Virtual machine</t>
  </si>
  <si>
    <t>AMI Platform</t>
  </si>
  <si>
    <t>HostCore</t>
  </si>
  <si>
    <t>AZI Platform</t>
  </si>
  <si>
    <t>DTU</t>
  </si>
  <si>
    <t>Threds/core</t>
  </si>
  <si>
    <t>Core/Chip</t>
  </si>
  <si>
    <t>Vendor</t>
  </si>
  <si>
    <t>Xeon E5-2673Wv3</t>
  </si>
  <si>
    <t>Xeon E5-2673v4</t>
  </si>
  <si>
    <t>Xeon E5-2676v3</t>
  </si>
  <si>
    <t>Xeon E5-2670v2</t>
  </si>
  <si>
    <t>Host Core</t>
  </si>
  <si>
    <t>General purpose m4</t>
  </si>
  <si>
    <t>General purpose m3</t>
  </si>
  <si>
    <t>Compute optimized c4</t>
  </si>
  <si>
    <t>Compute optimized c3</t>
  </si>
  <si>
    <t>Accelerated computing P2. (General purpose GPU)</t>
  </si>
  <si>
    <t>Memory optimized x1. (in memory apps)</t>
  </si>
  <si>
    <t>Memory optimized r4.</t>
  </si>
  <si>
    <t>Memory optimized r3.</t>
  </si>
  <si>
    <t>Storage optimized i3.</t>
  </si>
  <si>
    <t>Storage optimized d2.</t>
  </si>
  <si>
    <t>General purpose Dv3 (ArcGIS Server)</t>
  </si>
  <si>
    <t>General purpose Dv2 (ArcGIS Server)</t>
  </si>
  <si>
    <t>Compute optimized F-series</t>
  </si>
  <si>
    <t>Memory optimized Ev3</t>
  </si>
  <si>
    <t>Memory optimized D1v2</t>
  </si>
  <si>
    <t>Memory optimized G-series (GeoDatabase)</t>
  </si>
  <si>
    <t>H-series High performance compute</t>
  </si>
  <si>
    <t xml:space="preserve">Adj </t>
  </si>
  <si>
    <t>Xeon E5-2686v4</t>
  </si>
  <si>
    <t>Xeon E5-2666v3</t>
  </si>
  <si>
    <t>Xeon E5-8880v3</t>
  </si>
  <si>
    <t xml:space="preserve"> ==== Microsoft Azure host platforms ======</t>
  </si>
  <si>
    <t xml:space="preserve"> ==== Amazon EC2 host platforms ======</t>
  </si>
  <si>
    <t>Xeon E5-2673v3</t>
  </si>
  <si>
    <t xml:space="preserve">SP1001 (Arc17) CPT </t>
  </si>
  <si>
    <t>Xeon E5-2676v4</t>
  </si>
  <si>
    <t>Xeon E7-8880v3</t>
  </si>
  <si>
    <t xml:space="preserve"> ==== 2017 AMI EC2 Platforms ====</t>
  </si>
  <si>
    <t xml:space="preserve"> ==== 2017 AMI RDS DB instance class Platforms ====</t>
  </si>
  <si>
    <t>General purpose db.m4</t>
  </si>
  <si>
    <t>AMI db.m4.large (2vc)</t>
  </si>
  <si>
    <t>AMI db.m4.xlarge (4vc)</t>
  </si>
  <si>
    <t>AMI db.m4.2xlarge (8vc)</t>
  </si>
  <si>
    <t>AMI db.m4.4xlarge (16vc)</t>
  </si>
  <si>
    <t>AMI db.m4.10xlarge (40vc)</t>
  </si>
  <si>
    <t>AMI db.m3.medium (1vc)</t>
  </si>
  <si>
    <t>AMI db.m3.large (2vc)</t>
  </si>
  <si>
    <t>AMI db.m3.xlarge (4vc)</t>
  </si>
  <si>
    <t>AMI db.m3.2xlarge (8vc)</t>
  </si>
  <si>
    <t>AMI db.r3.large (2vc)</t>
  </si>
  <si>
    <t>AMI db.r3.xlarge (4vc)</t>
  </si>
  <si>
    <t>AMI db.r3.2xlarge (8vc)</t>
  </si>
  <si>
    <t>AMI db.r3.4xlarge (16vc)</t>
  </si>
  <si>
    <t>AMI db.r3.8xlarge (32vc)</t>
  </si>
  <si>
    <t>General purpose db.m3</t>
  </si>
  <si>
    <t>Memory optimized db.r3.</t>
  </si>
  <si>
    <t>NV GPU series (Visualization)</t>
  </si>
  <si>
    <t>NC GPU series (Compute)</t>
  </si>
  <si>
    <t>Accelerated computing g3. (GPU Visualization)</t>
  </si>
  <si>
    <t>VDI Sessions</t>
  </si>
  <si>
    <t>GPU license</t>
  </si>
  <si>
    <t>Xeon E5-2698Bv3</t>
  </si>
  <si>
    <t xml:space="preserve">SP1201 (Arc17) CPT </t>
  </si>
  <si>
    <t>Cloud$</t>
  </si>
  <si>
    <t>Price/hr</t>
  </si>
  <si>
    <t>Note: All service times based on 1026x764 memory, services based on JPEG output.</t>
  </si>
  <si>
    <t>Xeon Gold 5122 8 core (2 chip) 3600 MHz</t>
  </si>
  <si>
    <t>Xeon Gold 5122 4 core (1 chip) 3600 MHz</t>
  </si>
  <si>
    <t>Xeon E3-1280v6 4 core (1 chip) 3900 MHz</t>
  </si>
  <si>
    <t>Xeon Gold 6128 12 core (2 chip) 3400 MHz</t>
  </si>
  <si>
    <t>Xeon Gold 5115 20 core (2 chip) 2400 MHz</t>
  </si>
  <si>
    <t>Xeon Gold 6132 28 core (2 chip) 2600 MHz</t>
  </si>
  <si>
    <t>Xeon Gold 6142 32 core (2 chip) 2600 MHz</t>
  </si>
  <si>
    <t>Xeon Gold 6154 36 core (2 chip) 3000 MHz</t>
  </si>
  <si>
    <t>Xeon Gold 6148 40 core (2 chip) 2400 MHz</t>
  </si>
  <si>
    <t>Xeon Gold 6152 44 core (2 chip) 2100 MHz</t>
  </si>
  <si>
    <t>Xeon Gold 6144</t>
  </si>
  <si>
    <t>Xeon Gold 6144 16 core (2 chip) 3500 MHz</t>
  </si>
  <si>
    <t>Xeon Gold 6146 24 core (2 chip) 3400 MHz</t>
  </si>
  <si>
    <t>Xeon Gold 6146</t>
  </si>
  <si>
    <t>2018 Platforms</t>
  </si>
  <si>
    <t xml:space="preserve"> ==== 2018 Server Platforms ====</t>
  </si>
  <si>
    <t xml:space="preserve">SP0301 (Arc17) CPT </t>
  </si>
  <si>
    <t>Include pricing for 2018 platforms</t>
  </si>
  <si>
    <t xml:space="preserve"> ==== 2016 - 2017 DP Server Platforms ====</t>
  </si>
  <si>
    <t>Include 2017 and 2018 Project Platform Candidates</t>
  </si>
  <si>
    <t>Include 2018 hardware pricing update</t>
  </si>
  <si>
    <t>Include 2018 project platform candidates</t>
  </si>
  <si>
    <t>Reduce virtual hypervisor overhead to 35 percent.</t>
  </si>
  <si>
    <t>Reduce hypervisor overhead based on Microsoft Azure benchmarks.</t>
  </si>
  <si>
    <t>AGD wkstn$ FSvc</t>
  </si>
  <si>
    <t>Add AGD Wkstn$ FSvc baseline workflow</t>
  </si>
  <si>
    <t>Support ArcGIS Desktop Feature Service workflows with local feature cache</t>
  </si>
  <si>
    <t>Adjust %DataCache to generate AGD Wkstn$ FSvc loads</t>
  </si>
  <si>
    <t xml:space="preserve"> ==== 2018 Desktop Platforms ====</t>
  </si>
  <si>
    <t>Xeon E3-1270v6</t>
  </si>
  <si>
    <t xml:space="preserve"> ==== 2017 Desktop Platforms ====</t>
  </si>
  <si>
    <t>Xeon E3-1240v6</t>
  </si>
  <si>
    <t>Xeon E3-1230v6</t>
  </si>
  <si>
    <t xml:space="preserve"> ==== 2018  Server Platforms ====</t>
  </si>
  <si>
    <t xml:space="preserve"> ==== SADS Exercise 7 Best Buy ======</t>
  </si>
  <si>
    <t>BB_Xeon Gold 5122</t>
  </si>
  <si>
    <t>BB_Xeon Gold 6128</t>
  </si>
  <si>
    <t>BB_Xeon Gold 6144</t>
  </si>
  <si>
    <t>BB_Xeon Gold 5115</t>
  </si>
  <si>
    <t>BB_Xeon Gold 6146</t>
  </si>
  <si>
    <t>BB_Xeon Gold 6132</t>
  </si>
  <si>
    <t>BB_Xeon Gold 6142</t>
  </si>
  <si>
    <t>BB_Xeon Gold 6154</t>
  </si>
  <si>
    <t>BB_Xeon Gold 6148</t>
  </si>
  <si>
    <t>BB_Xeon Gold 6152</t>
  </si>
  <si>
    <t>Web/SOC/DB</t>
  </si>
  <si>
    <t>Single tier with DBMS defaults to DBMS memory.</t>
  </si>
  <si>
    <t>Increase SOC tier memory to handle DBMS</t>
  </si>
  <si>
    <t xml:space="preserve"> ==== SADS Class Demo Platforms ======</t>
  </si>
  <si>
    <t>Q8Xeon Gold 6144</t>
  </si>
  <si>
    <t>Q12Xeon Gold 6144</t>
  </si>
  <si>
    <t>Q16Xeon Gold 6144</t>
  </si>
  <si>
    <t>Arc18 Baseline</t>
  </si>
  <si>
    <t>Arc18 Baseline 4 core (1 chip) 3600 MHz</t>
  </si>
  <si>
    <t>1. Set old year baseline at top of baseline workflows in WFBaseline tab (cell B2)</t>
  </si>
  <si>
    <t>2. Select new year baseline in workflow tab cell S3.</t>
  </si>
  <si>
    <t>3. Copy  service times in columns S-Z and paste new values in columns D-K for each workflow.</t>
  </si>
  <si>
    <t>4. Reset new year baseline at top of baseline workflows in WFBaseline tab (cell B2)</t>
  </si>
  <si>
    <t>Arc10 Baseline 4 core (1 chip) 3467 MHz</t>
  </si>
  <si>
    <t>AGD wkstn$ FSvc Pro 2D VP Hvy 20%Dyn 19x10 Feature</t>
  </si>
  <si>
    <t>AGD wkstn$ FSvc Pro 3D VP Hvy 20%Dyn 19x10 Feature</t>
  </si>
  <si>
    <t>ArcGIS 10.5 Desktop (ArcMap) Workstation =========</t>
  </si>
  <si>
    <t>ArcGIS 10.5 Desktop (ArcMap) Citrix =========</t>
  </si>
  <si>
    <t>ArcGIS 10.5 Desktop (Pro) Workstation =========</t>
  </si>
  <si>
    <t>ArcGIS 10.5 Desktop (Pro) Citrix =========</t>
  </si>
  <si>
    <t>ArcGIS 10.5 Server  =========</t>
  </si>
  <si>
    <t>ArcGIS 10.5 Image Services  =========</t>
  </si>
  <si>
    <t>ArcGIS 10.5 Mobile Services  =========</t>
  </si>
  <si>
    <t xml:space="preserve">SP0701 (Arc18) CPT </t>
  </si>
  <si>
    <t>Update standard workflow service times to support Arc18 baseline</t>
  </si>
  <si>
    <t>Support client feature cash with new WebGIS branch versioning workflows</t>
  </si>
  <si>
    <t>Support WebGIS 3D Workflows</t>
  </si>
  <si>
    <t>AGS 10.6 GeoEvent</t>
  </si>
  <si>
    <t>AGS 10.5 GeoEvent</t>
  </si>
  <si>
    <t>2xMed</t>
  </si>
  <si>
    <t>PCCalc tab</t>
  </si>
  <si>
    <t>Move PC Calculator from Workflow tab to PCCalc tab</t>
  </si>
  <si>
    <t>Provide PC Calculator on separate tab.</t>
  </si>
  <si>
    <t>Update workflow service times to support Arc18 baseline</t>
  </si>
  <si>
    <t>Include Wkstn$ Pro FSvc 2D 20%Dyn standard workflow</t>
  </si>
  <si>
    <t>Include Wkstn$ Pro FSvc 3D 20%Dyn standard workflow</t>
  </si>
  <si>
    <t>Update model to support Arc18 baseline</t>
  </si>
  <si>
    <t>Arc18 CPT update</t>
  </si>
  <si>
    <t>AGS Portal Share</t>
  </si>
  <si>
    <t>2013 Xeon E3-1270V2</t>
  </si>
  <si>
    <t>HP Xeon E3-1280v6</t>
  </si>
  <si>
    <t>Dell Xeon Gold 5122</t>
  </si>
  <si>
    <t>IBM Xeon E3-1280v5</t>
  </si>
  <si>
    <t>Fix</t>
  </si>
  <si>
    <t>variable Processing time</t>
  </si>
  <si>
    <t>Var</t>
  </si>
  <si>
    <t>PCCalc</t>
  </si>
  <si>
    <t>Med</t>
  </si>
  <si>
    <t>2Med</t>
  </si>
  <si>
    <t>Rework model for more accurate sizing</t>
  </si>
  <si>
    <t>Provide more accurate sizing.</t>
  </si>
  <si>
    <t>MXDPerfStat</t>
  </si>
  <si>
    <t xml:space="preserve"> ==== 2016-2017 Server Platforms ====</t>
  </si>
  <si>
    <t xml:space="preserve"> ==== SADS Exercise 7 Server History ======</t>
  </si>
  <si>
    <t>2018 Xeon Gold 6144</t>
  </si>
  <si>
    <t>2018 Xeon Gold 5122</t>
  </si>
  <si>
    <t>2017 Xeon E5-2637v4</t>
  </si>
  <si>
    <t>CitrixEdit_AGD Citrix ArcMap 2D R Hvy 100%Dyn 19x10 ICA</t>
  </si>
  <si>
    <t>WebMap validation test</t>
  </si>
  <si>
    <t>Tesla P40</t>
  </si>
  <si>
    <t>City of Portland IOC</t>
  </si>
  <si>
    <t>Hvy</t>
  </si>
  <si>
    <t>New P40 GPU.</t>
  </si>
  <si>
    <t>https://www.jitslangedijk.com/the-new-nvidia-grid/</t>
  </si>
  <si>
    <t xml:space="preserve">    DeskProView_AGD wkstn$ FSvc Pro 3D VP Hvy 20%Dyn 19x10 Feature</t>
  </si>
  <si>
    <t xml:space="preserve">    WebGISProView_AGD wkstn$ FSvc Pro 3D VP Hvy 20%Dyn 19x10 Feature</t>
  </si>
  <si>
    <t xml:space="preserve">    PortalMaps_AGS REST 2D V Hvy 100%Dyn 13x7 PNG24 +$$</t>
  </si>
  <si>
    <t>Lesson 09 =========</t>
  </si>
  <si>
    <t>Update mode for Arc18 performance baseline</t>
  </si>
  <si>
    <t>Update to Arc18 performance baseline</t>
  </si>
  <si>
    <t>Available January 2018</t>
  </si>
  <si>
    <t>Available 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</si>
</sst>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4">
    <numFmt numFmtId="164" formatCode="&quot;$&quot;#,##0_);\(&quot;$&quot;#,##0\)"/>
    <numFmt numFmtId="165" formatCode="&quot;$&quot;#,##0_);[Red]\(&quot;$&quot;#,##0\)"/>
    <numFmt numFmtId="166" formatCode="_(* #,##0.00_);_(* \(#,##0.00\);_(* &quot;-&quot;??_);_(@_)"/>
    <numFmt numFmtId="167" formatCode="0.0"/>
    <numFmt numFmtId="168" formatCode="0.000"/>
    <numFmt numFmtId="169" formatCode="#,##0.0"/>
    <numFmt numFmtId="170" formatCode="#,##0.000"/>
    <numFmt numFmtId="171" formatCode="&quot;Cores = &quot;0"/>
    <numFmt numFmtId="172" formatCode="0&quot; GB RAM&quot;"/>
    <numFmt numFmtId="173" formatCode="#,##0&quot; TPH&quot;"/>
    <numFmt numFmtId="174" formatCode="0.000;;;"/>
    <numFmt numFmtId="175" formatCode="0.0&quot;/Core&quot;"/>
    <numFmt numFmtId="176" formatCode="0.0&quot; / Node&quot;"/>
    <numFmt numFmtId="177" formatCode="#,##0.00&quot; sec&quot;"/>
    <numFmt numFmtId="178" formatCode="General&quot; Workstation&quot;"/>
    <numFmt numFmtId="179" formatCode="&quot;client&quot;\ #,##0.00&quot; sec&quot;"/>
    <numFmt numFmtId="180" formatCode="0.000&quot; Mbpd&quot;"/>
    <numFmt numFmtId="181" formatCode="0.0&quot; Mbps&quot;"/>
    <numFmt numFmtId="182" formatCode="0&quot; Users&quot;"/>
    <numFmt numFmtId="183" formatCode="0.0%"/>
    <numFmt numFmtId="184" formatCode="&quot;WWW Clients = &quot;\ 0"/>
    <numFmt numFmtId="185" formatCode="&quot;Site Clients = &quot;\ 0"/>
    <numFmt numFmtId="186" formatCode="&quot;WAN = &quot;0.0&quot; Mbps&quot;"/>
    <numFmt numFmtId="187" formatCode="0;;0;"/>
    <numFmt numFmtId="188" formatCode="&quot;Chips = &quot;0"/>
    <numFmt numFmtId="189" formatCode="\ #,##0\ &quot;DPM&quot;"/>
    <numFmt numFmtId="190" formatCode="&quot;CPU Utilization&quot;_(*.\ 0.0%_)&quot;CPU&quot;"/>
    <numFmt numFmtId="191" formatCode="0%&quot; Max&quot;"/>
    <numFmt numFmtId="192" formatCode="#,##0.000&quot; sec&quot;"/>
    <numFmt numFmtId="193" formatCode="0&quot; Node&quot;"/>
    <numFmt numFmtId="194" formatCode="#,##0&quot; DPM/client&quot;"/>
    <numFmt numFmtId="195" formatCode="&quot;DBMS&quot;0;;0"/>
    <numFmt numFmtId="196" formatCode="0.00&quot; Users&quot;"/>
    <numFmt numFmtId="197" formatCode="&quot;Productivity&quot;_(*.\ #,##0.00_)&quot;DPM&quot;"/>
    <numFmt numFmtId="198" formatCode="0.0;0.0;0.0&quot; sec&quot;"/>
    <numFmt numFmtId="199" formatCode="0&quot; Clients&quot;"/>
    <numFmt numFmtId="200" formatCode="&quot;LAN = &quot;0.0&quot; Mbps&quot;"/>
    <numFmt numFmtId="201" formatCode="&quot;Internet = &quot;0.0&quot; Mbps&quot;"/>
    <numFmt numFmtId="202" formatCode="&quot;Traffic = &quot;0.0&quot; Mbps&quot;"/>
    <numFmt numFmtId="203" formatCode="0&quot; Core&quot;"/>
    <numFmt numFmtId="204" formatCode="#,##0&quot; Total Clients&quot;"/>
    <numFmt numFmtId="205" formatCode="General&quot; Hardware Lookup&quot;"/>
    <numFmt numFmtId="206" formatCode="&quot;Min Think&quot;_(*.\ #,##0_)&quot;sec&quot;"/>
    <numFmt numFmtId="207" formatCode="&quot;Throughput&quot;_(*.\ #,##0.0_)&quot;DPM&quot;"/>
    <numFmt numFmtId="208" formatCode="0&quot; MHz&quot;"/>
    <numFmt numFmtId="209" formatCode="#,##0&quot; core/node&quot;"/>
    <numFmt numFmtId="210" formatCode="0%&quot; CPU&quot;"/>
    <numFmt numFmtId="211" formatCode="#,##0&quot; /client&quot;"/>
    <numFmt numFmtId="212" formatCode="0&quot; / Node&quot;"/>
    <numFmt numFmtId="213" formatCode="&quot;Default = &quot;#,##0&quot; DPM/client&quot;"/>
    <numFmt numFmtId="214" formatCode="#,##0.0&quot; /client&quot;"/>
    <numFmt numFmtId="215" formatCode="&quot;Peak Users &quot;_(*.0.0;0.0_)"/>
    <numFmt numFmtId="216" formatCode="0&quot; MB&quot;"/>
    <numFmt numFmtId="217" formatCode="0%;;0%"/>
    <numFmt numFmtId="218" formatCode="General&quot; Mbpd&quot;"/>
    <numFmt numFmtId="219" formatCode="&quot;Client Traffic = &quot;General&quot; Mbps&quot;"/>
    <numFmt numFmtId="220" formatCode="General&quot; sec&quot;"/>
    <numFmt numFmtId="221" formatCode="General&quot; DPM/&quot;"/>
    <numFmt numFmtId="222" formatCode="General&quot; Mbps&quot;"/>
    <numFmt numFmtId="223" formatCode="0.00_);[Red]\(0.00\)"/>
    <numFmt numFmtId="224" formatCode="0.0_);[Red]\(0.0\)"/>
    <numFmt numFmtId="225" formatCode="0.0&quot; GB&quot;"/>
    <numFmt numFmtId="226" formatCode="0\ &quot; msec&quot;;;0\ &quot; msec&quot;"/>
    <numFmt numFmtId="227" formatCode="_(* #,##0_);_(* \(#,##0\);_(* &quot;-&quot;??_);_(@_)"/>
    <numFmt numFmtId="228" formatCode="#,##0&quot; MAX&quot;"/>
    <numFmt numFmtId="229" formatCode="0.0&quot; PhyNode&quot;"/>
    <numFmt numFmtId="230" formatCode="0.000%"/>
    <numFmt numFmtId="231" formatCode="&quot;(&quot;General&quot; Mbps)&quot;"/>
    <numFmt numFmtId="232" formatCode="#,##0&quot;K TPH&quot;"/>
    <numFmt numFmtId="233" formatCode="0&quot; MB/Display&quot;"/>
    <numFmt numFmtId="234" formatCode="0&quot; Chips&quot;"/>
    <numFmt numFmtId="235" formatCode="0.0#;;0.0#;"/>
    <numFmt numFmtId="236" formatCode="0&quot; VM&quot;"/>
    <numFmt numFmtId="237" formatCode="0&quot; W &quot;"/>
    <numFmt numFmtId="238" formatCode="#,##0.0&quot; sec&quot;"/>
    <numFmt numFmtId="239" formatCode="0&quot; GB&quot;"/>
    <numFmt numFmtId="240" formatCode="#,##0&quot; sec&quot;"/>
    <numFmt numFmtId="241" formatCode="#,##0&quot; sec/hr&quot;"/>
    <numFmt numFmtId="242" formatCode="0&quot; vCPU&quot;"/>
    <numFmt numFmtId="243" formatCode="0&quot; Core/tier&quot;"/>
    <numFmt numFmtId="244" formatCode="0&quot;/Node&quot;"/>
    <numFmt numFmtId="245" formatCode="&quot;$&quot;#,##0.0_);\(&quot;$&quot;#,##0.0\)"/>
    <numFmt numFmtId="246" formatCode="0.00000%"/>
    <numFmt numFmtId="247" formatCode="0.0000"/>
    <numFmt numFmtId="248" formatCode="0_);[Red]\(0\)"/>
    <numFmt numFmtId="249" formatCode="0.00000000"/>
    <numFmt numFmtId="250" formatCode="0.00000"/>
    <numFmt numFmtId="251" formatCode="&quot;$&quot;#,##0"/>
    <numFmt numFmtId="252" formatCode="&quot;$&quot;#,##0&quot;/chip&quot;"/>
    <numFmt numFmtId="253" formatCode="[$-409]mmm\-yy;@"/>
    <numFmt numFmtId="254" formatCode="#,##0.0_);\(#,##0.0\)"/>
    <numFmt numFmtId="255" formatCode="#,##0.000000000000000"/>
    <numFmt numFmtId="256" formatCode="0.0&quot; TPS&quot;"/>
    <numFmt numFmtId="257" formatCode="#,##0.0000"/>
    <numFmt numFmtId="258" formatCode="#,##0.0&quot; sec/min&quot;"/>
    <numFmt numFmtId="259" formatCode="#,##0.00000"/>
    <numFmt numFmtId="260" formatCode="#,##0.0&quot; DPM/client&quot;"/>
    <numFmt numFmtId="261" formatCode="0;0;0"/>
    <numFmt numFmtId="262" formatCode="&quot;$&quot;#,##0.00"/>
    <numFmt numFmtId="263" formatCode="mmm\-yyyy"/>
    <numFmt numFmtId="264" formatCode="0&quot; Percent&quot;"/>
    <numFmt numFmtId="265" formatCode="0&quot; VD/node&quot;"/>
    <numFmt numFmtId="266" formatCode="#,##0.0&quot; Nodes&quot;"/>
    <numFmt numFmtId="267" formatCode="0&quot; VMs/Chip&quot;"/>
    <numFmt numFmtId="268" formatCode="0.0&quot; HNodes&quot;"/>
    <numFmt numFmtId="269" formatCode="0.0&quot; Batch&quot;"/>
    <numFmt numFmtId="270" formatCode="&quot;$&quot;#,##0&quot;/node&quot;"/>
    <numFmt numFmtId="271" formatCode="&quot;$&quot;#,##0&quot;/mo&quot;"/>
    <numFmt numFmtId="272" formatCode="0.0&quot; Jobs/tier&quot;"/>
    <numFmt numFmtId="273" formatCode="&quot;$&quot;#,##0&quot;/yr&quot;"/>
    <numFmt numFmtId="274" formatCode="0&quot; Chips/Tier&quot;"/>
    <numFmt numFmtId="275" formatCode="#,##0&quot; GB&quot;"/>
    <numFmt numFmtId="276" formatCode="&quot;$&quot;#,##0.000"/>
    <numFmt numFmtId="277" formatCode="#,##0&quot; Hrs/yr&quot;"/>
  </numFmts>
  <fonts count="25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Arial Narrow"/>
      <family val="2"/>
    </font>
    <font>
      <u/>
      <sz val="7.5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8"/>
      <name val="Arial Narrow"/>
      <family val="2"/>
    </font>
    <font>
      <b/>
      <sz val="12"/>
      <name val="Arial Narrow"/>
      <family val="2"/>
    </font>
    <font>
      <sz val="10"/>
      <color indexed="18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4"/>
      <name val="Arial Narrow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8"/>
      <name val="Arial Narrow"/>
      <family val="2"/>
    </font>
    <font>
      <sz val="10"/>
      <color indexed="9"/>
      <name val="Arial Narrow"/>
      <family val="2"/>
    </font>
    <font>
      <sz val="10"/>
      <color indexed="18"/>
      <name val="Arial Narrow"/>
      <family val="2"/>
    </font>
    <font>
      <b/>
      <sz val="9"/>
      <name val="Arial Narrow"/>
      <family val="2"/>
    </font>
    <font>
      <sz val="10"/>
      <color indexed="16"/>
      <name val="Arial Narrow"/>
      <family val="2"/>
    </font>
    <font>
      <sz val="10"/>
      <color indexed="8"/>
      <name val="Arial Narrow"/>
      <family val="2"/>
    </font>
    <font>
      <sz val="10"/>
      <color indexed="10"/>
      <name val="Arial Narrow"/>
      <family val="2"/>
    </font>
    <font>
      <b/>
      <sz val="10"/>
      <color indexed="8"/>
      <name val="Arial Narrow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9"/>
      <color indexed="8"/>
      <name val="Arial Narrow"/>
      <family val="2"/>
    </font>
    <font>
      <b/>
      <sz val="10"/>
      <color indexed="12"/>
      <name val="Arial Narrow"/>
      <family val="2"/>
    </font>
    <font>
      <sz val="10"/>
      <color indexed="12"/>
      <name val="Arial Narrow"/>
      <family val="2"/>
    </font>
    <font>
      <b/>
      <sz val="10"/>
      <color indexed="16"/>
      <name val="Arial Narrow"/>
      <family val="2"/>
    </font>
    <font>
      <b/>
      <sz val="10"/>
      <color indexed="63"/>
      <name val="Arial Narrow"/>
      <family val="2"/>
    </font>
    <font>
      <sz val="10"/>
      <color indexed="17"/>
      <name val="Arial Narrow"/>
      <family val="2"/>
    </font>
    <font>
      <sz val="9"/>
      <name val="Arial Narrow"/>
      <family val="2"/>
    </font>
    <font>
      <b/>
      <sz val="10"/>
      <color indexed="9"/>
      <name val="Arial Narrow"/>
      <family val="2"/>
    </font>
    <font>
      <b/>
      <sz val="1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indexed="16"/>
      <name val="Arial"/>
      <family val="2"/>
    </font>
    <font>
      <sz val="10"/>
      <color indexed="9"/>
      <name val="Arial"/>
      <family val="2"/>
    </font>
    <font>
      <sz val="10"/>
      <color indexed="18"/>
      <name val="Arial Narrow"/>
      <family val="2"/>
    </font>
    <font>
      <sz val="12"/>
      <color indexed="9"/>
      <name val="Arial Narrow"/>
      <family val="2"/>
    </font>
    <font>
      <b/>
      <sz val="12"/>
      <color indexed="9"/>
      <name val="Arial Narrow"/>
      <family val="2"/>
    </font>
    <font>
      <b/>
      <sz val="12"/>
      <color indexed="10"/>
      <name val="Arial"/>
      <family val="2"/>
    </font>
    <font>
      <b/>
      <sz val="10"/>
      <color indexed="8"/>
      <name val="Arial Narrow"/>
      <family val="2"/>
    </font>
    <font>
      <sz val="10"/>
      <color indexed="9"/>
      <name val="Calibri"/>
      <family val="2"/>
    </font>
    <font>
      <b/>
      <sz val="10"/>
      <color indexed="9"/>
      <name val="Calibri"/>
      <family val="2"/>
    </font>
    <font>
      <sz val="10"/>
      <color indexed="8"/>
      <name val="Arial Narrow"/>
      <family val="2"/>
    </font>
    <font>
      <b/>
      <sz val="10"/>
      <color indexed="9"/>
      <name val="Arial Narrow"/>
      <family val="2"/>
    </font>
    <font>
      <sz val="10"/>
      <color indexed="23"/>
      <name val="Arial"/>
      <family val="2"/>
    </font>
    <font>
      <sz val="10"/>
      <color indexed="16"/>
      <name val="Arial"/>
      <family val="2"/>
    </font>
    <font>
      <sz val="11"/>
      <color indexed="8"/>
      <name val="Calibri"/>
      <family val="2"/>
    </font>
    <font>
      <sz val="8"/>
      <color indexed="9"/>
      <name val="Arial Narrow"/>
      <family val="2"/>
    </font>
    <font>
      <b/>
      <sz val="10"/>
      <color indexed="28"/>
      <name val="Arial Narrow"/>
      <family val="2"/>
    </font>
    <font>
      <b/>
      <sz val="10"/>
      <color indexed="28"/>
      <name val="Arial"/>
      <family val="2"/>
    </font>
    <font>
      <b/>
      <sz val="9"/>
      <color indexed="9"/>
      <name val="Arial Narrow"/>
      <family val="2"/>
    </font>
    <font>
      <b/>
      <sz val="8"/>
      <color indexed="9"/>
      <name val="Arial Narrow"/>
      <family val="2"/>
    </font>
    <font>
      <sz val="8"/>
      <color indexed="9"/>
      <name val="Agency FB"/>
      <family val="2"/>
    </font>
    <font>
      <sz val="10"/>
      <name val="Agency FB"/>
      <family val="2"/>
    </font>
    <font>
      <sz val="10"/>
      <color indexed="10"/>
      <name val="Agency FB"/>
      <family val="2"/>
    </font>
    <font>
      <sz val="10"/>
      <color indexed="9"/>
      <name val="Agency FB"/>
      <family val="2"/>
    </font>
    <font>
      <sz val="12"/>
      <color indexed="9"/>
      <name val="Arial"/>
      <family val="2"/>
    </font>
    <font>
      <sz val="10"/>
      <color indexed="60"/>
      <name val="Arial Narrow"/>
      <family val="2"/>
    </font>
    <font>
      <sz val="9"/>
      <color indexed="9"/>
      <name val="Arial Narrow"/>
      <family val="2"/>
    </font>
    <font>
      <b/>
      <sz val="10"/>
      <color indexed="10"/>
      <name val="Arial Narrow"/>
      <family val="2"/>
    </font>
    <font>
      <sz val="12"/>
      <color indexed="9"/>
      <name val="Arial Narrow"/>
      <family val="2"/>
    </font>
    <font>
      <sz val="12"/>
      <color indexed="8"/>
      <name val="Times New Roman"/>
      <family val="1"/>
    </font>
    <font>
      <b/>
      <sz val="10"/>
      <color indexed="28"/>
      <name val="Arial Narrow"/>
      <family val="2"/>
    </font>
    <font>
      <b/>
      <sz val="10"/>
      <color indexed="12"/>
      <name val="Arial Narrow"/>
      <family val="2"/>
    </font>
    <font>
      <b/>
      <sz val="10"/>
      <color indexed="17"/>
      <name val="Arial Narrow"/>
      <family val="2"/>
    </font>
    <font>
      <b/>
      <sz val="10"/>
      <color indexed="58"/>
      <name val="Arial Narrow"/>
      <family val="2"/>
    </font>
    <font>
      <b/>
      <sz val="8"/>
      <color indexed="8"/>
      <name val="Arial Narrow"/>
      <family val="2"/>
    </font>
    <font>
      <sz val="10"/>
      <color indexed="47"/>
      <name val="Arial Narrow"/>
      <family val="2"/>
    </font>
    <font>
      <sz val="10"/>
      <color indexed="18"/>
      <name val="Arial Narrow"/>
      <family val="2"/>
    </font>
    <font>
      <sz val="12"/>
      <color indexed="18"/>
      <name val="Arial Narrow"/>
      <family val="2"/>
    </font>
    <font>
      <i/>
      <sz val="10"/>
      <color indexed="12"/>
      <name val="Arial Narrow"/>
      <family val="2"/>
    </font>
    <font>
      <sz val="8"/>
      <name val="Arial"/>
      <family val="2"/>
    </font>
    <font>
      <i/>
      <sz val="10"/>
      <name val="Arial Narrow"/>
      <family val="2"/>
    </font>
    <font>
      <u/>
      <sz val="10"/>
      <name val="Arial Narrow"/>
      <family val="2"/>
    </font>
    <font>
      <i/>
      <sz val="12"/>
      <color indexed="9"/>
      <name val="Arial Narrow"/>
      <family val="2"/>
    </font>
    <font>
      <b/>
      <sz val="8"/>
      <color indexed="17"/>
      <name val="Arial Narrow"/>
      <family val="2"/>
    </font>
    <font>
      <b/>
      <sz val="8"/>
      <color indexed="18"/>
      <name val="Agency FB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2"/>
      <name val="Arial Narrow"/>
      <family val="2"/>
    </font>
    <font>
      <i/>
      <sz val="12"/>
      <name val="Arial Narrow"/>
      <family val="2"/>
    </font>
    <font>
      <b/>
      <sz val="8"/>
      <color indexed="9"/>
      <name val="Arial"/>
      <family val="2"/>
    </font>
    <font>
      <sz val="8"/>
      <color indexed="8"/>
      <name val="Arial Narrow"/>
      <family val="2"/>
    </font>
    <font>
      <sz val="11"/>
      <name val="Calibri"/>
      <family val="2"/>
    </font>
    <font>
      <sz val="10"/>
      <color indexed="9"/>
      <name val="Arial Narrow"/>
      <family val="2"/>
    </font>
    <font>
      <i/>
      <sz val="12"/>
      <color indexed="9"/>
      <name val="Arial Narrow"/>
      <family val="2"/>
    </font>
    <font>
      <b/>
      <sz val="10"/>
      <color indexed="9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 Narrow"/>
      <family val="2"/>
    </font>
    <font>
      <sz val="12"/>
      <color indexed="55"/>
      <name val="Arial Narrow"/>
      <family val="2"/>
    </font>
    <font>
      <b/>
      <sz val="10"/>
      <color indexed="55"/>
      <name val="Arial Narrow"/>
      <family val="2"/>
    </font>
    <font>
      <b/>
      <sz val="9"/>
      <color indexed="55"/>
      <name val="Arial Narrow"/>
      <family val="2"/>
    </font>
    <font>
      <sz val="10"/>
      <color indexed="22"/>
      <name val="Arial Narrow"/>
      <family val="2"/>
    </font>
    <font>
      <sz val="12"/>
      <color indexed="10"/>
      <name val="Times New Roman"/>
      <family val="1"/>
    </font>
    <font>
      <b/>
      <sz val="10"/>
      <color indexed="60"/>
      <name val="Arial Narrow"/>
      <family val="2"/>
    </font>
    <font>
      <sz val="10"/>
      <color indexed="47"/>
      <name val="Arial Narrow"/>
      <family val="2"/>
    </font>
    <font>
      <sz val="10"/>
      <color indexed="23"/>
      <name val="Arial Narrow"/>
      <family val="2"/>
    </font>
    <font>
      <sz val="12"/>
      <color indexed="45"/>
      <name val="Arial Narrow"/>
      <family val="2"/>
    </font>
    <font>
      <sz val="10"/>
      <color indexed="8"/>
      <name val="Arial Narrow"/>
      <family val="2"/>
    </font>
    <font>
      <b/>
      <sz val="10"/>
      <color indexed="56"/>
      <name val="Arial"/>
      <family val="2"/>
    </font>
    <font>
      <b/>
      <sz val="12"/>
      <color indexed="9"/>
      <name val="Arial Narrow"/>
      <family val="2"/>
    </font>
    <font>
      <sz val="10"/>
      <color indexed="48"/>
      <name val="Arial Narrow"/>
      <family val="2"/>
    </font>
    <font>
      <b/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47"/>
      <name val="Arial Narrow"/>
      <family val="2"/>
    </font>
    <font>
      <b/>
      <sz val="10"/>
      <color indexed="12"/>
      <name val="Arial Narrow"/>
      <family val="2"/>
    </font>
    <font>
      <sz val="10"/>
      <color indexed="30"/>
      <name val="Arial Narrow"/>
      <family val="2"/>
    </font>
    <font>
      <b/>
      <sz val="10"/>
      <color indexed="47"/>
      <name val="Arial Narrow"/>
      <family val="2"/>
    </font>
    <font>
      <sz val="12"/>
      <color indexed="8"/>
      <name val="Arial Narrow"/>
      <family val="2"/>
    </font>
    <font>
      <sz val="12"/>
      <color indexed="9"/>
      <name val="Arial Narrow"/>
      <family val="2"/>
    </font>
    <font>
      <sz val="10"/>
      <color indexed="44"/>
      <name val="Arial Narrow"/>
      <family val="2"/>
    </font>
    <font>
      <b/>
      <sz val="10"/>
      <color indexed="30"/>
      <name val="Arial Narrow"/>
      <family val="2"/>
    </font>
    <font>
      <b/>
      <sz val="10"/>
      <color indexed="47"/>
      <name val="Arial Narrow"/>
      <family val="2"/>
    </font>
    <font>
      <sz val="10"/>
      <color indexed="60"/>
      <name val="Arial Narrow"/>
      <family val="2"/>
    </font>
    <font>
      <b/>
      <i/>
      <sz val="10"/>
      <color indexed="8"/>
      <name val="Arial Narrow"/>
      <family val="2"/>
    </font>
    <font>
      <b/>
      <sz val="11"/>
      <color indexed="8"/>
      <name val="Arial Narrow"/>
      <family val="2"/>
    </font>
    <font>
      <b/>
      <sz val="10"/>
      <color indexed="47"/>
      <name val="Arial"/>
      <family val="2"/>
    </font>
    <font>
      <sz val="10"/>
      <color indexed="63"/>
      <name val="Arial"/>
      <family val="2"/>
    </font>
    <font>
      <sz val="8"/>
      <color indexed="9"/>
      <name val="Arial"/>
      <family val="2"/>
    </font>
    <font>
      <sz val="11"/>
      <color indexed="9"/>
      <name val="Calibri"/>
      <family val="2"/>
    </font>
    <font>
      <sz val="10"/>
      <color indexed="55"/>
      <name val="Arial"/>
      <family val="2"/>
    </font>
    <font>
      <sz val="10"/>
      <color indexed="63"/>
      <name val="Arial"/>
      <family val="2"/>
    </font>
    <font>
      <sz val="10"/>
      <color indexed="63"/>
      <name val="Arial Narrow"/>
      <family val="2"/>
    </font>
    <font>
      <b/>
      <sz val="10"/>
      <color indexed="63"/>
      <name val="Arial"/>
      <family val="2"/>
    </font>
    <font>
      <sz val="8"/>
      <color indexed="63"/>
      <name val="Arial"/>
      <family val="2"/>
    </font>
    <font>
      <b/>
      <sz val="10"/>
      <color indexed="9"/>
      <name val="Arial Narrow"/>
      <family val="2"/>
    </font>
    <font>
      <sz val="11"/>
      <color theme="1"/>
      <name val="Calibri"/>
      <family val="2"/>
      <scheme val="minor"/>
    </font>
    <font>
      <sz val="10"/>
      <color rgb="FFFFCC99"/>
      <name val="Arial Narrow"/>
      <family val="2"/>
    </font>
    <font>
      <b/>
      <sz val="10"/>
      <color rgb="FFCC3300"/>
      <name val="Arial Narrow"/>
      <family val="2"/>
    </font>
    <font>
      <sz val="10"/>
      <color rgb="FFFF0000"/>
      <name val="Arial Narrow"/>
      <family val="2"/>
    </font>
    <font>
      <sz val="10"/>
      <color theme="1"/>
      <name val="Arial Narrow"/>
      <family val="2"/>
    </font>
    <font>
      <b/>
      <sz val="10"/>
      <color rgb="FF000066"/>
      <name val="Arial"/>
      <family val="2"/>
    </font>
    <font>
      <sz val="10"/>
      <color rgb="FF000066"/>
      <name val="Arial Narrow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 Narrow"/>
      <family val="2"/>
    </font>
    <font>
      <b/>
      <sz val="10"/>
      <color theme="1"/>
      <name val="Arial Narrow"/>
      <family val="2"/>
    </font>
    <font>
      <b/>
      <sz val="12"/>
      <color rgb="FF000066"/>
      <name val="Arial Narrow"/>
      <family val="2"/>
    </font>
    <font>
      <sz val="10"/>
      <color indexed="44"/>
      <name val="Agency FB"/>
      <family val="2"/>
    </font>
    <font>
      <b/>
      <sz val="12"/>
      <color theme="0"/>
      <name val="Arial Narrow"/>
      <family val="2"/>
    </font>
    <font>
      <b/>
      <sz val="12"/>
      <color theme="0"/>
      <name val="Arial"/>
      <family val="2"/>
    </font>
    <font>
      <sz val="14"/>
      <color theme="0"/>
      <name val="Arial"/>
      <family val="2"/>
    </font>
    <font>
      <sz val="14"/>
      <color theme="0"/>
      <name val="Arial Narrow"/>
      <family val="2"/>
    </font>
    <font>
      <b/>
      <sz val="12"/>
      <color indexed="8"/>
      <name val="Arial Narrow"/>
      <family val="2"/>
    </font>
    <font>
      <sz val="10"/>
      <color rgb="FF008000"/>
      <name val="Arial Narrow"/>
      <family val="2"/>
    </font>
    <font>
      <b/>
      <sz val="12"/>
      <color theme="3" tint="-0.249977111117893"/>
      <name val="Arial Narrow"/>
      <family val="2"/>
    </font>
    <font>
      <b/>
      <sz val="12"/>
      <color rgb="FFC00000"/>
      <name val="Arial Narrow"/>
      <family val="2"/>
    </font>
    <font>
      <sz val="11"/>
      <color theme="1"/>
      <name val="Arial Narrow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C00000"/>
      <name val="Arial"/>
      <family val="2"/>
    </font>
    <font>
      <b/>
      <sz val="18"/>
      <color theme="3" tint="-0.249977111117893"/>
      <name val="Arial Narrow"/>
      <family val="2"/>
    </font>
    <font>
      <sz val="10"/>
      <color rgb="FF99CCFF"/>
      <name val="Arial"/>
      <family val="2"/>
    </font>
    <font>
      <sz val="10"/>
      <color rgb="FF99CCFF"/>
      <name val="Arial Narrow"/>
      <family val="2"/>
    </font>
    <font>
      <sz val="9"/>
      <color rgb="FF99CCFF"/>
      <name val="Arial Narrow"/>
      <family val="2"/>
    </font>
    <font>
      <sz val="10"/>
      <color rgb="FFFFCCFF"/>
      <name val="Arial Narrow"/>
      <family val="2"/>
    </font>
    <font>
      <sz val="10"/>
      <color rgb="FFFFCCFF"/>
      <name val="Arial"/>
      <family val="2"/>
    </font>
    <font>
      <sz val="10"/>
      <color indexed="9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 tint="-0.249977111117893"/>
      <name val="Arial"/>
      <family val="2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theme="3" tint="-0.249977111117893"/>
      <name val="Arial"/>
      <family val="2"/>
    </font>
    <font>
      <b/>
      <sz val="10"/>
      <color theme="3" tint="-0.249977111117893"/>
      <name val="Arial Narrow"/>
      <family val="2"/>
    </font>
    <font>
      <sz val="10"/>
      <color theme="0" tint="-0.499984740745262"/>
      <name val="Arial Narrow"/>
      <family val="2"/>
    </font>
    <font>
      <sz val="10"/>
      <color theme="0" tint="-0.499984740745262"/>
      <name val="Arial"/>
      <family val="2"/>
    </font>
    <font>
      <b/>
      <sz val="11"/>
      <color indexed="9"/>
      <name val="Arial Narrow"/>
      <family val="2"/>
    </font>
    <font>
      <b/>
      <sz val="11"/>
      <name val="Calibri"/>
      <family val="2"/>
    </font>
    <font>
      <u/>
      <sz val="7.5"/>
      <color theme="0"/>
      <name val="Arial"/>
      <family val="2"/>
    </font>
    <font>
      <sz val="10"/>
      <color rgb="FFFFFF66"/>
      <name val="Arial Narrow"/>
      <family val="2"/>
    </font>
    <font>
      <sz val="11"/>
      <color rgb="FFC00000"/>
      <name val="Arial"/>
      <family val="2"/>
    </font>
    <font>
      <sz val="12"/>
      <color rgb="FFC00000"/>
      <name val="Arial"/>
      <family val="2"/>
    </font>
    <font>
      <sz val="10"/>
      <color rgb="FF008000"/>
      <name val="Arial"/>
      <family val="2"/>
    </font>
    <font>
      <b/>
      <sz val="10"/>
      <color theme="0"/>
      <name val="Arial Narrow"/>
      <family val="2"/>
    </font>
    <font>
      <sz val="10"/>
      <color indexed="18"/>
      <name val="Agency FB"/>
      <family val="2"/>
    </font>
    <font>
      <strike/>
      <sz val="10"/>
      <color rgb="FFFF0000"/>
      <name val="Arial Narrow"/>
      <family val="2"/>
    </font>
    <font>
      <strike/>
      <sz val="10"/>
      <name val="Arial Narrow"/>
      <family val="2"/>
    </font>
    <font>
      <sz val="12"/>
      <color theme="0"/>
      <name val="Arial Narrow"/>
      <family val="2"/>
    </font>
    <font>
      <i/>
      <sz val="12"/>
      <color theme="0"/>
      <name val="Arial Narrow"/>
      <family val="2"/>
    </font>
    <font>
      <b/>
      <sz val="12"/>
      <color theme="0" tint="-4.9989318521683403E-2"/>
      <name val="Arial Narrow"/>
      <family val="2"/>
    </font>
    <font>
      <u/>
      <sz val="12"/>
      <color theme="0" tint="-4.9989318521683403E-2"/>
      <name val="Arial Narrow"/>
      <family val="2"/>
    </font>
    <font>
      <sz val="12"/>
      <color theme="0" tint="-4.9989318521683403E-2"/>
      <name val="Arial Narrow"/>
      <family val="2"/>
    </font>
    <font>
      <u/>
      <sz val="12"/>
      <name val="Arial Narrow"/>
      <family val="2"/>
    </font>
    <font>
      <sz val="10"/>
      <color indexed="58"/>
      <name val="Arial Narrow"/>
      <family val="2"/>
    </font>
    <font>
      <b/>
      <sz val="14"/>
      <color rgb="FFC00000"/>
      <name val="Arial Narrow"/>
      <family val="2"/>
    </font>
    <font>
      <b/>
      <sz val="14"/>
      <color rgb="FFC00000"/>
      <name val="Arial"/>
      <family val="2"/>
    </font>
    <font>
      <sz val="11"/>
      <color rgb="FF008000"/>
      <name val="Arial"/>
      <family val="2"/>
    </font>
    <font>
      <sz val="10"/>
      <color rgb="FF0000FF"/>
      <name val="Arial Narrow"/>
      <family val="2"/>
    </font>
    <font>
      <b/>
      <sz val="10"/>
      <color rgb="FF0000FF"/>
      <name val="Arial Narrow"/>
      <family val="2"/>
    </font>
    <font>
      <b/>
      <sz val="10"/>
      <color rgb="FF008000"/>
      <name val="Arial Narrow"/>
      <family val="2"/>
    </font>
    <font>
      <sz val="9"/>
      <color theme="5" tint="0.39997558519241921"/>
      <name val="Arial Narrow"/>
      <family val="2"/>
    </font>
    <font>
      <sz val="8"/>
      <color theme="0" tint="-0.34998626667073579"/>
      <name val="Arial Narrow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sz val="11"/>
      <color rgb="FF2A7439"/>
      <name val="Arial"/>
      <family val="2"/>
    </font>
    <font>
      <b/>
      <sz val="10"/>
      <color rgb="FFFF0000"/>
      <name val="Arial"/>
      <family val="2"/>
    </font>
    <font>
      <sz val="10"/>
      <color theme="9" tint="-0.249977111117893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3" tint="-0.499984740745262"/>
      <name val="Arial"/>
      <family val="2"/>
    </font>
    <font>
      <u/>
      <sz val="10"/>
      <color indexed="12"/>
      <name val="Arial"/>
      <family val="2"/>
    </font>
    <font>
      <sz val="11"/>
      <color rgb="FF1F497D"/>
      <name val="Calibri"/>
      <family val="2"/>
    </font>
    <font>
      <sz val="10"/>
      <color rgb="FF3366FF"/>
      <name val="Arial Narrow"/>
      <family val="2"/>
    </font>
    <font>
      <i/>
      <sz val="10"/>
      <color rgb="FF000066"/>
      <name val="Arial Narrow"/>
      <family val="2"/>
    </font>
    <font>
      <sz val="10"/>
      <color rgb="FFFFFF99"/>
      <name val="Arial Narrow"/>
      <family val="2"/>
    </font>
    <font>
      <sz val="7.5"/>
      <color indexed="12"/>
      <name val="Arial"/>
      <family val="2"/>
    </font>
    <font>
      <sz val="10"/>
      <color rgb="FF000066"/>
      <name val="Arial"/>
      <family val="2"/>
    </font>
    <font>
      <sz val="10"/>
      <color theme="9" tint="-0.499984740745262"/>
      <name val="Arial Narrow"/>
      <family val="2"/>
    </font>
    <font>
      <sz val="10"/>
      <color rgb="FFC00000"/>
      <name val="Arial Narrow"/>
      <family val="2"/>
    </font>
    <font>
      <sz val="10"/>
      <color rgb="FF333333"/>
      <name val="Arial Narrow"/>
      <family val="2"/>
    </font>
    <font>
      <b/>
      <sz val="9"/>
      <color theme="0"/>
      <name val="Arial Narrow"/>
      <family val="2"/>
    </font>
    <font>
      <sz val="12"/>
      <color rgb="FFFF0000"/>
      <name val="Arial"/>
      <family val="2"/>
    </font>
    <font>
      <sz val="12"/>
      <color theme="6" tint="-0.499984740745262"/>
      <name val="Arial"/>
      <family val="2"/>
    </font>
    <font>
      <b/>
      <i/>
      <u/>
      <sz val="10"/>
      <color indexed="12"/>
      <name val="Arial"/>
      <family val="2"/>
    </font>
    <font>
      <i/>
      <sz val="10"/>
      <color rgb="FFC00000"/>
      <name val="Arial Narrow"/>
      <family val="2"/>
    </font>
    <font>
      <sz val="10"/>
      <color theme="0" tint="-0.24994659260841701"/>
      <name val="Arial Narrow"/>
      <family val="2"/>
    </font>
    <font>
      <sz val="8"/>
      <color theme="1" tint="0.34998626667073579"/>
      <name val="Arial"/>
      <family val="2"/>
    </font>
    <font>
      <b/>
      <sz val="10"/>
      <color rgb="FFFF0000"/>
      <name val="Arial Narrow"/>
      <family val="2"/>
    </font>
    <font>
      <b/>
      <sz val="8"/>
      <color theme="0" tint="-0.499984740745262"/>
      <name val="Arial Narrow"/>
      <family val="2"/>
    </font>
    <font>
      <b/>
      <sz val="10"/>
      <color theme="0" tint="-0.499984740745262"/>
      <name val="Arial Narrow"/>
      <family val="2"/>
    </font>
    <font>
      <b/>
      <u/>
      <sz val="10"/>
      <name val="Arial"/>
      <family val="2"/>
    </font>
    <font>
      <b/>
      <sz val="10"/>
      <color rgb="FF7030A0"/>
      <name val="Arial Narrow"/>
      <family val="2"/>
    </font>
    <font>
      <b/>
      <sz val="10"/>
      <color rgb="FF7030A0"/>
      <name val="Arial"/>
      <family val="2"/>
    </font>
    <font>
      <sz val="10"/>
      <color rgb="FF002060"/>
      <name val="Arial"/>
      <family val="2"/>
    </font>
    <font>
      <sz val="10"/>
      <color theme="8" tint="-0.499984740745262"/>
      <name val="Arial"/>
      <family val="2"/>
    </font>
    <font>
      <sz val="9"/>
      <color theme="0"/>
      <name val="Agency FB"/>
      <family val="2"/>
    </font>
    <font>
      <sz val="10"/>
      <color rgb="FFFF0000"/>
      <name val="Arial"/>
      <family val="2"/>
    </font>
    <font>
      <b/>
      <sz val="10"/>
      <color theme="1" tint="4.9989318521683403E-2"/>
      <name val="Arial Narrow"/>
      <family val="2"/>
    </font>
    <font>
      <sz val="10"/>
      <color theme="1" tint="4.9989318521683403E-2"/>
      <name val="Arial Narrow"/>
      <family val="2"/>
    </font>
    <font>
      <sz val="8"/>
      <color theme="1" tint="4.9989318521683403E-2"/>
      <name val="Arial Narrow"/>
      <family val="2"/>
    </font>
    <font>
      <i/>
      <sz val="11"/>
      <name val="Arial Narrow"/>
      <family val="2"/>
    </font>
    <font>
      <i/>
      <sz val="9"/>
      <name val="Arial Narrow"/>
      <family val="2"/>
    </font>
    <font>
      <i/>
      <sz val="10"/>
      <color rgb="FFFF000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9"/>
        <bgColor indexed="64"/>
      </patternFill>
    </fill>
    <fill>
      <patternFill patternType="lightGray">
        <fgColor indexed="22"/>
        <bgColor indexed="27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6"/>
        <bgColor indexed="64"/>
      </patternFill>
    </fill>
    <fill>
      <patternFill patternType="darkUp">
        <fgColor indexed="22"/>
        <bgColor indexed="42"/>
      </patternFill>
    </fill>
    <fill>
      <patternFill patternType="solid">
        <fgColor indexed="6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22"/>
      </patternFill>
    </fill>
    <fill>
      <patternFill patternType="solid">
        <fgColor rgb="FF333333"/>
        <bgColor indexed="64"/>
      </patternFill>
    </fill>
    <fill>
      <patternFill patternType="solid">
        <fgColor rgb="FFCCCCFF"/>
        <bgColor indexed="64"/>
      </patternFill>
    </fill>
    <fill>
      <patternFill patternType="lightGray">
        <fgColor rgb="FF99CCFF"/>
        <bgColor rgb="FFFFCC99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fgColor theme="3" tint="0.59996337778862885"/>
        <bgColor rgb="FFFFCC99"/>
      </patternFill>
    </fill>
    <fill>
      <patternFill patternType="lightGray">
        <fgColor theme="3" tint="0.59996337778862885"/>
        <bgColor rgb="FFFFCC99"/>
      </patternFill>
    </fill>
    <fill>
      <patternFill patternType="solid">
        <fgColor rgb="FF99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darkDown">
        <fgColor indexed="47"/>
        <bgColor rgb="FFFFCC99"/>
      </patternFill>
    </fill>
    <fill>
      <patternFill patternType="lightGray">
        <fgColor theme="0"/>
        <bgColor rgb="FFFFCC99"/>
      </patternFill>
    </fill>
    <fill>
      <patternFill patternType="solid">
        <fgColor rgb="FFFFCC99"/>
        <bgColor auto="1"/>
      </patternFill>
    </fill>
    <fill>
      <patternFill patternType="darkGrid">
        <fgColor theme="3" tint="0.79998168889431442"/>
        <bgColor indexed="43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66FF"/>
        <bgColor indexed="64"/>
      </patternFill>
    </fill>
    <fill>
      <patternFill patternType="lightHorizontal">
        <fgColor rgb="FF99CCFF"/>
        <bgColor rgb="FFFFFF00"/>
      </patternFill>
    </fill>
    <fill>
      <patternFill patternType="solid">
        <fgColor rgb="FFF2DC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4" tint="0.39994506668294322"/>
        <bgColor indexed="64"/>
      </patternFill>
    </fill>
  </fills>
  <borders count="11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  <border>
      <left style="medium">
        <color indexed="55"/>
      </left>
      <right style="medium">
        <color indexed="55"/>
      </right>
      <top/>
      <bottom/>
      <diagonal/>
    </border>
    <border>
      <left/>
      <right/>
      <top/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 style="medium">
        <color indexed="55"/>
      </left>
      <right style="medium">
        <color indexed="55"/>
      </right>
      <top style="thin">
        <color indexed="18"/>
      </top>
      <bottom/>
      <diagonal/>
    </border>
    <border>
      <left/>
      <right style="medium">
        <color indexed="22"/>
      </right>
      <top style="thin">
        <color indexed="18"/>
      </top>
      <bottom/>
      <diagonal/>
    </border>
    <border>
      <left style="medium">
        <color indexed="22"/>
      </left>
      <right style="medium">
        <color indexed="22"/>
      </right>
      <top style="thin">
        <color indexed="18"/>
      </top>
      <bottom/>
      <diagonal/>
    </border>
    <border>
      <left style="medium">
        <color indexed="22"/>
      </left>
      <right/>
      <top style="thin">
        <color indexed="18"/>
      </top>
      <bottom/>
      <diagonal/>
    </border>
    <border>
      <left style="medium">
        <color indexed="55"/>
      </left>
      <right/>
      <top style="thin">
        <color indexed="18"/>
      </top>
      <bottom/>
      <diagonal/>
    </border>
    <border>
      <left style="medium">
        <color indexed="55"/>
      </left>
      <right/>
      <top/>
      <bottom/>
      <diagonal/>
    </border>
    <border>
      <left style="thin">
        <color auto="1"/>
      </left>
      <right/>
      <top style="thin">
        <color indexed="18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indexed="12"/>
      </bottom>
      <diagonal/>
    </border>
    <border>
      <left style="thin">
        <color indexed="18"/>
      </left>
      <right/>
      <top style="thin">
        <color auto="1"/>
      </top>
      <bottom/>
      <diagonal/>
    </border>
    <border>
      <left style="thin">
        <color indexed="18"/>
      </left>
      <right/>
      <top style="thin">
        <color auto="1"/>
      </top>
      <bottom style="thin">
        <color indexed="18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indexed="12"/>
      </right>
      <top/>
      <bottom/>
      <diagonal/>
    </border>
    <border>
      <left style="medium">
        <color indexed="12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18"/>
      </left>
      <right/>
      <top/>
      <bottom/>
      <diagonal/>
    </border>
    <border>
      <left style="thin">
        <color indexed="18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12"/>
      </right>
      <top/>
      <bottom style="thin">
        <color auto="1"/>
      </bottom>
      <diagonal/>
    </border>
    <border>
      <left style="thin">
        <color auto="1"/>
      </left>
      <right style="medium">
        <color indexed="12"/>
      </right>
      <top style="thin">
        <color auto="1"/>
      </top>
      <bottom/>
      <diagonal/>
    </border>
    <border>
      <left style="medium">
        <color indexed="12"/>
      </left>
      <right style="medium">
        <color indexed="12"/>
      </right>
      <top style="thin">
        <color auto="1"/>
      </top>
      <bottom/>
      <diagonal/>
    </border>
    <border>
      <left style="medium">
        <color indexed="12"/>
      </left>
      <right style="thin">
        <color auto="1"/>
      </right>
      <top style="thin">
        <color auto="1"/>
      </top>
      <bottom/>
      <diagonal/>
    </border>
    <border>
      <left style="medium">
        <color indexed="12"/>
      </left>
      <right style="medium">
        <color indexed="12"/>
      </right>
      <top/>
      <bottom style="thin">
        <color auto="1"/>
      </bottom>
      <diagonal/>
    </border>
    <border>
      <left style="medium">
        <color indexed="12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12"/>
      </right>
      <top style="thin">
        <color auto="1"/>
      </top>
      <bottom style="thin">
        <color auto="1"/>
      </bottom>
      <diagonal/>
    </border>
    <border>
      <left/>
      <right style="medium">
        <color indexed="12"/>
      </right>
      <top style="thin">
        <color auto="1"/>
      </top>
      <bottom style="thin">
        <color auto="1"/>
      </bottom>
      <diagonal/>
    </border>
    <border>
      <left style="medium">
        <color indexed="12"/>
      </left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23">
    <xf numFmtId="0" fontId="0" fillId="0" borderId="0"/>
    <xf numFmtId="166" fontId="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4" fillId="0" borderId="0"/>
    <xf numFmtId="0" fontId="4" fillId="0" borderId="0"/>
    <xf numFmtId="0" fontId="4" fillId="0" borderId="0"/>
    <xf numFmtId="0" fontId="141" fillId="0" borderId="0"/>
    <xf numFmtId="0" fontId="141" fillId="0" borderId="0"/>
    <xf numFmtId="0" fontId="4" fillId="0" borderId="0"/>
    <xf numFmtId="0" fontId="4" fillId="0" borderId="0"/>
    <xf numFmtId="0" fontId="11" fillId="0" borderId="0"/>
    <xf numFmtId="0" fontId="6" fillId="0" borderId="0"/>
    <xf numFmtId="0" fontId="6" fillId="0" borderId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166" fontId="4" fillId="0" borderId="0" applyFont="0" applyFill="0" applyBorder="0" applyAlignment="0" applyProtection="0"/>
  </cellStyleXfs>
  <cellXfs count="3426">
    <xf numFmtId="0" fontId="0" fillId="0" borderId="0" xfId="0"/>
    <xf numFmtId="0" fontId="9" fillId="0" borderId="0" xfId="10" applyFont="1" applyFill="1" applyBorder="1" applyAlignment="1" applyProtection="1"/>
    <xf numFmtId="4" fontId="9" fillId="0" borderId="0" xfId="10" applyNumberFormat="1" applyFont="1" applyFill="1" applyBorder="1" applyAlignment="1" applyProtection="1"/>
    <xf numFmtId="0" fontId="11" fillId="0" borderId="0" xfId="10" applyFont="1" applyFill="1" applyBorder="1" applyAlignment="1" applyProtection="1">
      <alignment horizontal="left"/>
    </xf>
    <xf numFmtId="168" fontId="11" fillId="0" borderId="0" xfId="10" applyNumberFormat="1" applyFont="1" applyFill="1" applyBorder="1" applyAlignment="1" applyProtection="1">
      <alignment horizontal="left"/>
    </xf>
    <xf numFmtId="169" fontId="5" fillId="0" borderId="0" xfId="10" applyNumberFormat="1" applyFont="1" applyFill="1" applyBorder="1" applyProtection="1"/>
    <xf numFmtId="169" fontId="9" fillId="3" borderId="1" xfId="10" applyNumberFormat="1" applyFont="1" applyFill="1" applyBorder="1" applyAlignment="1" applyProtection="1">
      <alignment horizontal="center"/>
    </xf>
    <xf numFmtId="169" fontId="9" fillId="3" borderId="2" xfId="10" applyNumberFormat="1" applyFont="1" applyFill="1" applyBorder="1" applyAlignment="1" applyProtection="1">
      <alignment horizontal="center"/>
    </xf>
    <xf numFmtId="169" fontId="9" fillId="3" borderId="3" xfId="10" applyNumberFormat="1" applyFont="1" applyFill="1" applyBorder="1" applyAlignment="1" applyProtection="1">
      <alignment horizontal="center"/>
    </xf>
    <xf numFmtId="0" fontId="6" fillId="0" borderId="0" xfId="13" applyFont="1" applyAlignment="1" applyProtection="1">
      <alignment horizontal="center"/>
    </xf>
    <xf numFmtId="0" fontId="19" fillId="0" borderId="0" xfId="13" applyFont="1" applyAlignment="1" applyProtection="1">
      <alignment horizontal="center"/>
    </xf>
    <xf numFmtId="0" fontId="15" fillId="0" borderId="0" xfId="13" applyFont="1" applyFill="1" applyProtection="1"/>
    <xf numFmtId="0" fontId="11" fillId="0" borderId="0" xfId="10" applyFont="1" applyProtection="1"/>
    <xf numFmtId="169" fontId="11" fillId="0" borderId="0" xfId="10" applyNumberFormat="1" applyFont="1" applyProtection="1"/>
    <xf numFmtId="0" fontId="11" fillId="0" borderId="0" xfId="10" applyFont="1" applyFill="1" applyBorder="1" applyProtection="1"/>
    <xf numFmtId="0" fontId="11" fillId="0" borderId="0" xfId="10" applyFont="1" applyFill="1" applyBorder="1" applyAlignment="1" applyProtection="1"/>
    <xf numFmtId="0" fontId="12" fillId="3" borderId="0" xfId="10" applyFont="1" applyFill="1" applyBorder="1" applyAlignment="1" applyProtection="1">
      <alignment horizontal="centerContinuous"/>
    </xf>
    <xf numFmtId="0" fontId="11" fillId="0" borderId="0" xfId="10" applyFont="1" applyBorder="1" applyProtection="1"/>
    <xf numFmtId="169" fontId="11" fillId="0" borderId="0" xfId="10" applyNumberFormat="1" applyFont="1" applyFill="1" applyBorder="1" applyProtection="1"/>
    <xf numFmtId="169" fontId="11" fillId="0" borderId="0" xfId="10" applyNumberFormat="1" applyFont="1" applyFill="1" applyProtection="1"/>
    <xf numFmtId="170" fontId="11" fillId="0" borderId="0" xfId="10" applyNumberFormat="1" applyFont="1" applyFill="1" applyBorder="1" applyAlignment="1" applyProtection="1">
      <alignment horizontal="left"/>
    </xf>
    <xf numFmtId="169" fontId="11" fillId="0" borderId="0" xfId="10" applyNumberFormat="1" applyFont="1" applyBorder="1" applyProtection="1"/>
    <xf numFmtId="3" fontId="18" fillId="3" borderId="0" xfId="10" applyNumberFormat="1" applyFont="1" applyFill="1" applyBorder="1" applyAlignment="1" applyProtection="1">
      <alignment horizontal="center"/>
    </xf>
    <xf numFmtId="3" fontId="19" fillId="0" borderId="0" xfId="10" applyNumberFormat="1" applyFont="1" applyFill="1" applyAlignment="1" applyProtection="1">
      <alignment horizontal="center"/>
    </xf>
    <xf numFmtId="3" fontId="19" fillId="0" borderId="0" xfId="10" applyNumberFormat="1" applyFont="1" applyAlignment="1" applyProtection="1">
      <alignment horizontal="center"/>
    </xf>
    <xf numFmtId="0" fontId="6" fillId="0" borderId="0" xfId="13" applyFont="1" applyProtection="1"/>
    <xf numFmtId="0" fontId="16" fillId="3" borderId="0" xfId="13" applyFont="1" applyFill="1" applyBorder="1" applyAlignment="1" applyProtection="1">
      <alignment horizontal="centerContinuous" vertical="center"/>
    </xf>
    <xf numFmtId="170" fontId="19" fillId="5" borderId="0" xfId="10" applyNumberFormat="1" applyFont="1" applyFill="1" applyBorder="1" applyAlignment="1" applyProtection="1">
      <alignment horizontal="center"/>
    </xf>
    <xf numFmtId="170" fontId="19" fillId="2" borderId="0" xfId="10" applyNumberFormat="1" applyFont="1" applyFill="1" applyBorder="1" applyAlignment="1" applyProtection="1">
      <alignment horizontal="center"/>
    </xf>
    <xf numFmtId="170" fontId="19" fillId="0" borderId="0" xfId="10" applyNumberFormat="1" applyFont="1" applyFill="1" applyBorder="1" applyAlignment="1" applyProtection="1">
      <alignment horizontal="center"/>
    </xf>
    <xf numFmtId="170" fontId="31" fillId="0" borderId="0" xfId="10" applyNumberFormat="1" applyFont="1" applyFill="1" applyBorder="1" applyAlignment="1" applyProtection="1">
      <alignment horizontal="center"/>
    </xf>
    <xf numFmtId="0" fontId="19" fillId="0" borderId="0" xfId="0" applyFont="1" applyProtection="1"/>
    <xf numFmtId="4" fontId="18" fillId="3" borderId="7" xfId="10" applyNumberFormat="1" applyFont="1" applyFill="1" applyBorder="1" applyAlignment="1" applyProtection="1">
      <alignment horizontal="center"/>
    </xf>
    <xf numFmtId="4" fontId="18" fillId="3" borderId="8" xfId="10" applyNumberFormat="1" applyFont="1" applyFill="1" applyBorder="1" applyAlignment="1" applyProtection="1">
      <alignment horizontal="center"/>
    </xf>
    <xf numFmtId="0" fontId="18" fillId="3" borderId="8" xfId="10" applyFont="1" applyFill="1" applyBorder="1" applyAlignment="1" applyProtection="1">
      <alignment horizontal="center"/>
    </xf>
    <xf numFmtId="0" fontId="18" fillId="3" borderId="7" xfId="10" applyFont="1" applyFill="1" applyBorder="1" applyAlignment="1" applyProtection="1">
      <alignment horizontal="center"/>
    </xf>
    <xf numFmtId="4" fontId="18" fillId="3" borderId="9" xfId="10" applyNumberFormat="1" applyFont="1" applyFill="1" applyBorder="1" applyAlignment="1" applyProtection="1">
      <alignment horizontal="center"/>
    </xf>
    <xf numFmtId="3" fontId="19" fillId="0" borderId="0" xfId="10" applyNumberFormat="1" applyFont="1" applyBorder="1" applyAlignment="1" applyProtection="1">
      <alignment horizontal="center"/>
    </xf>
    <xf numFmtId="0" fontId="18" fillId="3" borderId="1" xfId="0" applyFont="1" applyFill="1" applyBorder="1" applyAlignment="1" applyProtection="1">
      <alignment horizontal="center"/>
    </xf>
    <xf numFmtId="0" fontId="18" fillId="3" borderId="11" xfId="0" applyFont="1" applyFill="1" applyBorder="1" applyAlignment="1" applyProtection="1">
      <alignment horizontal="center"/>
    </xf>
    <xf numFmtId="167" fontId="18" fillId="3" borderId="12" xfId="10" applyNumberFormat="1" applyFont="1" applyFill="1" applyBorder="1" applyAlignment="1" applyProtection="1">
      <alignment horizontal="center"/>
    </xf>
    <xf numFmtId="2" fontId="18" fillId="3" borderId="12" xfId="10" applyNumberFormat="1" applyFont="1" applyFill="1" applyBorder="1" applyAlignment="1" applyProtection="1">
      <alignment horizontal="center"/>
    </xf>
    <xf numFmtId="168" fontId="18" fillId="0" borderId="13" xfId="10" applyNumberFormat="1" applyFont="1" applyFill="1" applyBorder="1" applyAlignment="1" applyProtection="1">
      <alignment horizontal="center"/>
      <protection locked="0"/>
    </xf>
    <xf numFmtId="3" fontId="18" fillId="3" borderId="12" xfId="10" applyNumberFormat="1" applyFont="1" applyFill="1" applyBorder="1" applyAlignment="1" applyProtection="1">
      <alignment horizontal="center"/>
    </xf>
    <xf numFmtId="2" fontId="18" fillId="3" borderId="14" xfId="10" applyNumberFormat="1" applyFont="1" applyFill="1" applyBorder="1" applyAlignment="1" applyProtection="1">
      <alignment horizontal="center"/>
    </xf>
    <xf numFmtId="3" fontId="18" fillId="0" borderId="13" xfId="10" applyNumberFormat="1" applyFont="1" applyFill="1" applyBorder="1" applyAlignment="1" applyProtection="1">
      <alignment horizontal="center"/>
      <protection locked="0"/>
    </xf>
    <xf numFmtId="167" fontId="18" fillId="0" borderId="5" xfId="0" applyNumberFormat="1" applyFont="1" applyFill="1" applyBorder="1" applyAlignment="1" applyProtection="1">
      <alignment horizontal="center"/>
      <protection locked="0"/>
    </xf>
    <xf numFmtId="167" fontId="18" fillId="3" borderId="15" xfId="0" applyNumberFormat="1" applyFont="1" applyFill="1" applyBorder="1" applyAlignment="1" applyProtection="1">
      <alignment horizontal="center"/>
    </xf>
    <xf numFmtId="167" fontId="18" fillId="0" borderId="11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Alignment="1" applyProtection="1">
      <alignment horizontal="center"/>
    </xf>
    <xf numFmtId="0" fontId="19" fillId="0" borderId="0" xfId="9" applyFont="1" applyBorder="1" applyAlignment="1" applyProtection="1">
      <alignment horizontal="center"/>
      <protection locked="0"/>
    </xf>
    <xf numFmtId="0" fontId="19" fillId="0" borderId="0" xfId="9" applyFont="1" applyBorder="1" applyAlignment="1" applyProtection="1">
      <alignment horizontal="center"/>
    </xf>
    <xf numFmtId="0" fontId="15" fillId="0" borderId="0" xfId="9" applyFont="1" applyBorder="1" applyAlignment="1" applyProtection="1">
      <alignment horizontal="center" vertical="top" wrapText="1"/>
    </xf>
    <xf numFmtId="0" fontId="15" fillId="0" borderId="0" xfId="10" applyFont="1" applyFill="1" applyBorder="1" applyAlignment="1" applyProtection="1">
      <alignment horizontal="center" vertical="top"/>
    </xf>
    <xf numFmtId="0" fontId="19" fillId="0" borderId="0" xfId="10" applyFont="1" applyBorder="1" applyAlignment="1" applyProtection="1">
      <alignment horizontal="center"/>
    </xf>
    <xf numFmtId="0" fontId="19" fillId="0" borderId="0" xfId="9" applyFont="1" applyBorder="1" applyAlignment="1" applyProtection="1">
      <alignment horizontal="center" vertical="top" wrapText="1"/>
    </xf>
    <xf numFmtId="9" fontId="14" fillId="0" borderId="0" xfId="14" applyFont="1" applyBorder="1" applyAlignment="1" applyProtection="1">
      <alignment horizontal="center"/>
    </xf>
    <xf numFmtId="9" fontId="11" fillId="0" borderId="0" xfId="14" applyFont="1" applyBorder="1" applyAlignment="1" applyProtection="1">
      <alignment horizontal="center"/>
    </xf>
    <xf numFmtId="0" fontId="16" fillId="4" borderId="0" xfId="13" applyFont="1" applyFill="1" applyBorder="1" applyAlignment="1" applyProtection="1">
      <alignment horizontal="centerContinuous"/>
    </xf>
    <xf numFmtId="0" fontId="18" fillId="4" borderId="0" xfId="10" applyFont="1" applyFill="1" applyBorder="1" applyAlignment="1" applyProtection="1">
      <alignment horizontal="centerContinuous"/>
    </xf>
    <xf numFmtId="170" fontId="19" fillId="7" borderId="0" xfId="10" applyNumberFormat="1" applyFont="1" applyFill="1" applyBorder="1" applyAlignment="1" applyProtection="1">
      <alignment horizontal="center"/>
    </xf>
    <xf numFmtId="183" fontId="5" fillId="2" borderId="0" xfId="14" applyNumberFormat="1" applyFont="1" applyFill="1" applyBorder="1" applyAlignment="1" applyProtection="1">
      <alignment horizontal="center"/>
    </xf>
    <xf numFmtId="0" fontId="5" fillId="9" borderId="0" xfId="10" applyFont="1" applyFill="1" applyBorder="1" applyAlignment="1" applyProtection="1">
      <alignment horizontal="center"/>
    </xf>
    <xf numFmtId="0" fontId="6" fillId="10" borderId="0" xfId="13" applyFont="1" applyFill="1" applyAlignment="1" applyProtection="1">
      <alignment horizontal="center"/>
    </xf>
    <xf numFmtId="181" fontId="6" fillId="0" borderId="16" xfId="13" applyNumberFormat="1" applyFont="1" applyBorder="1" applyAlignment="1" applyProtection="1">
      <alignment horizontal="center"/>
    </xf>
    <xf numFmtId="180" fontId="6" fillId="11" borderId="17" xfId="13" applyNumberFormat="1" applyFont="1" applyFill="1" applyBorder="1" applyProtection="1"/>
    <xf numFmtId="0" fontId="6" fillId="12" borderId="0" xfId="13" applyFont="1" applyFill="1" applyProtection="1"/>
    <xf numFmtId="180" fontId="6" fillId="11" borderId="18" xfId="13" applyNumberFormat="1" applyFont="1" applyFill="1" applyBorder="1" applyAlignment="1" applyProtection="1">
      <alignment horizontal="center"/>
    </xf>
    <xf numFmtId="170" fontId="19" fillId="13" borderId="0" xfId="10" applyNumberFormat="1" applyFont="1" applyFill="1" applyBorder="1" applyAlignment="1" applyProtection="1">
      <alignment horizontal="center"/>
    </xf>
    <xf numFmtId="3" fontId="18" fillId="3" borderId="0" xfId="10" applyNumberFormat="1" applyFont="1" applyFill="1" applyBorder="1" applyAlignment="1" applyProtection="1">
      <alignment horizontal="centerContinuous"/>
    </xf>
    <xf numFmtId="188" fontId="19" fillId="4" borderId="0" xfId="10" applyNumberFormat="1" applyFont="1" applyFill="1" applyBorder="1" applyAlignment="1" applyProtection="1">
      <alignment horizontal="center"/>
    </xf>
    <xf numFmtId="175" fontId="19" fillId="4" borderId="0" xfId="10" applyNumberFormat="1" applyFont="1" applyFill="1" applyBorder="1" applyAlignment="1" applyProtection="1">
      <alignment horizontal="center"/>
    </xf>
    <xf numFmtId="169" fontId="9" fillId="3" borderId="7" xfId="10" applyNumberFormat="1" applyFont="1" applyFill="1" applyBorder="1" applyAlignment="1" applyProtection="1">
      <alignment horizontal="centerContinuous"/>
    </xf>
    <xf numFmtId="169" fontId="9" fillId="3" borderId="6" xfId="10" applyNumberFormat="1" applyFont="1" applyFill="1" applyBorder="1" applyAlignment="1" applyProtection="1">
      <alignment horizontal="centerContinuous"/>
    </xf>
    <xf numFmtId="0" fontId="18" fillId="3" borderId="0" xfId="10" applyFont="1" applyFill="1" applyBorder="1" applyAlignment="1" applyProtection="1">
      <alignment horizontal="centerContinuous"/>
    </xf>
    <xf numFmtId="0" fontId="19" fillId="3" borderId="0" xfId="13" applyFont="1" applyFill="1" applyBorder="1" applyAlignment="1" applyProtection="1">
      <alignment horizontal="centerContinuous" vertical="center"/>
    </xf>
    <xf numFmtId="3" fontId="16" fillId="3" borderId="0" xfId="10" applyNumberFormat="1" applyFont="1" applyFill="1" applyBorder="1" applyAlignment="1" applyProtection="1">
      <alignment horizontal="centerContinuous"/>
    </xf>
    <xf numFmtId="3" fontId="9" fillId="3" borderId="20" xfId="10" applyNumberFormat="1" applyFont="1" applyFill="1" applyBorder="1" applyAlignment="1" applyProtection="1">
      <alignment horizontal="center"/>
    </xf>
    <xf numFmtId="3" fontId="9" fillId="2" borderId="19" xfId="10" applyNumberFormat="1" applyFont="1" applyFill="1" applyBorder="1" applyAlignment="1" applyProtection="1">
      <alignment horizontal="center"/>
    </xf>
    <xf numFmtId="4" fontId="18" fillId="3" borderId="0" xfId="10" applyNumberFormat="1" applyFont="1" applyFill="1" applyBorder="1" applyAlignment="1" applyProtection="1">
      <alignment horizontal="centerContinuous"/>
      <protection locked="0"/>
    </xf>
    <xf numFmtId="170" fontId="18" fillId="2" borderId="0" xfId="10" applyNumberFormat="1" applyFont="1" applyFill="1" applyBorder="1" applyAlignment="1" applyProtection="1">
      <alignment horizontal="center"/>
    </xf>
    <xf numFmtId="176" fontId="19" fillId="3" borderId="0" xfId="10" applyNumberFormat="1" applyFont="1" applyFill="1" applyBorder="1" applyAlignment="1" applyProtection="1">
      <alignment textRotation="90" wrapText="1"/>
    </xf>
    <xf numFmtId="3" fontId="19" fillId="3" borderId="0" xfId="10" applyNumberFormat="1" applyFont="1" applyFill="1" applyBorder="1" applyAlignment="1" applyProtection="1">
      <alignment textRotation="90" wrapText="1"/>
    </xf>
    <xf numFmtId="0" fontId="0" fillId="3" borderId="2" xfId="0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169" fontId="8" fillId="3" borderId="6" xfId="10" applyNumberFormat="1" applyFont="1" applyFill="1" applyBorder="1" applyAlignment="1" applyProtection="1">
      <alignment horizontal="centerContinuous" vertical="center"/>
    </xf>
    <xf numFmtId="169" fontId="8" fillId="3" borderId="10" xfId="10" applyNumberFormat="1" applyFont="1" applyFill="1" applyBorder="1" applyAlignment="1" applyProtection="1">
      <alignment horizontal="centerContinuous" vertical="center"/>
    </xf>
    <xf numFmtId="3" fontId="9" fillId="3" borderId="3" xfId="10" applyNumberFormat="1" applyFont="1" applyFill="1" applyBorder="1" applyAlignment="1" applyProtection="1">
      <alignment horizontal="center"/>
    </xf>
    <xf numFmtId="0" fontId="6" fillId="0" borderId="0" xfId="13" applyFont="1" applyFill="1" applyBorder="1" applyAlignment="1" applyProtection="1">
      <alignment horizontal="center"/>
    </xf>
    <xf numFmtId="169" fontId="8" fillId="3" borderId="0" xfId="10" applyNumberFormat="1" applyFont="1" applyFill="1" applyBorder="1" applyAlignment="1" applyProtection="1">
      <alignment horizontal="centerContinuous" vertical="center"/>
    </xf>
    <xf numFmtId="0" fontId="0" fillId="3" borderId="0" xfId="0" applyFill="1" applyBorder="1" applyAlignment="1">
      <alignment horizontal="centerContinuous"/>
    </xf>
    <xf numFmtId="169" fontId="9" fillId="3" borderId="25" xfId="10" applyNumberFormat="1" applyFont="1" applyFill="1" applyBorder="1" applyAlignment="1" applyProtection="1">
      <alignment horizontal="centerContinuous"/>
    </xf>
    <xf numFmtId="3" fontId="9" fillId="3" borderId="26" xfId="10" applyNumberFormat="1" applyFont="1" applyFill="1" applyBorder="1" applyAlignment="1" applyProtection="1">
      <alignment horizontal="center"/>
    </xf>
    <xf numFmtId="0" fontId="24" fillId="3" borderId="0" xfId="10" applyFont="1" applyFill="1" applyBorder="1" applyAlignment="1" applyProtection="1">
      <alignment horizontal="centerContinuous"/>
    </xf>
    <xf numFmtId="169" fontId="18" fillId="3" borderId="0" xfId="10" applyNumberFormat="1" applyFont="1" applyFill="1" applyBorder="1" applyAlignment="1" applyProtection="1">
      <alignment horizontal="left"/>
    </xf>
    <xf numFmtId="3" fontId="9" fillId="0" borderId="27" xfId="10" applyNumberFormat="1" applyFont="1" applyFill="1" applyBorder="1" applyAlignment="1" applyProtection="1">
      <alignment horizontal="center"/>
    </xf>
    <xf numFmtId="3" fontId="9" fillId="0" borderId="31" xfId="10" applyNumberFormat="1" applyFont="1" applyFill="1" applyBorder="1" applyAlignment="1" applyProtection="1">
      <alignment horizontal="center"/>
    </xf>
    <xf numFmtId="3" fontId="9" fillId="0" borderId="32" xfId="10" applyNumberFormat="1" applyFont="1" applyFill="1" applyBorder="1" applyAlignment="1" applyProtection="1">
      <alignment horizontal="center"/>
    </xf>
    <xf numFmtId="193" fontId="43" fillId="0" borderId="0" xfId="14" applyNumberFormat="1" applyFont="1" applyBorder="1" applyAlignment="1" applyProtection="1">
      <alignment horizontal="center"/>
    </xf>
    <xf numFmtId="187" fontId="9" fillId="0" borderId="0" xfId="14" applyNumberFormat="1" applyFont="1" applyBorder="1" applyAlignment="1" applyProtection="1">
      <alignment horizontal="center"/>
    </xf>
    <xf numFmtId="0" fontId="18" fillId="0" borderId="0" xfId="3" applyFont="1" applyAlignment="1">
      <alignment horizontal="left"/>
    </xf>
    <xf numFmtId="0" fontId="19" fillId="0" borderId="0" xfId="3" applyFont="1"/>
    <xf numFmtId="0" fontId="19" fillId="0" borderId="0" xfId="3" applyFont="1" applyAlignment="1">
      <alignment horizontal="center"/>
    </xf>
    <xf numFmtId="196" fontId="6" fillId="3" borderId="25" xfId="13" applyNumberFormat="1" applyFont="1" applyFill="1" applyBorder="1" applyAlignment="1" applyProtection="1">
      <alignment horizontal="center"/>
    </xf>
    <xf numFmtId="181" fontId="6" fillId="0" borderId="29" xfId="13" applyNumberFormat="1" applyFont="1" applyFill="1" applyBorder="1" applyAlignment="1" applyProtection="1">
      <alignment horizontal="center"/>
    </xf>
    <xf numFmtId="181" fontId="6" fillId="4" borderId="12" xfId="13" applyNumberFormat="1" applyFont="1" applyFill="1" applyBorder="1" applyAlignment="1" applyProtection="1">
      <alignment horizontal="center"/>
    </xf>
    <xf numFmtId="0" fontId="6" fillId="4" borderId="16" xfId="13" applyFont="1" applyFill="1" applyBorder="1" applyAlignment="1" applyProtection="1">
      <alignment horizontal="center"/>
    </xf>
    <xf numFmtId="4" fontId="19" fillId="4" borderId="0" xfId="11" applyNumberFormat="1" applyFont="1" applyFill="1" applyBorder="1" applyAlignment="1" applyProtection="1">
      <alignment horizontal="centerContinuous"/>
    </xf>
    <xf numFmtId="4" fontId="18" fillId="4" borderId="0" xfId="11" applyNumberFormat="1" applyFont="1" applyFill="1" applyBorder="1" applyAlignment="1" applyProtection="1">
      <alignment horizontal="centerContinuous"/>
    </xf>
    <xf numFmtId="0" fontId="18" fillId="4" borderId="0" xfId="11" applyFont="1" applyFill="1" applyBorder="1" applyAlignment="1" applyProtection="1">
      <alignment horizontal="centerContinuous"/>
    </xf>
    <xf numFmtId="3" fontId="18" fillId="3" borderId="0" xfId="11" applyNumberFormat="1" applyFont="1" applyFill="1" applyBorder="1" applyAlignment="1" applyProtection="1">
      <alignment horizontal="center"/>
    </xf>
    <xf numFmtId="3" fontId="18" fillId="3" borderId="0" xfId="11" applyNumberFormat="1" applyFont="1" applyFill="1" applyBorder="1" applyAlignment="1" applyProtection="1">
      <alignment horizontal="centerContinuous"/>
    </xf>
    <xf numFmtId="3" fontId="28" fillId="10" borderId="0" xfId="11" applyNumberFormat="1" applyFont="1" applyFill="1" applyBorder="1" applyAlignment="1" applyProtection="1">
      <alignment horizontal="center"/>
    </xf>
    <xf numFmtId="3" fontId="18" fillId="10" borderId="0" xfId="11" applyNumberFormat="1" applyFont="1" applyFill="1" applyBorder="1" applyAlignment="1" applyProtection="1">
      <alignment horizontal="center"/>
    </xf>
    <xf numFmtId="170" fontId="18" fillId="10" borderId="0" xfId="11" applyNumberFormat="1" applyFont="1" applyFill="1" applyBorder="1" applyAlignment="1" applyProtection="1">
      <alignment horizontal="center"/>
    </xf>
    <xf numFmtId="3" fontId="18" fillId="10" borderId="20" xfId="11" applyNumberFormat="1" applyFont="1" applyFill="1" applyBorder="1" applyAlignment="1" applyProtection="1">
      <alignment horizontal="center"/>
    </xf>
    <xf numFmtId="169" fontId="47" fillId="8" borderId="0" xfId="11" applyNumberFormat="1" applyFont="1" applyFill="1" applyAlignment="1" applyProtection="1">
      <alignment horizontal="center"/>
    </xf>
    <xf numFmtId="169" fontId="11" fillId="0" borderId="25" xfId="11" applyNumberFormat="1" applyFont="1" applyFill="1" applyBorder="1" applyAlignment="1" applyProtection="1">
      <alignment horizontal="center"/>
    </xf>
    <xf numFmtId="169" fontId="11" fillId="0" borderId="33" xfId="11" applyNumberFormat="1" applyFont="1" applyFill="1" applyBorder="1" applyAlignment="1" applyProtection="1">
      <alignment horizontal="center"/>
    </xf>
    <xf numFmtId="169" fontId="11" fillId="0" borderId="26" xfId="11" applyNumberFormat="1" applyFont="1" applyFill="1" applyBorder="1" applyAlignment="1" applyProtection="1">
      <alignment horizontal="center"/>
    </xf>
    <xf numFmtId="0" fontId="21" fillId="3" borderId="0" xfId="13" applyFont="1" applyFill="1" applyBorder="1" applyAlignment="1" applyProtection="1">
      <alignment horizontal="centerContinuous" vertical="center"/>
    </xf>
    <xf numFmtId="0" fontId="6" fillId="0" borderId="0" xfId="13" applyFont="1" applyBorder="1" applyProtection="1"/>
    <xf numFmtId="9" fontId="19" fillId="0" borderId="16" xfId="14" applyFont="1" applyFill="1" applyBorder="1" applyAlignment="1" applyProtection="1">
      <alignment horizontal="center"/>
      <protection locked="0"/>
    </xf>
    <xf numFmtId="0" fontId="11" fillId="0" borderId="21" xfId="10" applyFont="1" applyFill="1" applyBorder="1" applyAlignment="1" applyProtection="1">
      <alignment horizontal="center"/>
    </xf>
    <xf numFmtId="0" fontId="11" fillId="0" borderId="35" xfId="10" applyFont="1" applyFill="1" applyBorder="1" applyAlignment="1" applyProtection="1">
      <alignment horizontal="center"/>
    </xf>
    <xf numFmtId="0" fontId="11" fillId="0" borderId="36" xfId="10" applyFont="1" applyFill="1" applyBorder="1" applyAlignment="1" applyProtection="1">
      <alignment horizontal="center"/>
    </xf>
    <xf numFmtId="0" fontId="11" fillId="0" borderId="19" xfId="10" applyFont="1" applyFill="1" applyBorder="1" applyAlignment="1" applyProtection="1">
      <alignment horizontal="center"/>
    </xf>
    <xf numFmtId="0" fontId="11" fillId="0" borderId="37" xfId="10" applyFont="1" applyFill="1" applyBorder="1" applyAlignment="1" applyProtection="1">
      <alignment horizontal="center"/>
    </xf>
    <xf numFmtId="3" fontId="9" fillId="3" borderId="19" xfId="10" applyNumberFormat="1" applyFont="1" applyFill="1" applyBorder="1" applyAlignment="1" applyProtection="1">
      <alignment horizontal="center"/>
    </xf>
    <xf numFmtId="168" fontId="35" fillId="11" borderId="20" xfId="10" applyNumberFormat="1" applyFont="1" applyFill="1" applyBorder="1" applyAlignment="1" applyProtection="1">
      <alignment horizontal="center"/>
    </xf>
    <xf numFmtId="0" fontId="6" fillId="13" borderId="26" xfId="13" applyFont="1" applyFill="1" applyBorder="1" applyAlignment="1" applyProtection="1">
      <alignment horizontal="center"/>
    </xf>
    <xf numFmtId="3" fontId="16" fillId="10" borderId="33" xfId="11" applyNumberFormat="1" applyFont="1" applyFill="1" applyBorder="1" applyAlignment="1" applyProtection="1">
      <alignment horizontal="left"/>
    </xf>
    <xf numFmtId="0" fontId="21" fillId="3" borderId="35" xfId="13" applyFont="1" applyFill="1" applyBorder="1" applyAlignment="1" applyProtection="1">
      <alignment horizontal="center" vertical="center"/>
    </xf>
    <xf numFmtId="0" fontId="18" fillId="3" borderId="21" xfId="13" applyFont="1" applyFill="1" applyBorder="1" applyAlignment="1" applyProtection="1">
      <alignment horizontal="center" vertical="center"/>
    </xf>
    <xf numFmtId="0" fontId="20" fillId="3" borderId="21" xfId="13" applyFont="1" applyFill="1" applyBorder="1" applyAlignment="1" applyProtection="1">
      <alignment horizontal="center" vertical="center"/>
    </xf>
    <xf numFmtId="0" fontId="18" fillId="0" borderId="29" xfId="10" applyFont="1" applyFill="1" applyBorder="1" applyAlignment="1" applyProtection="1">
      <alignment horizontal="center"/>
    </xf>
    <xf numFmtId="0" fontId="18" fillId="4" borderId="40" xfId="10" applyFont="1" applyFill="1" applyBorder="1" applyAlignment="1" applyProtection="1">
      <alignment horizontal="center"/>
    </xf>
    <xf numFmtId="0" fontId="18" fillId="4" borderId="40" xfId="10" applyFont="1" applyFill="1" applyBorder="1" applyAlignment="1" applyProtection="1">
      <alignment horizontal="right"/>
    </xf>
    <xf numFmtId="192" fontId="19" fillId="7" borderId="40" xfId="10" applyNumberFormat="1" applyFont="1" applyFill="1" applyBorder="1" applyAlignment="1" applyProtection="1">
      <alignment horizontal="left"/>
    </xf>
    <xf numFmtId="0" fontId="19" fillId="4" borderId="40" xfId="10" applyFont="1" applyFill="1" applyBorder="1" applyAlignment="1" applyProtection="1">
      <alignment horizontal="centerContinuous"/>
    </xf>
    <xf numFmtId="192" fontId="29" fillId="2" borderId="12" xfId="10" applyNumberFormat="1" applyFont="1" applyFill="1" applyBorder="1" applyAlignment="1" applyProtection="1">
      <alignment horizontal="center"/>
    </xf>
    <xf numFmtId="189" fontId="19" fillId="3" borderId="12" xfId="10" applyNumberFormat="1" applyFont="1" applyFill="1" applyBorder="1" applyAlignment="1" applyProtection="1">
      <alignment horizontal="center"/>
    </xf>
    <xf numFmtId="193" fontId="19" fillId="3" borderId="12" xfId="10" applyNumberFormat="1" applyFont="1" applyFill="1" applyBorder="1" applyAlignment="1" applyProtection="1">
      <alignment horizontal="center"/>
    </xf>
    <xf numFmtId="3" fontId="31" fillId="16" borderId="16" xfId="10" applyNumberFormat="1" applyFont="1" applyFill="1" applyBorder="1" applyAlignment="1" applyProtection="1">
      <alignment horizontal="center"/>
      <protection locked="0"/>
    </xf>
    <xf numFmtId="169" fontId="18" fillId="4" borderId="0" xfId="10" applyNumberFormat="1" applyFont="1" applyFill="1" applyBorder="1" applyAlignment="1" applyProtection="1">
      <alignment horizontal="left"/>
    </xf>
    <xf numFmtId="0" fontId="18" fillId="3" borderId="20" xfId="13" applyFont="1" applyFill="1" applyBorder="1" applyAlignment="1" applyProtection="1">
      <alignment horizontal="center" vertical="center" wrapText="1"/>
    </xf>
    <xf numFmtId="187" fontId="15" fillId="0" borderId="20" xfId="13" applyNumberFormat="1" applyFont="1" applyFill="1" applyBorder="1" applyAlignment="1" applyProtection="1">
      <alignment horizontal="center"/>
    </xf>
    <xf numFmtId="0" fontId="18" fillId="3" borderId="0" xfId="10" applyFont="1" applyFill="1" applyBorder="1" applyAlignment="1" applyProtection="1">
      <alignment horizontal="center"/>
    </xf>
    <xf numFmtId="3" fontId="9" fillId="3" borderId="21" xfId="10" applyNumberFormat="1" applyFont="1" applyFill="1" applyBorder="1" applyAlignment="1" applyProtection="1">
      <alignment horizontal="center"/>
    </xf>
    <xf numFmtId="0" fontId="11" fillId="3" borderId="6" xfId="10" applyFont="1" applyFill="1" applyBorder="1" applyAlignment="1" applyProtection="1">
      <alignment horizontal="center"/>
    </xf>
    <xf numFmtId="0" fontId="21" fillId="3" borderId="38" xfId="13" applyFont="1" applyFill="1" applyBorder="1" applyAlignment="1" applyProtection="1">
      <alignment horizontal="center" vertical="center"/>
    </xf>
    <xf numFmtId="0" fontId="18" fillId="3" borderId="20" xfId="13" applyFont="1" applyFill="1" applyBorder="1" applyAlignment="1" applyProtection="1">
      <alignment horizontal="center" vertical="center"/>
    </xf>
    <xf numFmtId="0" fontId="20" fillId="3" borderId="20" xfId="13" applyFont="1" applyFill="1" applyBorder="1" applyAlignment="1" applyProtection="1">
      <alignment horizontal="center" vertical="center"/>
    </xf>
    <xf numFmtId="0" fontId="18" fillId="3" borderId="19" xfId="10" applyFont="1" applyFill="1" applyBorder="1" applyAlignment="1" applyProtection="1">
      <alignment horizontal="center"/>
    </xf>
    <xf numFmtId="3" fontId="18" fillId="3" borderId="19" xfId="10" applyNumberFormat="1" applyFont="1" applyFill="1" applyBorder="1" applyAlignment="1" applyProtection="1">
      <alignment horizontal="center"/>
    </xf>
    <xf numFmtId="168" fontId="35" fillId="11" borderId="19" xfId="10" applyNumberFormat="1" applyFont="1" applyFill="1" applyBorder="1" applyAlignment="1" applyProtection="1">
      <alignment horizontal="center"/>
    </xf>
    <xf numFmtId="4" fontId="18" fillId="0" borderId="16" xfId="10" applyNumberFormat="1" applyFont="1" applyFill="1" applyBorder="1" applyAlignment="1" applyProtection="1">
      <protection locked="0"/>
    </xf>
    <xf numFmtId="169" fontId="19" fillId="4" borderId="19" xfId="10" applyNumberFormat="1" applyFont="1" applyFill="1" applyBorder="1" applyAlignment="1" applyProtection="1">
      <alignment horizontal="center"/>
    </xf>
    <xf numFmtId="189" fontId="19" fillId="3" borderId="37" xfId="10" applyNumberFormat="1" applyFont="1" applyFill="1" applyBorder="1" applyAlignment="1" applyProtection="1">
      <alignment horizontal="center"/>
    </xf>
    <xf numFmtId="0" fontId="6" fillId="16" borderId="16" xfId="12" applyFont="1" applyFill="1" applyBorder="1" applyProtection="1">
      <protection locked="0"/>
    </xf>
    <xf numFmtId="0" fontId="19" fillId="16" borderId="16" xfId="13" applyFont="1" applyFill="1" applyBorder="1" applyAlignment="1" applyProtection="1">
      <alignment horizontal="left"/>
      <protection locked="0"/>
    </xf>
    <xf numFmtId="170" fontId="18" fillId="3" borderId="16" xfId="10" applyNumberFormat="1" applyFont="1" applyFill="1" applyBorder="1" applyAlignment="1" applyProtection="1">
      <alignment horizontal="center"/>
    </xf>
    <xf numFmtId="3" fontId="18" fillId="3" borderId="21" xfId="10" applyNumberFormat="1" applyFont="1" applyFill="1" applyBorder="1" applyAlignment="1" applyProtection="1">
      <alignment horizontal="center"/>
    </xf>
    <xf numFmtId="0" fontId="19" fillId="3" borderId="20" xfId="10" applyFont="1" applyFill="1" applyBorder="1" applyAlignment="1" applyProtection="1">
      <alignment horizontal="center"/>
    </xf>
    <xf numFmtId="0" fontId="60" fillId="12" borderId="20" xfId="13" applyFont="1" applyFill="1" applyBorder="1" applyAlignment="1" applyProtection="1">
      <alignment horizontal="center" vertical="center" wrapText="1"/>
    </xf>
    <xf numFmtId="169" fontId="19" fillId="17" borderId="35" xfId="10" applyNumberFormat="1" applyFont="1" applyFill="1" applyBorder="1" applyAlignment="1" applyProtection="1">
      <alignment horizontal="center"/>
    </xf>
    <xf numFmtId="169" fontId="19" fillId="17" borderId="36" xfId="10" applyNumberFormat="1" applyFont="1" applyFill="1" applyBorder="1" applyAlignment="1" applyProtection="1">
      <alignment horizontal="center"/>
    </xf>
    <xf numFmtId="0" fontId="19" fillId="0" borderId="19" xfId="10" applyNumberFormat="1" applyFont="1" applyFill="1" applyBorder="1" applyAlignment="1" applyProtection="1">
      <alignment horizontal="center"/>
      <protection locked="0"/>
    </xf>
    <xf numFmtId="167" fontId="19" fillId="2" borderId="21" xfId="10" applyNumberFormat="1" applyFont="1" applyFill="1" applyBorder="1" applyProtection="1"/>
    <xf numFmtId="0" fontId="19" fillId="2" borderId="20" xfId="10" applyFont="1" applyFill="1" applyBorder="1" applyProtection="1"/>
    <xf numFmtId="0" fontId="19" fillId="2" borderId="38" xfId="10" applyFont="1" applyFill="1" applyBorder="1" applyAlignment="1" applyProtection="1">
      <alignment horizontal="center"/>
    </xf>
    <xf numFmtId="0" fontId="19" fillId="2" borderId="39" xfId="10" applyFont="1" applyFill="1" applyBorder="1" applyAlignment="1" applyProtection="1">
      <alignment horizontal="center"/>
    </xf>
    <xf numFmtId="3" fontId="18" fillId="4" borderId="19" xfId="10" applyNumberFormat="1" applyFont="1" applyFill="1" applyBorder="1" applyAlignment="1" applyProtection="1">
      <alignment horizontal="center"/>
    </xf>
    <xf numFmtId="3" fontId="28" fillId="4" borderId="0" xfId="11" applyNumberFormat="1" applyFont="1" applyFill="1" applyBorder="1" applyAlignment="1" applyProtection="1">
      <alignment horizontal="center"/>
    </xf>
    <xf numFmtId="168" fontId="56" fillId="12" borderId="0" xfId="10" applyNumberFormat="1" applyFont="1" applyFill="1" applyBorder="1" applyAlignment="1" applyProtection="1">
      <alignment horizontal="center"/>
    </xf>
    <xf numFmtId="3" fontId="63" fillId="12" borderId="21" xfId="10" applyNumberFormat="1" applyFont="1" applyFill="1" applyBorder="1" applyAlignment="1" applyProtection="1">
      <alignment horizontal="center"/>
    </xf>
    <xf numFmtId="3" fontId="63" fillId="12" borderId="0" xfId="10" applyNumberFormat="1" applyFont="1" applyFill="1" applyBorder="1" applyAlignment="1" applyProtection="1">
      <alignment horizontal="center"/>
    </xf>
    <xf numFmtId="0" fontId="25" fillId="3" borderId="38" xfId="13" applyFont="1" applyFill="1" applyBorder="1" applyAlignment="1" applyProtection="1">
      <alignment horizontal="center" vertical="center" wrapText="1"/>
    </xf>
    <xf numFmtId="1" fontId="18" fillId="4" borderId="20" xfId="13" applyNumberFormat="1" applyFont="1" applyFill="1" applyBorder="1" applyAlignment="1" applyProtection="1">
      <alignment horizontal="center" vertical="center"/>
    </xf>
    <xf numFmtId="0" fontId="21" fillId="3" borderId="36" xfId="13" applyFont="1" applyFill="1" applyBorder="1" applyAlignment="1" applyProtection="1">
      <alignment horizontal="centerContinuous" vertical="center"/>
    </xf>
    <xf numFmtId="0" fontId="21" fillId="3" borderId="40" xfId="13" applyFont="1" applyFill="1" applyBorder="1" applyAlignment="1" applyProtection="1">
      <alignment horizontal="centerContinuous" vertical="center"/>
    </xf>
    <xf numFmtId="170" fontId="18" fillId="4" borderId="19" xfId="13" applyNumberFormat="1" applyFont="1" applyFill="1" applyBorder="1" applyAlignment="1" applyProtection="1">
      <alignment horizontal="center"/>
    </xf>
    <xf numFmtId="170" fontId="19" fillId="3" borderId="19" xfId="13" applyNumberFormat="1" applyFont="1" applyFill="1" applyBorder="1" applyAlignment="1" applyProtection="1">
      <alignment horizontal="center"/>
    </xf>
    <xf numFmtId="3" fontId="63" fillId="12" borderId="19" xfId="10" applyNumberFormat="1" applyFont="1" applyFill="1" applyBorder="1" applyAlignment="1" applyProtection="1">
      <alignment horizontal="center"/>
    </xf>
    <xf numFmtId="0" fontId="6" fillId="13" borderId="24" xfId="13" applyFont="1" applyFill="1" applyBorder="1" applyAlignment="1" applyProtection="1">
      <alignment horizontal="center"/>
    </xf>
    <xf numFmtId="184" fontId="19" fillId="2" borderId="0" xfId="10" applyNumberFormat="1" applyFont="1" applyFill="1" applyBorder="1" applyAlignment="1" applyProtection="1">
      <alignment horizontal="centerContinuous"/>
    </xf>
    <xf numFmtId="3" fontId="18" fillId="3" borderId="21" xfId="10" applyNumberFormat="1" applyFont="1" applyFill="1" applyBorder="1" applyAlignment="1" applyProtection="1">
      <alignment horizontal="centerContinuous"/>
    </xf>
    <xf numFmtId="0" fontId="18" fillId="3" borderId="20" xfId="10" applyFont="1" applyFill="1" applyBorder="1" applyAlignment="1" applyProtection="1">
      <alignment horizontal="center"/>
    </xf>
    <xf numFmtId="3" fontId="18" fillId="3" borderId="36" xfId="10" applyNumberFormat="1" applyFont="1" applyFill="1" applyBorder="1" applyAlignment="1" applyProtection="1">
      <alignment horizontal="center"/>
    </xf>
    <xf numFmtId="9" fontId="61" fillId="2" borderId="19" xfId="14" applyFont="1" applyFill="1" applyBorder="1" applyAlignment="1" applyProtection="1">
      <alignment horizontal="center"/>
    </xf>
    <xf numFmtId="0" fontId="62" fillId="10" borderId="36" xfId="10" applyFont="1" applyFill="1" applyBorder="1" applyAlignment="1" applyProtection="1">
      <alignment horizontal="center"/>
    </xf>
    <xf numFmtId="0" fontId="62" fillId="2" borderId="37" xfId="10" applyFont="1" applyFill="1" applyBorder="1" applyAlignment="1" applyProtection="1">
      <alignment horizontal="center"/>
    </xf>
    <xf numFmtId="3" fontId="18" fillId="11" borderId="37" xfId="10" applyNumberFormat="1" applyFont="1" applyFill="1" applyBorder="1" applyAlignment="1" applyProtection="1">
      <alignment horizontal="center"/>
    </xf>
    <xf numFmtId="4" fontId="8" fillId="3" borderId="21" xfId="10" applyNumberFormat="1" applyFont="1" applyFill="1" applyBorder="1" applyAlignment="1" applyProtection="1">
      <alignment horizontal="centerContinuous" vertical="center"/>
    </xf>
    <xf numFmtId="0" fontId="18" fillId="3" borderId="21" xfId="10" applyFont="1" applyFill="1" applyBorder="1" applyAlignment="1" applyProtection="1">
      <alignment horizontal="centerContinuous"/>
    </xf>
    <xf numFmtId="4" fontId="22" fillId="3" borderId="35" xfId="10" applyNumberFormat="1" applyFont="1" applyFill="1" applyBorder="1" applyAlignment="1" applyProtection="1">
      <alignment horizontal="centerContinuous" vertical="center"/>
    </xf>
    <xf numFmtId="4" fontId="22" fillId="3" borderId="40" xfId="10" applyNumberFormat="1" applyFont="1" applyFill="1" applyBorder="1" applyAlignment="1" applyProtection="1">
      <alignment horizontal="centerContinuous" vertical="center"/>
    </xf>
    <xf numFmtId="4" fontId="22" fillId="3" borderId="21" xfId="10" applyNumberFormat="1" applyFont="1" applyFill="1" applyBorder="1" applyAlignment="1" applyProtection="1">
      <alignment horizontal="centerContinuous" vertical="center"/>
    </xf>
    <xf numFmtId="185" fontId="19" fillId="3" borderId="12" xfId="10" applyNumberFormat="1" applyFont="1" applyFill="1" applyBorder="1" applyAlignment="1" applyProtection="1">
      <alignment horizontal="centerContinuous"/>
      <protection locked="0"/>
    </xf>
    <xf numFmtId="185" fontId="19" fillId="3" borderId="37" xfId="10" applyNumberFormat="1" applyFont="1" applyFill="1" applyBorder="1" applyAlignment="1" applyProtection="1">
      <alignment horizontal="centerContinuous"/>
      <protection locked="0"/>
    </xf>
    <xf numFmtId="185" fontId="19" fillId="3" borderId="41" xfId="10" applyNumberFormat="1" applyFont="1" applyFill="1" applyBorder="1" applyAlignment="1" applyProtection="1">
      <alignment horizontal="centerContinuous"/>
      <protection locked="0"/>
    </xf>
    <xf numFmtId="0" fontId="34" fillId="2" borderId="0" xfId="10" applyFont="1" applyFill="1" applyBorder="1" applyAlignment="1" applyProtection="1">
      <alignment horizontal="centerContinuous"/>
      <protection locked="0"/>
    </xf>
    <xf numFmtId="0" fontId="5" fillId="3" borderId="12" xfId="10" applyFont="1" applyFill="1" applyBorder="1" applyAlignment="1" applyProtection="1">
      <alignment horizontal="center"/>
    </xf>
    <xf numFmtId="169" fontId="66" fillId="0" borderId="21" xfId="10" applyNumberFormat="1" applyFont="1" applyBorder="1" applyAlignment="1" applyProtection="1">
      <alignment horizontal="center"/>
    </xf>
    <xf numFmtId="0" fontId="66" fillId="3" borderId="21" xfId="10" applyFont="1" applyFill="1" applyBorder="1" applyAlignment="1" applyProtection="1">
      <alignment horizontal="center"/>
    </xf>
    <xf numFmtId="171" fontId="19" fillId="4" borderId="0" xfId="10" applyNumberFormat="1" applyFont="1" applyFill="1" applyBorder="1" applyAlignment="1" applyProtection="1">
      <alignment horizontal="right"/>
    </xf>
    <xf numFmtId="172" fontId="19" fillId="4" borderId="0" xfId="10" applyNumberFormat="1" applyFont="1" applyFill="1" applyBorder="1" applyAlignment="1" applyProtection="1">
      <alignment horizontal="center"/>
    </xf>
    <xf numFmtId="4" fontId="19" fillId="4" borderId="24" xfId="10" applyNumberFormat="1" applyFont="1" applyFill="1" applyBorder="1" applyAlignment="1" applyProtection="1">
      <alignment horizontal="center"/>
    </xf>
    <xf numFmtId="0" fontId="11" fillId="0" borderId="41" xfId="10" applyFont="1" applyFill="1" applyBorder="1" applyAlignment="1" applyProtection="1">
      <alignment horizontal="center"/>
    </xf>
    <xf numFmtId="2" fontId="6" fillId="13" borderId="26" xfId="13" applyNumberFormat="1" applyFont="1" applyFill="1" applyBorder="1" applyAlignment="1" applyProtection="1">
      <alignment horizontal="center"/>
    </xf>
    <xf numFmtId="2" fontId="0" fillId="10" borderId="33" xfId="0" applyNumberFormat="1" applyFill="1" applyBorder="1"/>
    <xf numFmtId="2" fontId="0" fillId="3" borderId="33" xfId="0" applyNumberFormat="1" applyFill="1" applyBorder="1"/>
    <xf numFmtId="0" fontId="0" fillId="3" borderId="42" xfId="0" applyFill="1" applyBorder="1"/>
    <xf numFmtId="0" fontId="6" fillId="13" borderId="43" xfId="13" applyFont="1" applyFill="1" applyBorder="1" applyProtection="1"/>
    <xf numFmtId="4" fontId="16" fillId="3" borderId="44" xfId="10" applyNumberFormat="1" applyFont="1" applyFill="1" applyBorder="1" applyAlignment="1" applyProtection="1">
      <alignment horizontal="center"/>
    </xf>
    <xf numFmtId="2" fontId="16" fillId="3" borderId="44" xfId="10" applyNumberFormat="1" applyFont="1" applyFill="1" applyBorder="1" applyAlignment="1" applyProtection="1">
      <alignment horizontal="left"/>
    </xf>
    <xf numFmtId="2" fontId="6" fillId="0" borderId="0" xfId="13" applyNumberFormat="1" applyFont="1" applyFill="1" applyBorder="1" applyAlignment="1" applyProtection="1">
      <alignment horizontal="center"/>
    </xf>
    <xf numFmtId="0" fontId="0" fillId="0" borderId="0" xfId="0" applyFill="1"/>
    <xf numFmtId="2" fontId="6" fillId="8" borderId="0" xfId="13" applyNumberFormat="1" applyFont="1" applyFill="1" applyBorder="1" applyAlignment="1" applyProtection="1">
      <alignment horizontal="center"/>
    </xf>
    <xf numFmtId="0" fontId="73" fillId="8" borderId="0" xfId="13" applyFont="1" applyFill="1" applyBorder="1" applyAlignment="1" applyProtection="1">
      <alignment horizontal="left"/>
    </xf>
    <xf numFmtId="0" fontId="0" fillId="3" borderId="25" xfId="0" applyFill="1" applyBorder="1"/>
    <xf numFmtId="0" fontId="22" fillId="3" borderId="33" xfId="0" applyFont="1" applyFill="1" applyBorder="1" applyAlignment="1">
      <alignment horizontal="center"/>
    </xf>
    <xf numFmtId="0" fontId="9" fillId="3" borderId="26" xfId="0" applyFont="1" applyFill="1" applyBorder="1"/>
    <xf numFmtId="0" fontId="21" fillId="3" borderId="33" xfId="13" applyFont="1" applyFill="1" applyBorder="1" applyAlignment="1" applyProtection="1">
      <alignment horizontal="center" vertical="center"/>
    </xf>
    <xf numFmtId="0" fontId="20" fillId="3" borderId="26" xfId="13" applyFont="1" applyFill="1" applyBorder="1" applyAlignment="1" applyProtection="1">
      <alignment horizontal="center" vertical="center"/>
    </xf>
    <xf numFmtId="0" fontId="6" fillId="3" borderId="25" xfId="13" applyFont="1" applyFill="1" applyBorder="1" applyAlignment="1" applyProtection="1">
      <alignment horizontal="center"/>
    </xf>
    <xf numFmtId="170" fontId="27" fillId="4" borderId="22" xfId="13" applyNumberFormat="1" applyFont="1" applyFill="1" applyBorder="1" applyAlignment="1" applyProtection="1">
      <alignment horizontal="center"/>
    </xf>
    <xf numFmtId="170" fontId="50" fillId="18" borderId="16" xfId="13" applyNumberFormat="1" applyFont="1" applyFill="1" applyBorder="1" applyAlignment="1" applyProtection="1">
      <alignment horizontal="center"/>
    </xf>
    <xf numFmtId="170" fontId="29" fillId="2" borderId="23" xfId="11" applyNumberFormat="1" applyFont="1" applyFill="1" applyBorder="1" applyAlignment="1" applyProtection="1">
      <alignment horizontal="center"/>
    </xf>
    <xf numFmtId="0" fontId="6" fillId="12" borderId="0" xfId="13" applyFont="1" applyFill="1" applyBorder="1" applyAlignment="1" applyProtection="1">
      <alignment horizontal="centerContinuous"/>
    </xf>
    <xf numFmtId="0" fontId="6" fillId="12" borderId="0" xfId="13" applyFont="1" applyFill="1" applyBorder="1" applyProtection="1"/>
    <xf numFmtId="0" fontId="54" fillId="12" borderId="0" xfId="3" applyFont="1" applyFill="1" applyBorder="1"/>
    <xf numFmtId="198" fontId="6" fillId="11" borderId="2" xfId="13" applyNumberFormat="1" applyFont="1" applyFill="1" applyBorder="1" applyAlignment="1" applyProtection="1">
      <alignment horizontal="center"/>
    </xf>
    <xf numFmtId="180" fontId="6" fillId="11" borderId="2" xfId="13" applyNumberFormat="1" applyFont="1" applyFill="1" applyBorder="1" applyAlignment="1" applyProtection="1">
      <alignment horizontal="right"/>
    </xf>
    <xf numFmtId="168" fontId="6" fillId="11" borderId="3" xfId="13" applyNumberFormat="1" applyFont="1" applyFill="1" applyBorder="1" applyAlignment="1" applyProtection="1">
      <alignment horizontal="center"/>
    </xf>
    <xf numFmtId="0" fontId="11" fillId="19" borderId="2" xfId="10" applyFont="1" applyFill="1" applyBorder="1" applyAlignment="1" applyProtection="1">
      <alignment horizontal="center"/>
    </xf>
    <xf numFmtId="173" fontId="19" fillId="4" borderId="6" xfId="13" applyNumberFormat="1" applyFont="1" applyFill="1" applyBorder="1" applyAlignment="1" applyProtection="1">
      <alignment horizontal="center"/>
    </xf>
    <xf numFmtId="177" fontId="6" fillId="11" borderId="6" xfId="13" applyNumberFormat="1" applyFont="1" applyFill="1" applyBorder="1" applyAlignment="1" applyProtection="1">
      <alignment horizontal="center"/>
    </xf>
    <xf numFmtId="180" fontId="6" fillId="11" borderId="6" xfId="13" applyNumberFormat="1" applyFont="1" applyFill="1" applyBorder="1" applyAlignment="1" applyProtection="1">
      <alignment horizontal="right"/>
    </xf>
    <xf numFmtId="168" fontId="6" fillId="11" borderId="10" xfId="13" applyNumberFormat="1" applyFont="1" applyFill="1" applyBorder="1" applyAlignment="1" applyProtection="1">
      <alignment horizontal="center"/>
    </xf>
    <xf numFmtId="0" fontId="16" fillId="3" borderId="35" xfId="13" applyFont="1" applyFill="1" applyBorder="1" applyAlignment="1" applyProtection="1">
      <alignment horizontal="centerContinuous"/>
    </xf>
    <xf numFmtId="0" fontId="16" fillId="3" borderId="40" xfId="13" applyFont="1" applyFill="1" applyBorder="1" applyAlignment="1" applyProtection="1">
      <alignment horizontal="centerContinuous"/>
    </xf>
    <xf numFmtId="0" fontId="16" fillId="3" borderId="36" xfId="13" applyFont="1" applyFill="1" applyBorder="1" applyAlignment="1" applyProtection="1">
      <alignment horizontal="centerContinuous"/>
    </xf>
    <xf numFmtId="0" fontId="16" fillId="10" borderId="21" xfId="13" applyFont="1" applyFill="1" applyBorder="1" applyProtection="1"/>
    <xf numFmtId="170" fontId="18" fillId="10" borderId="19" xfId="11" applyNumberFormat="1" applyFont="1" applyFill="1" applyBorder="1" applyAlignment="1" applyProtection="1">
      <alignment horizontal="center"/>
    </xf>
    <xf numFmtId="0" fontId="6" fillId="3" borderId="21" xfId="13" applyFont="1" applyFill="1" applyBorder="1" applyProtection="1"/>
    <xf numFmtId="0" fontId="6" fillId="10" borderId="41" xfId="13" applyFont="1" applyFill="1" applyBorder="1" applyProtection="1"/>
    <xf numFmtId="0" fontId="6" fillId="10" borderId="12" xfId="13" applyFont="1" applyFill="1" applyBorder="1" applyProtection="1"/>
    <xf numFmtId="0" fontId="6" fillId="10" borderId="37" xfId="13" applyFont="1" applyFill="1" applyBorder="1" applyProtection="1"/>
    <xf numFmtId="3" fontId="18" fillId="3" borderId="35" xfId="11" applyNumberFormat="1" applyFont="1" applyFill="1" applyBorder="1" applyAlignment="1" applyProtection="1">
      <alignment horizontal="center"/>
    </xf>
    <xf numFmtId="3" fontId="18" fillId="3" borderId="40" xfId="11" applyNumberFormat="1" applyFont="1" applyFill="1" applyBorder="1" applyAlignment="1" applyProtection="1">
      <alignment horizontal="center"/>
    </xf>
    <xf numFmtId="3" fontId="18" fillId="3" borderId="36" xfId="11" applyNumberFormat="1" applyFont="1" applyFill="1" applyBorder="1" applyAlignment="1" applyProtection="1">
      <alignment horizontal="center"/>
    </xf>
    <xf numFmtId="0" fontId="11" fillId="0" borderId="21" xfId="11" applyFont="1" applyFill="1" applyBorder="1" applyProtection="1"/>
    <xf numFmtId="0" fontId="11" fillId="0" borderId="0" xfId="11" applyFont="1" applyFill="1" applyBorder="1" applyProtection="1"/>
    <xf numFmtId="0" fontId="11" fillId="0" borderId="19" xfId="11" applyFont="1" applyFill="1" applyBorder="1" applyProtection="1"/>
    <xf numFmtId="3" fontId="11" fillId="0" borderId="21" xfId="11" applyNumberFormat="1" applyFont="1" applyFill="1" applyBorder="1" applyAlignment="1" applyProtection="1">
      <alignment horizontal="center" wrapText="1"/>
    </xf>
    <xf numFmtId="0" fontId="74" fillId="0" borderId="0" xfId="0" applyFont="1"/>
    <xf numFmtId="0" fontId="79" fillId="20" borderId="40" xfId="0" applyFont="1" applyFill="1" applyBorder="1" applyAlignment="1">
      <alignment horizontal="center"/>
    </xf>
    <xf numFmtId="212" fontId="30" fillId="4" borderId="12" xfId="10" applyNumberFormat="1" applyFont="1" applyFill="1" applyBorder="1" applyAlignment="1" applyProtection="1">
      <alignment horizontal="center"/>
    </xf>
    <xf numFmtId="0" fontId="6" fillId="3" borderId="40" xfId="13" applyFont="1" applyFill="1" applyBorder="1" applyProtection="1"/>
    <xf numFmtId="0" fontId="16" fillId="4" borderId="22" xfId="13" applyFont="1" applyFill="1" applyBorder="1" applyAlignment="1" applyProtection="1">
      <alignment horizontal="center"/>
    </xf>
    <xf numFmtId="0" fontId="16" fillId="4" borderId="24" xfId="13" applyFont="1" applyFill="1" applyBorder="1" applyAlignment="1" applyProtection="1">
      <alignment horizontal="center"/>
    </xf>
    <xf numFmtId="0" fontId="16" fillId="4" borderId="16" xfId="13" applyFont="1" applyFill="1" applyBorder="1" applyAlignment="1" applyProtection="1">
      <alignment horizontal="centerContinuous"/>
    </xf>
    <xf numFmtId="180" fontId="6" fillId="3" borderId="46" xfId="13" applyNumberFormat="1" applyFont="1" applyFill="1" applyBorder="1" applyAlignment="1" applyProtection="1">
      <alignment horizontal="right"/>
    </xf>
    <xf numFmtId="0" fontId="6" fillId="12" borderId="19" xfId="13" applyFont="1" applyFill="1" applyBorder="1" applyProtection="1"/>
    <xf numFmtId="0" fontId="11" fillId="3" borderId="47" xfId="10" applyFont="1" applyFill="1" applyBorder="1" applyAlignment="1" applyProtection="1">
      <alignment horizontal="center"/>
    </xf>
    <xf numFmtId="0" fontId="11" fillId="19" borderId="48" xfId="10" applyFont="1" applyFill="1" applyBorder="1" applyAlignment="1" applyProtection="1">
      <alignment horizontal="center"/>
    </xf>
    <xf numFmtId="0" fontId="6" fillId="3" borderId="23" xfId="13" applyFont="1" applyFill="1" applyBorder="1" applyAlignment="1" applyProtection="1">
      <alignment horizontal="right"/>
    </xf>
    <xf numFmtId="0" fontId="6" fillId="3" borderId="49" xfId="13" applyFont="1" applyFill="1" applyBorder="1" applyAlignment="1" applyProtection="1">
      <alignment horizontal="right"/>
    </xf>
    <xf numFmtId="0" fontId="53" fillId="12" borderId="0" xfId="3" applyFont="1" applyFill="1" applyBorder="1"/>
    <xf numFmtId="180" fontId="19" fillId="11" borderId="2" xfId="13" applyNumberFormat="1" applyFont="1" applyFill="1" applyBorder="1" applyAlignment="1" applyProtection="1">
      <alignment horizontal="right"/>
    </xf>
    <xf numFmtId="173" fontId="16" fillId="4" borderId="36" xfId="13" applyNumberFormat="1" applyFont="1" applyFill="1" applyBorder="1" applyProtection="1"/>
    <xf numFmtId="0" fontId="16" fillId="4" borderId="16" xfId="13" applyFont="1" applyFill="1" applyBorder="1" applyAlignment="1" applyProtection="1">
      <alignment horizontal="center"/>
    </xf>
    <xf numFmtId="0" fontId="6" fillId="4" borderId="16" xfId="13" applyFont="1" applyFill="1" applyBorder="1" applyAlignment="1" applyProtection="1">
      <alignment horizontal="centerContinuous"/>
    </xf>
    <xf numFmtId="170" fontId="16" fillId="4" borderId="16" xfId="13" applyNumberFormat="1" applyFont="1" applyFill="1" applyBorder="1" applyAlignment="1" applyProtection="1">
      <alignment horizontal="center"/>
    </xf>
    <xf numFmtId="170" fontId="50" fillId="12" borderId="16" xfId="13" applyNumberFormat="1" applyFont="1" applyFill="1" applyBorder="1" applyAlignment="1" applyProtection="1">
      <alignment horizontal="center"/>
    </xf>
    <xf numFmtId="170" fontId="49" fillId="12" borderId="16" xfId="13" applyNumberFormat="1" applyFont="1" applyFill="1" applyBorder="1" applyAlignment="1" applyProtection="1">
      <alignment horizontal="center"/>
    </xf>
    <xf numFmtId="4" fontId="19" fillId="0" borderId="24" xfId="10" applyNumberFormat="1" applyFont="1" applyFill="1" applyBorder="1" applyAlignment="1" applyProtection="1">
      <protection locked="0"/>
    </xf>
    <xf numFmtId="183" fontId="19" fillId="4" borderId="24" xfId="15" applyNumberFormat="1" applyFont="1" applyFill="1" applyBorder="1" applyAlignment="1" applyProtection="1">
      <alignment horizontal="center"/>
    </xf>
    <xf numFmtId="207" fontId="27" fillId="4" borderId="16" xfId="11" applyNumberFormat="1" applyFont="1" applyFill="1" applyBorder="1" applyAlignment="1" applyProtection="1">
      <alignment horizontal="center"/>
    </xf>
    <xf numFmtId="0" fontId="16" fillId="19" borderId="21" xfId="13" applyFont="1" applyFill="1" applyBorder="1" applyAlignment="1" applyProtection="1">
      <alignment horizontal="center"/>
    </xf>
    <xf numFmtId="0" fontId="16" fillId="19" borderId="21" xfId="13" applyFont="1" applyFill="1" applyBorder="1" applyAlignment="1" applyProtection="1">
      <alignment horizontal="centerContinuous"/>
    </xf>
    <xf numFmtId="0" fontId="6" fillId="19" borderId="19" xfId="13" applyFont="1" applyFill="1" applyBorder="1" applyAlignment="1" applyProtection="1">
      <alignment horizontal="centerContinuous"/>
    </xf>
    <xf numFmtId="0" fontId="18" fillId="3" borderId="0" xfId="13" applyFont="1" applyFill="1" applyBorder="1" applyAlignment="1" applyProtection="1">
      <alignment horizontal="centerContinuous" vertical="center"/>
    </xf>
    <xf numFmtId="169" fontId="18" fillId="4" borderId="0" xfId="11" applyNumberFormat="1" applyFont="1" applyFill="1" applyBorder="1" applyAlignment="1" applyProtection="1">
      <alignment horizontal="left"/>
    </xf>
    <xf numFmtId="214" fontId="6" fillId="3" borderId="3" xfId="13" applyNumberFormat="1" applyFont="1" applyFill="1" applyBorder="1" applyAlignment="1" applyProtection="1">
      <alignment horizontal="center"/>
    </xf>
    <xf numFmtId="0" fontId="16" fillId="4" borderId="23" xfId="13" applyFont="1" applyFill="1" applyBorder="1" applyAlignment="1" applyProtection="1">
      <alignment horizontal="center"/>
    </xf>
    <xf numFmtId="0" fontId="6" fillId="4" borderId="37" xfId="13" applyFont="1" applyFill="1" applyBorder="1" applyAlignment="1" applyProtection="1">
      <alignment horizontal="right"/>
    </xf>
    <xf numFmtId="0" fontId="6" fillId="7" borderId="16" xfId="13" applyFont="1" applyFill="1" applyBorder="1" applyAlignment="1" applyProtection="1">
      <alignment horizontal="center"/>
    </xf>
    <xf numFmtId="189" fontId="27" fillId="2" borderId="24" xfId="13" applyNumberFormat="1" applyFont="1" applyFill="1" applyBorder="1" applyAlignment="1" applyProtection="1">
      <alignment horizontal="center"/>
    </xf>
    <xf numFmtId="170" fontId="27" fillId="2" borderId="22" xfId="13" applyNumberFormat="1" applyFont="1" applyFill="1" applyBorder="1" applyAlignment="1" applyProtection="1">
      <alignment horizontal="center"/>
    </xf>
    <xf numFmtId="171" fontId="19" fillId="2" borderId="16" xfId="11" applyNumberFormat="1" applyFont="1" applyFill="1" applyBorder="1" applyAlignment="1" applyProtection="1">
      <alignment horizontal="center"/>
    </xf>
    <xf numFmtId="169" fontId="19" fillId="2" borderId="16" xfId="11" applyNumberFormat="1" applyFont="1" applyFill="1" applyBorder="1" applyAlignment="1" applyProtection="1">
      <alignment horizontal="center"/>
    </xf>
    <xf numFmtId="175" fontId="41" fillId="2" borderId="16" xfId="11" applyNumberFormat="1" applyFont="1" applyFill="1" applyBorder="1" applyAlignment="1" applyProtection="1">
      <alignment horizontal="center"/>
    </xf>
    <xf numFmtId="3" fontId="18" fillId="3" borderId="19" xfId="11" applyNumberFormat="1" applyFont="1" applyFill="1" applyBorder="1" applyAlignment="1" applyProtection="1">
      <alignment horizontal="center"/>
    </xf>
    <xf numFmtId="197" fontId="48" fillId="21" borderId="16" xfId="11" applyNumberFormat="1" applyFont="1" applyFill="1" applyBorder="1" applyAlignment="1" applyProtection="1">
      <alignment horizontal="center"/>
    </xf>
    <xf numFmtId="173" fontId="82" fillId="4" borderId="16" xfId="13" applyNumberFormat="1" applyFont="1" applyFill="1" applyBorder="1" applyAlignment="1" applyProtection="1">
      <alignment horizontal="center"/>
    </xf>
    <xf numFmtId="0" fontId="83" fillId="0" borderId="0" xfId="3" applyFont="1"/>
    <xf numFmtId="9" fontId="14" fillId="0" borderId="38" xfId="14" applyFont="1" applyBorder="1" applyAlignment="1" applyProtection="1">
      <alignment horizontal="center"/>
    </xf>
    <xf numFmtId="169" fontId="10" fillId="8" borderId="0" xfId="11" applyNumberFormat="1" applyFont="1" applyFill="1" applyAlignment="1" applyProtection="1">
      <alignment horizontal="center"/>
    </xf>
    <xf numFmtId="0" fontId="6" fillId="0" borderId="0" xfId="13" applyFont="1" applyAlignment="1" applyProtection="1">
      <alignment horizontal="right"/>
    </xf>
    <xf numFmtId="168" fontId="6" fillId="11" borderId="0" xfId="13" applyNumberFormat="1" applyFont="1" applyFill="1" applyBorder="1" applyAlignment="1" applyProtection="1">
      <alignment horizontal="center"/>
    </xf>
    <xf numFmtId="1" fontId="6" fillId="7" borderId="0" xfId="13" applyNumberFormat="1" applyFont="1" applyFill="1" applyBorder="1" applyAlignment="1" applyProtection="1">
      <alignment horizontal="center"/>
    </xf>
    <xf numFmtId="168" fontId="6" fillId="7" borderId="0" xfId="13" applyNumberFormat="1" applyFont="1" applyFill="1" applyBorder="1" applyAlignment="1" applyProtection="1">
      <alignment horizontal="center"/>
    </xf>
    <xf numFmtId="0" fontId="6" fillId="3" borderId="41" xfId="13" applyFont="1" applyFill="1" applyBorder="1" applyProtection="1"/>
    <xf numFmtId="0" fontId="6" fillId="3" borderId="12" xfId="13" applyFont="1" applyFill="1" applyBorder="1" applyProtection="1"/>
    <xf numFmtId="0" fontId="6" fillId="3" borderId="37" xfId="13" applyFont="1" applyFill="1" applyBorder="1" applyProtection="1"/>
    <xf numFmtId="170" fontId="18" fillId="10" borderId="20" xfId="13" applyNumberFormat="1" applyFont="1" applyFill="1" applyBorder="1" applyAlignment="1" applyProtection="1">
      <alignment horizontal="center"/>
    </xf>
    <xf numFmtId="0" fontId="6" fillId="3" borderId="39" xfId="13" applyFont="1" applyFill="1" applyBorder="1" applyProtection="1"/>
    <xf numFmtId="168" fontId="6" fillId="11" borderId="21" xfId="13" applyNumberFormat="1" applyFont="1" applyFill="1" applyBorder="1" applyAlignment="1" applyProtection="1">
      <alignment horizontal="center"/>
    </xf>
    <xf numFmtId="3" fontId="18" fillId="3" borderId="20" xfId="11" applyNumberFormat="1" applyFont="1" applyFill="1" applyBorder="1" applyAlignment="1" applyProtection="1">
      <alignment horizontal="center"/>
    </xf>
    <xf numFmtId="0" fontId="18" fillId="3" borderId="20" xfId="11" applyFont="1" applyFill="1" applyBorder="1" applyAlignment="1" applyProtection="1">
      <alignment horizontal="center"/>
    </xf>
    <xf numFmtId="169" fontId="18" fillId="4" borderId="19" xfId="11" applyNumberFormat="1" applyFont="1" applyFill="1" applyBorder="1" applyAlignment="1" applyProtection="1">
      <alignment horizontal="left"/>
    </xf>
    <xf numFmtId="0" fontId="16" fillId="3" borderId="19" xfId="13" applyFont="1" applyFill="1" applyBorder="1" applyAlignment="1" applyProtection="1">
      <alignment horizontal="centerContinuous" vertical="center"/>
    </xf>
    <xf numFmtId="168" fontId="6" fillId="7" borderId="19" xfId="13" applyNumberFormat="1" applyFont="1" applyFill="1" applyBorder="1" applyAlignment="1" applyProtection="1">
      <alignment horizontal="center"/>
    </xf>
    <xf numFmtId="0" fontId="6" fillId="3" borderId="36" xfId="13" applyFont="1" applyFill="1" applyBorder="1" applyAlignment="1" applyProtection="1">
      <alignment horizontal="center" vertical="center"/>
    </xf>
    <xf numFmtId="0" fontId="19" fillId="3" borderId="37" xfId="11" applyFont="1" applyFill="1" applyBorder="1" applyAlignment="1" applyProtection="1">
      <alignment horizontal="center"/>
    </xf>
    <xf numFmtId="0" fontId="19" fillId="0" borderId="0" xfId="3" applyFont="1" applyProtection="1"/>
    <xf numFmtId="183" fontId="27" fillId="0" borderId="50" xfId="14" applyNumberFormat="1" applyFont="1" applyFill="1" applyBorder="1" applyAlignment="1" applyProtection="1">
      <alignment horizontal="center"/>
    </xf>
    <xf numFmtId="189" fontId="16" fillId="4" borderId="16" xfId="13" applyNumberFormat="1" applyFont="1" applyFill="1" applyBorder="1" applyAlignment="1" applyProtection="1">
      <alignment horizontal="center"/>
    </xf>
    <xf numFmtId="0" fontId="19" fillId="0" borderId="0" xfId="6" applyFont="1"/>
    <xf numFmtId="0" fontId="18" fillId="4" borderId="21" xfId="6" applyFont="1" applyFill="1" applyBorder="1" applyAlignment="1">
      <alignment horizontal="center"/>
    </xf>
    <xf numFmtId="9" fontId="19" fillId="2" borderId="41" xfId="14" applyFont="1" applyFill="1" applyBorder="1" applyAlignment="1">
      <alignment horizontal="center"/>
    </xf>
    <xf numFmtId="0" fontId="97" fillId="8" borderId="0" xfId="6" applyFont="1" applyFill="1" applyAlignment="1">
      <alignment horizontal="center"/>
    </xf>
    <xf numFmtId="0" fontId="19" fillId="0" borderId="0" xfId="6" applyFont="1" applyAlignment="1">
      <alignment horizontal="center"/>
    </xf>
    <xf numFmtId="168" fontId="19" fillId="0" borderId="0" xfId="6" applyNumberFormat="1" applyFont="1"/>
    <xf numFmtId="0" fontId="97" fillId="8" borderId="40" xfId="6" applyFont="1" applyFill="1" applyBorder="1" applyAlignment="1">
      <alignment horizontal="center"/>
    </xf>
    <xf numFmtId="168" fontId="19" fillId="0" borderId="0" xfId="6" applyNumberFormat="1" applyFont="1" applyBorder="1" applyAlignment="1">
      <alignment horizontal="center"/>
    </xf>
    <xf numFmtId="168" fontId="19" fillId="0" borderId="0" xfId="6" applyNumberFormat="1" applyFont="1" applyFill="1" applyBorder="1" applyAlignment="1">
      <alignment horizontal="center"/>
    </xf>
    <xf numFmtId="192" fontId="87" fillId="12" borderId="36" xfId="11" applyNumberFormat="1" applyFont="1" applyFill="1" applyBorder="1" applyAlignment="1" applyProtection="1">
      <alignment horizontal="left"/>
    </xf>
    <xf numFmtId="192" fontId="87" fillId="12" borderId="19" xfId="11" applyNumberFormat="1" applyFont="1" applyFill="1" applyBorder="1" applyAlignment="1" applyProtection="1">
      <alignment horizontal="left"/>
    </xf>
    <xf numFmtId="192" fontId="87" fillId="12" borderId="37" xfId="11" applyNumberFormat="1" applyFont="1" applyFill="1" applyBorder="1" applyAlignment="1" applyProtection="1">
      <alignment horizontal="left"/>
    </xf>
    <xf numFmtId="0" fontId="19" fillId="0" borderId="39" xfId="6" applyFont="1" applyBorder="1" applyAlignment="1">
      <alignment horizontal="center"/>
    </xf>
    <xf numFmtId="168" fontId="35" fillId="11" borderId="0" xfId="11" applyNumberFormat="1" applyFont="1" applyFill="1" applyBorder="1" applyAlignment="1" applyProtection="1">
      <alignment horizontal="center"/>
    </xf>
    <xf numFmtId="3" fontId="19" fillId="4" borderId="19" xfId="6" applyNumberFormat="1" applyFont="1" applyFill="1" applyBorder="1" applyAlignment="1">
      <alignment horizontal="center"/>
    </xf>
    <xf numFmtId="0" fontId="18" fillId="4" borderId="21" xfId="6" applyFont="1" applyFill="1" applyBorder="1" applyAlignment="1">
      <alignment horizontal="centerContinuous"/>
    </xf>
    <xf numFmtId="0" fontId="18" fillId="4" borderId="19" xfId="6" applyFont="1" applyFill="1" applyBorder="1" applyAlignment="1">
      <alignment horizontal="centerContinuous"/>
    </xf>
    <xf numFmtId="172" fontId="19" fillId="4" borderId="19" xfId="6" applyNumberFormat="1" applyFont="1" applyFill="1" applyBorder="1" applyAlignment="1">
      <alignment horizontal="center"/>
    </xf>
    <xf numFmtId="0" fontId="19" fillId="0" borderId="21" xfId="10" applyFont="1" applyFill="1" applyBorder="1" applyAlignment="1" applyProtection="1">
      <alignment horizontal="center"/>
    </xf>
    <xf numFmtId="0" fontId="19" fillId="0" borderId="41" xfId="10" applyFont="1" applyFill="1" applyBorder="1" applyAlignment="1" applyProtection="1">
      <alignment horizontal="center"/>
    </xf>
    <xf numFmtId="0" fontId="19" fillId="0" borderId="21" xfId="6" applyFont="1" applyBorder="1"/>
    <xf numFmtId="0" fontId="19" fillId="0" borderId="41" xfId="6" applyFont="1" applyBorder="1"/>
    <xf numFmtId="0" fontId="19" fillId="3" borderId="24" xfId="6" applyFont="1" applyFill="1" applyBorder="1" applyAlignment="1">
      <alignment horizontal="right"/>
    </xf>
    <xf numFmtId="0" fontId="19" fillId="0" borderId="0" xfId="6" applyFont="1" applyBorder="1" applyAlignment="1">
      <alignment horizontal="center"/>
    </xf>
    <xf numFmtId="3" fontId="19" fillId="4" borderId="21" xfId="6" applyNumberFormat="1" applyFont="1" applyFill="1" applyBorder="1" applyAlignment="1">
      <alignment horizontal="center"/>
    </xf>
    <xf numFmtId="168" fontId="19" fillId="3" borderId="23" xfId="6" applyNumberFormat="1" applyFont="1" applyFill="1" applyBorder="1" applyAlignment="1">
      <alignment horizontal="left"/>
    </xf>
    <xf numFmtId="0" fontId="19" fillId="0" borderId="21" xfId="6" applyFont="1" applyBorder="1" applyAlignment="1">
      <alignment horizontal="center"/>
    </xf>
    <xf numFmtId="0" fontId="19" fillId="4" borderId="22" xfId="6" applyFont="1" applyFill="1" applyBorder="1" applyAlignment="1">
      <alignment horizontal="right"/>
    </xf>
    <xf numFmtId="0" fontId="18" fillId="4" borderId="0" xfId="6" applyFont="1" applyFill="1" applyBorder="1" applyAlignment="1">
      <alignment horizontal="centerContinuous"/>
    </xf>
    <xf numFmtId="0" fontId="18" fillId="3" borderId="0" xfId="6" applyFont="1" applyFill="1" applyBorder="1" applyAlignment="1">
      <alignment horizontal="center"/>
    </xf>
    <xf numFmtId="0" fontId="18" fillId="4" borderId="19" xfId="6" applyFont="1" applyFill="1" applyBorder="1" applyAlignment="1">
      <alignment horizontal="center"/>
    </xf>
    <xf numFmtId="168" fontId="19" fillId="4" borderId="19" xfId="6" applyNumberFormat="1" applyFont="1" applyFill="1" applyBorder="1" applyAlignment="1">
      <alignment horizontal="center"/>
    </xf>
    <xf numFmtId="175" fontId="19" fillId="4" borderId="21" xfId="10" applyNumberFormat="1" applyFont="1" applyFill="1" applyBorder="1" applyAlignment="1" applyProtection="1">
      <alignment horizontal="center"/>
    </xf>
    <xf numFmtId="0" fontId="19" fillId="3" borderId="12" xfId="6" applyFont="1" applyFill="1" applyBorder="1"/>
    <xf numFmtId="0" fontId="18" fillId="3" borderId="41" xfId="6" applyFont="1" applyFill="1" applyBorder="1" applyAlignment="1">
      <alignment horizontal="centerContinuous"/>
    </xf>
    <xf numFmtId="0" fontId="18" fillId="3" borderId="12" xfId="6" applyFont="1" applyFill="1" applyBorder="1" applyAlignment="1">
      <alignment horizontal="centerContinuous"/>
    </xf>
    <xf numFmtId="0" fontId="19" fillId="4" borderId="23" xfId="6" applyFont="1" applyFill="1" applyBorder="1" applyAlignment="1">
      <alignment horizontal="right"/>
    </xf>
    <xf numFmtId="3" fontId="18" fillId="19" borderId="35" xfId="10" applyNumberFormat="1" applyFont="1" applyFill="1" applyBorder="1" applyAlignment="1" applyProtection="1">
      <alignment horizontal="center"/>
    </xf>
    <xf numFmtId="3" fontId="18" fillId="23" borderId="40" xfId="10" applyNumberFormat="1" applyFont="1" applyFill="1" applyBorder="1" applyAlignment="1" applyProtection="1">
      <alignment horizontal="center"/>
    </xf>
    <xf numFmtId="4" fontId="6" fillId="0" borderId="35" xfId="10" applyNumberFormat="1" applyFont="1" applyFill="1" applyBorder="1" applyAlignment="1" applyProtection="1">
      <alignment horizontal="center" vertical="center"/>
    </xf>
    <xf numFmtId="170" fontId="100" fillId="0" borderId="0" xfId="10" applyNumberFormat="1" applyFont="1" applyFill="1" applyBorder="1" applyAlignment="1" applyProtection="1">
      <alignment horizontal="center"/>
    </xf>
    <xf numFmtId="3" fontId="18" fillId="24" borderId="40" xfId="10" applyNumberFormat="1" applyFont="1" applyFill="1" applyBorder="1" applyAlignment="1" applyProtection="1">
      <alignment horizontal="center"/>
    </xf>
    <xf numFmtId="3" fontId="18" fillId="25" borderId="35" xfId="10" applyNumberFormat="1" applyFont="1" applyFill="1" applyBorder="1" applyAlignment="1" applyProtection="1">
      <alignment horizontal="center"/>
    </xf>
    <xf numFmtId="170" fontId="19" fillId="4" borderId="0" xfId="10" applyNumberFormat="1" applyFont="1" applyFill="1" applyBorder="1" applyAlignment="1" applyProtection="1">
      <alignment horizontal="center"/>
    </xf>
    <xf numFmtId="187" fontId="15" fillId="4" borderId="20" xfId="13" applyNumberFormat="1" applyFont="1" applyFill="1" applyBorder="1" applyAlignment="1" applyProtection="1">
      <alignment horizontal="center"/>
    </xf>
    <xf numFmtId="169" fontId="101" fillId="4" borderId="0" xfId="10" applyNumberFormat="1" applyFont="1" applyFill="1" applyBorder="1" applyAlignment="1" applyProtection="1"/>
    <xf numFmtId="183" fontId="27" fillId="7" borderId="51" xfId="14" applyNumberFormat="1" applyFont="1" applyFill="1" applyBorder="1" applyAlignment="1" applyProtection="1">
      <alignment horizontal="center"/>
    </xf>
    <xf numFmtId="3" fontId="19" fillId="0" borderId="39" xfId="6" applyNumberFormat="1" applyFont="1" applyBorder="1" applyAlignment="1" applyProtection="1">
      <alignment horizontal="center"/>
      <protection locked="0"/>
    </xf>
    <xf numFmtId="0" fontId="19" fillId="0" borderId="38" xfId="6" applyFont="1" applyBorder="1" applyAlignment="1">
      <alignment horizontal="center"/>
    </xf>
    <xf numFmtId="0" fontId="97" fillId="8" borderId="35" xfId="6" applyFont="1" applyFill="1" applyBorder="1" applyAlignment="1">
      <alignment horizontal="center"/>
    </xf>
    <xf numFmtId="0" fontId="19" fillId="0" borderId="20" xfId="6" applyFont="1" applyBorder="1" applyAlignment="1">
      <alignment horizontal="center"/>
    </xf>
    <xf numFmtId="170" fontId="6" fillId="0" borderId="0" xfId="13" applyNumberFormat="1" applyFont="1" applyProtection="1"/>
    <xf numFmtId="199" fontId="19" fillId="2" borderId="0" xfId="10" applyNumberFormat="1" applyFont="1" applyFill="1" applyBorder="1" applyAlignment="1" applyProtection="1">
      <alignment horizontal="left"/>
    </xf>
    <xf numFmtId="202" fontId="30" fillId="2" borderId="0" xfId="0" applyNumberFormat="1" applyFont="1" applyFill="1" applyBorder="1" applyAlignment="1" applyProtection="1">
      <alignment horizontal="centerContinuous"/>
      <protection locked="0"/>
    </xf>
    <xf numFmtId="0" fontId="19" fillId="0" borderId="16" xfId="6" applyFont="1" applyFill="1" applyBorder="1" applyAlignment="1" applyProtection="1">
      <alignment horizontal="center"/>
      <protection locked="0"/>
    </xf>
    <xf numFmtId="0" fontId="18" fillId="4" borderId="0" xfId="6" applyFont="1" applyFill="1" applyBorder="1" applyAlignment="1">
      <alignment horizontal="center"/>
    </xf>
    <xf numFmtId="3" fontId="16" fillId="10" borderId="20" xfId="11" applyNumberFormat="1" applyFont="1" applyFill="1" applyBorder="1" applyAlignment="1" applyProtection="1">
      <alignment horizontal="left"/>
    </xf>
    <xf numFmtId="168" fontId="19" fillId="3" borderId="0" xfId="6" applyNumberFormat="1" applyFont="1" applyFill="1" applyBorder="1" applyAlignment="1">
      <alignment horizontal="center"/>
    </xf>
    <xf numFmtId="0" fontId="19" fillId="2" borderId="38" xfId="6" applyFont="1" applyFill="1" applyBorder="1" applyAlignment="1">
      <alignment horizontal="center"/>
    </xf>
    <xf numFmtId="182" fontId="19" fillId="0" borderId="22" xfId="6" applyNumberFormat="1" applyFont="1" applyBorder="1" applyAlignment="1" applyProtection="1">
      <alignment horizontal="center"/>
      <protection locked="0"/>
    </xf>
    <xf numFmtId="0" fontId="19" fillId="2" borderId="39" xfId="6" applyFont="1" applyFill="1" applyBorder="1" applyAlignment="1" applyProtection="1">
      <alignment horizontal="center"/>
      <protection locked="0"/>
    </xf>
    <xf numFmtId="0" fontId="26" fillId="8" borderId="21" xfId="10" applyFont="1" applyFill="1" applyBorder="1" applyAlignment="1" applyProtection="1">
      <alignment horizontal="center"/>
    </xf>
    <xf numFmtId="168" fontId="19" fillId="10" borderId="0" xfId="6" applyNumberFormat="1" applyFont="1" applyFill="1" applyBorder="1" applyAlignment="1">
      <alignment horizontal="center"/>
    </xf>
    <xf numFmtId="218" fontId="19" fillId="0" borderId="0" xfId="6" applyNumberFormat="1" applyFont="1" applyFill="1" applyBorder="1" applyAlignment="1">
      <alignment horizontal="center"/>
    </xf>
    <xf numFmtId="218" fontId="19" fillId="0" borderId="0" xfId="6" applyNumberFormat="1" applyFont="1" applyBorder="1" applyAlignment="1">
      <alignment horizontal="center"/>
    </xf>
    <xf numFmtId="0" fontId="19" fillId="0" borderId="12" xfId="6" applyFont="1" applyBorder="1" applyAlignment="1">
      <alignment horizontal="center"/>
    </xf>
    <xf numFmtId="0" fontId="19" fillId="0" borderId="16" xfId="6" applyFont="1" applyBorder="1" applyAlignment="1">
      <alignment horizontal="center"/>
    </xf>
    <xf numFmtId="167" fontId="19" fillId="0" borderId="16" xfId="6" applyNumberFormat="1" applyFont="1" applyBorder="1" applyAlignment="1">
      <alignment horizontal="center"/>
    </xf>
    <xf numFmtId="0" fontId="99" fillId="8" borderId="24" xfId="6" applyFont="1" applyFill="1" applyBorder="1" applyAlignment="1">
      <alignment horizontal="center"/>
    </xf>
    <xf numFmtId="0" fontId="99" fillId="8" borderId="23" xfId="6" applyFont="1" applyFill="1" applyBorder="1" applyAlignment="1">
      <alignment horizontal="center"/>
    </xf>
    <xf numFmtId="0" fontId="4" fillId="0" borderId="0" xfId="10" applyFont="1" applyFill="1" applyProtection="1"/>
    <xf numFmtId="3" fontId="4" fillId="0" borderId="0" xfId="10" applyNumberFormat="1" applyFont="1" applyFill="1" applyAlignment="1" applyProtection="1">
      <alignment horizontal="center" wrapText="1"/>
    </xf>
    <xf numFmtId="9" fontId="4" fillId="0" borderId="0" xfId="14" applyFont="1" applyFill="1" applyAlignment="1" applyProtection="1">
      <alignment horizontal="center"/>
    </xf>
    <xf numFmtId="9" fontId="4" fillId="0" borderId="0" xfId="10" applyNumberFormat="1" applyFont="1" applyFill="1" applyProtection="1"/>
    <xf numFmtId="169" fontId="4" fillId="0" borderId="0" xfId="10" applyNumberFormat="1" applyFont="1" applyFill="1" applyProtection="1"/>
    <xf numFmtId="2" fontId="19" fillId="0" borderId="16" xfId="6" applyNumberFormat="1" applyFont="1" applyBorder="1" applyAlignment="1">
      <alignment horizontal="center"/>
    </xf>
    <xf numFmtId="0" fontId="19" fillId="0" borderId="0" xfId="13" applyFont="1" applyProtection="1"/>
    <xf numFmtId="0" fontId="19" fillId="3" borderId="16" xfId="6" applyFont="1" applyFill="1" applyBorder="1" applyAlignment="1">
      <alignment horizontal="center"/>
    </xf>
    <xf numFmtId="0" fontId="6" fillId="0" borderId="0" xfId="13" applyFont="1" applyFill="1" applyBorder="1" applyProtection="1"/>
    <xf numFmtId="0" fontId="19" fillId="8" borderId="4" xfId="6" applyFont="1" applyFill="1" applyBorder="1"/>
    <xf numFmtId="0" fontId="19" fillId="2" borderId="41" xfId="6" applyFont="1" applyFill="1" applyBorder="1" applyAlignment="1" applyProtection="1">
      <alignment horizontal="right"/>
    </xf>
    <xf numFmtId="183" fontId="19" fillId="4" borderId="0" xfId="14" applyNumberFormat="1" applyFont="1" applyFill="1" applyBorder="1" applyAlignment="1">
      <alignment horizontal="right" indent="1"/>
    </xf>
    <xf numFmtId="0" fontId="18" fillId="3" borderId="0" xfId="6" applyFont="1" applyFill="1" applyBorder="1" applyAlignment="1">
      <alignment horizontal="centerContinuous"/>
    </xf>
    <xf numFmtId="0" fontId="19" fillId="3" borderId="41" xfId="6" applyFont="1" applyFill="1" applyBorder="1" applyAlignment="1" applyProtection="1">
      <alignment horizontal="center"/>
      <protection locked="0"/>
    </xf>
    <xf numFmtId="3" fontId="6" fillId="4" borderId="21" xfId="13" applyNumberFormat="1" applyFont="1" applyFill="1" applyBorder="1" applyProtection="1"/>
    <xf numFmtId="0" fontId="6" fillId="13" borderId="41" xfId="13" applyFont="1" applyFill="1" applyBorder="1" applyProtection="1"/>
    <xf numFmtId="0" fontId="16" fillId="3" borderId="16" xfId="13" applyFont="1" applyFill="1" applyBorder="1" applyProtection="1"/>
    <xf numFmtId="0" fontId="6" fillId="3" borderId="22" xfId="13" applyFont="1" applyFill="1" applyBorder="1" applyProtection="1"/>
    <xf numFmtId="0" fontId="6" fillId="3" borderId="24" xfId="13" applyFont="1" applyFill="1" applyBorder="1" applyProtection="1"/>
    <xf numFmtId="0" fontId="6" fillId="3" borderId="23" xfId="13" applyFont="1" applyFill="1" applyBorder="1" applyProtection="1"/>
    <xf numFmtId="0" fontId="21" fillId="3" borderId="20" xfId="13" applyFont="1" applyFill="1" applyBorder="1" applyAlignment="1" applyProtection="1">
      <alignment vertical="center"/>
    </xf>
    <xf numFmtId="0" fontId="21" fillId="3" borderId="19" xfId="13" applyFont="1" applyFill="1" applyBorder="1" applyAlignment="1" applyProtection="1">
      <alignment horizontal="centerContinuous" vertical="center"/>
    </xf>
    <xf numFmtId="168" fontId="104" fillId="3" borderId="41" xfId="13" applyNumberFormat="1" applyFont="1" applyFill="1" applyBorder="1" applyAlignment="1" applyProtection="1">
      <alignment horizontal="center"/>
    </xf>
    <xf numFmtId="1" fontId="104" fillId="3" borderId="12" xfId="13" applyNumberFormat="1" applyFont="1" applyFill="1" applyBorder="1" applyAlignment="1" applyProtection="1">
      <alignment horizontal="center"/>
    </xf>
    <xf numFmtId="168" fontId="104" fillId="3" borderId="12" xfId="13" applyNumberFormat="1" applyFont="1" applyFill="1" applyBorder="1" applyAlignment="1" applyProtection="1">
      <alignment horizontal="center"/>
    </xf>
    <xf numFmtId="168" fontId="104" fillId="3" borderId="37" xfId="13" applyNumberFormat="1" applyFont="1" applyFill="1" applyBorder="1" applyAlignment="1" applyProtection="1">
      <alignment horizontal="center"/>
    </xf>
    <xf numFmtId="3" fontId="105" fillId="13" borderId="22" xfId="11" applyNumberFormat="1" applyFont="1" applyFill="1" applyBorder="1" applyAlignment="1" applyProtection="1">
      <alignment horizontal="center"/>
    </xf>
    <xf numFmtId="3" fontId="105" fillId="13" borderId="24" xfId="11" applyNumberFormat="1" applyFont="1" applyFill="1" applyBorder="1" applyAlignment="1" applyProtection="1">
      <alignment horizontal="center"/>
    </xf>
    <xf numFmtId="3" fontId="106" fillId="13" borderId="24" xfId="11" applyNumberFormat="1" applyFont="1" applyFill="1" applyBorder="1" applyAlignment="1" applyProtection="1">
      <alignment horizontal="center"/>
    </xf>
    <xf numFmtId="170" fontId="105" fillId="13" borderId="24" xfId="11" applyNumberFormat="1" applyFont="1" applyFill="1" applyBorder="1" applyAlignment="1" applyProtection="1">
      <alignment horizontal="center"/>
    </xf>
    <xf numFmtId="170" fontId="105" fillId="13" borderId="23" xfId="11" applyNumberFormat="1" applyFont="1" applyFill="1" applyBorder="1" applyAlignment="1" applyProtection="1">
      <alignment horizontal="center"/>
    </xf>
    <xf numFmtId="0" fontId="107" fillId="2" borderId="36" xfId="6" applyFont="1" applyFill="1" applyBorder="1"/>
    <xf numFmtId="0" fontId="97" fillId="8" borderId="36" xfId="6" applyFont="1" applyFill="1" applyBorder="1" applyAlignment="1">
      <alignment horizontal="center"/>
    </xf>
    <xf numFmtId="0" fontId="18" fillId="3" borderId="40" xfId="6" applyFont="1" applyFill="1" applyBorder="1" applyAlignment="1">
      <alignment horizontal="centerContinuous"/>
    </xf>
    <xf numFmtId="0" fontId="108" fillId="0" borderId="0" xfId="0" applyFont="1"/>
    <xf numFmtId="9" fontId="19" fillId="0" borderId="16" xfId="14" applyNumberFormat="1" applyFont="1" applyFill="1" applyBorder="1" applyAlignment="1" applyProtection="1">
      <alignment horizontal="center"/>
      <protection locked="0"/>
    </xf>
    <xf numFmtId="9" fontId="19" fillId="0" borderId="38" xfId="14" applyFont="1" applyFill="1" applyBorder="1" applyAlignment="1" applyProtection="1">
      <alignment horizontal="center"/>
      <protection locked="0"/>
    </xf>
    <xf numFmtId="0" fontId="18" fillId="0" borderId="0" xfId="6" applyFont="1"/>
    <xf numFmtId="0" fontId="102" fillId="18" borderId="23" xfId="10" applyFont="1" applyFill="1" applyBorder="1" applyAlignment="1" applyProtection="1">
      <alignment horizontal="centerContinuous"/>
    </xf>
    <xf numFmtId="0" fontId="4" fillId="0" borderId="37" xfId="10" applyFont="1" applyFill="1" applyBorder="1" applyAlignment="1" applyProtection="1">
      <alignment horizontal="center"/>
    </xf>
    <xf numFmtId="3" fontId="23" fillId="3" borderId="41" xfId="11" applyNumberFormat="1" applyFont="1" applyFill="1" applyBorder="1" applyAlignment="1" applyProtection="1">
      <alignment horizontal="centerContinuous"/>
    </xf>
    <xf numFmtId="9" fontId="10" fillId="3" borderId="37" xfId="15" applyFont="1" applyFill="1" applyBorder="1" applyAlignment="1" applyProtection="1">
      <alignment horizontal="centerContinuous"/>
    </xf>
    <xf numFmtId="0" fontId="99" fillId="18" borderId="40" xfId="6" applyFont="1" applyFill="1" applyBorder="1" applyAlignment="1">
      <alignment horizontal="centerContinuous"/>
    </xf>
    <xf numFmtId="3" fontId="102" fillId="18" borderId="22" xfId="11" applyNumberFormat="1" applyFont="1" applyFill="1" applyBorder="1" applyAlignment="1" applyProtection="1">
      <alignment horizontal="centerContinuous"/>
    </xf>
    <xf numFmtId="9" fontId="102" fillId="18" borderId="24" xfId="15" applyFont="1" applyFill="1" applyBorder="1" applyAlignment="1" applyProtection="1">
      <alignment horizontal="centerContinuous"/>
    </xf>
    <xf numFmtId="0" fontId="99" fillId="18" borderId="35" xfId="6" applyFont="1" applyFill="1" applyBorder="1" applyAlignment="1">
      <alignment horizontal="centerContinuous"/>
    </xf>
    <xf numFmtId="0" fontId="99" fillId="18" borderId="36" xfId="6" applyFont="1" applyFill="1" applyBorder="1" applyAlignment="1">
      <alignment horizontal="centerContinuous"/>
    </xf>
    <xf numFmtId="0" fontId="18" fillId="18" borderId="36" xfId="6" applyFont="1" applyFill="1" applyBorder="1" applyAlignment="1">
      <alignment horizontal="centerContinuous"/>
    </xf>
    <xf numFmtId="0" fontId="19" fillId="0" borderId="21" xfId="6" applyFont="1" applyBorder="1" applyAlignment="1">
      <alignment horizontal="left"/>
    </xf>
    <xf numFmtId="0" fontId="99" fillId="18" borderId="24" xfId="10" applyFont="1" applyFill="1" applyBorder="1" applyAlignment="1" applyProtection="1">
      <alignment horizontal="centerContinuous"/>
    </xf>
    <xf numFmtId="0" fontId="19" fillId="0" borderId="22" xfId="6" applyFont="1" applyBorder="1" applyAlignment="1" applyProtection="1">
      <alignment horizontal="center"/>
      <protection locked="0"/>
    </xf>
    <xf numFmtId="168" fontId="109" fillId="4" borderId="0" xfId="6" applyNumberFormat="1" applyFont="1" applyFill="1" applyBorder="1" applyAlignment="1">
      <alignment horizontal="center"/>
    </xf>
    <xf numFmtId="183" fontId="27" fillId="7" borderId="52" xfId="14" applyNumberFormat="1" applyFont="1" applyFill="1" applyBorder="1" applyAlignment="1" applyProtection="1">
      <alignment horizontal="center"/>
    </xf>
    <xf numFmtId="0" fontId="19" fillId="4" borderId="38" xfId="6" applyFont="1" applyFill="1" applyBorder="1" applyAlignment="1">
      <alignment horizontal="center"/>
    </xf>
    <xf numFmtId="183" fontId="19" fillId="7" borderId="52" xfId="14" applyNumberFormat="1" applyFont="1" applyFill="1" applyBorder="1" applyAlignment="1" applyProtection="1">
      <alignment horizontal="center"/>
    </xf>
    <xf numFmtId="0" fontId="19" fillId="0" borderId="0" xfId="6" applyFont="1" applyBorder="1"/>
    <xf numFmtId="0" fontId="19" fillId="0" borderId="12" xfId="6" applyFont="1" applyBorder="1"/>
    <xf numFmtId="0" fontId="19" fillId="3" borderId="0" xfId="6" applyFont="1" applyFill="1" applyBorder="1"/>
    <xf numFmtId="0" fontId="110" fillId="3" borderId="22" xfId="6" applyFont="1" applyFill="1" applyBorder="1" applyAlignment="1">
      <alignment horizontal="right"/>
    </xf>
    <xf numFmtId="0" fontId="110" fillId="3" borderId="24" xfId="6" applyFont="1" applyFill="1" applyBorder="1" applyAlignment="1">
      <alignment horizontal="right"/>
    </xf>
    <xf numFmtId="1" fontId="25" fillId="4" borderId="19" xfId="13" applyNumberFormat="1" applyFont="1" applyFill="1" applyBorder="1" applyAlignment="1" applyProtection="1">
      <alignment horizontal="center" vertical="center"/>
    </xf>
    <xf numFmtId="1" fontId="15" fillId="0" borderId="19" xfId="13" applyNumberFormat="1" applyFont="1" applyFill="1" applyBorder="1" applyAlignment="1" applyProtection="1">
      <alignment horizontal="center"/>
    </xf>
    <xf numFmtId="1" fontId="64" fillId="12" borderId="19" xfId="13" applyNumberFormat="1" applyFont="1" applyFill="1" applyBorder="1" applyAlignment="1" applyProtection="1">
      <alignment horizontal="center" vertical="center"/>
    </xf>
    <xf numFmtId="0" fontId="6" fillId="3" borderId="40" xfId="13" applyFont="1" applyFill="1" applyBorder="1" applyAlignment="1" applyProtection="1">
      <alignment horizontal="center"/>
    </xf>
    <xf numFmtId="0" fontId="19" fillId="0" borderId="12" xfId="13" applyFont="1" applyFill="1" applyBorder="1" applyAlignment="1" applyProtection="1">
      <alignment horizontal="center"/>
    </xf>
    <xf numFmtId="0" fontId="6" fillId="3" borderId="0" xfId="13" applyFont="1" applyFill="1" applyBorder="1" applyAlignment="1" applyProtection="1">
      <alignment horizontal="center"/>
    </xf>
    <xf numFmtId="0" fontId="19" fillId="10" borderId="12" xfId="13" applyFont="1" applyFill="1" applyBorder="1" applyAlignment="1" applyProtection="1">
      <alignment horizontal="center"/>
    </xf>
    <xf numFmtId="3" fontId="16" fillId="4" borderId="20" xfId="10" applyNumberFormat="1" applyFont="1" applyFill="1" applyBorder="1" applyAlignment="1" applyProtection="1">
      <alignment horizontal="left" indent="1"/>
    </xf>
    <xf numFmtId="178" fontId="6" fillId="3" borderId="20" xfId="13" applyNumberFormat="1" applyFont="1" applyFill="1" applyBorder="1" applyAlignment="1" applyProtection="1">
      <alignment horizontal="left" indent="1"/>
    </xf>
    <xf numFmtId="0" fontId="6" fillId="3" borderId="20" xfId="13" applyFont="1" applyFill="1" applyBorder="1" applyAlignment="1" applyProtection="1">
      <alignment horizontal="left" indent="1"/>
    </xf>
    <xf numFmtId="0" fontId="6" fillId="3" borderId="20" xfId="13" applyFont="1" applyFill="1" applyBorder="1" applyAlignment="1" applyProtection="1">
      <alignment horizontal="left" indent="2"/>
    </xf>
    <xf numFmtId="3" fontId="50" fillId="12" borderId="20" xfId="11" applyNumberFormat="1" applyFont="1" applyFill="1" applyBorder="1" applyAlignment="1" applyProtection="1">
      <alignment horizontal="left"/>
      <protection locked="0"/>
    </xf>
    <xf numFmtId="0" fontId="6" fillId="0" borderId="20" xfId="13" applyFont="1" applyFill="1" applyBorder="1" applyAlignment="1" applyProtection="1">
      <alignment horizontal="left" indent="1"/>
    </xf>
    <xf numFmtId="178" fontId="6" fillId="0" borderId="21" xfId="13" applyNumberFormat="1" applyFont="1" applyFill="1" applyBorder="1" applyAlignment="1" applyProtection="1">
      <alignment horizontal="left" indent="1"/>
    </xf>
    <xf numFmtId="0" fontId="79" fillId="28" borderId="35" xfId="0" applyFont="1" applyFill="1" applyBorder="1" applyAlignment="1">
      <alignment horizontal="center"/>
    </xf>
    <xf numFmtId="0" fontId="64" fillId="9" borderId="36" xfId="0" applyFont="1" applyFill="1" applyBorder="1" applyAlignment="1">
      <alignment horizontal="center"/>
    </xf>
    <xf numFmtId="0" fontId="64" fillId="15" borderId="21" xfId="0" applyFont="1" applyFill="1" applyBorder="1" applyAlignment="1">
      <alignment horizontal="center"/>
    </xf>
    <xf numFmtId="0" fontId="64" fillId="29" borderId="0" xfId="0" applyFont="1" applyFill="1" applyBorder="1" applyAlignment="1">
      <alignment horizontal="center"/>
    </xf>
    <xf numFmtId="0" fontId="88" fillId="17" borderId="38" xfId="0" applyFont="1" applyFill="1" applyBorder="1" applyAlignment="1">
      <alignment horizontal="center"/>
    </xf>
    <xf numFmtId="0" fontId="64" fillId="19" borderId="41" xfId="0" applyFont="1" applyFill="1" applyBorder="1" applyAlignment="1">
      <alignment horizontal="center"/>
    </xf>
    <xf numFmtId="0" fontId="64" fillId="23" borderId="12" xfId="0" applyFont="1" applyFill="1" applyBorder="1" applyAlignment="1">
      <alignment horizontal="center"/>
    </xf>
    <xf numFmtId="211" fontId="89" fillId="6" borderId="39" xfId="10" applyNumberFormat="1" applyFont="1" applyFill="1" applyBorder="1" applyAlignment="1" applyProtection="1">
      <alignment horizontal="center"/>
    </xf>
    <xf numFmtId="0" fontId="18" fillId="4" borderId="12" xfId="6" applyFont="1" applyFill="1" applyBorder="1" applyAlignment="1"/>
    <xf numFmtId="0" fontId="18" fillId="4" borderId="37" xfId="6" applyFont="1" applyFill="1" applyBorder="1" applyAlignment="1"/>
    <xf numFmtId="9" fontId="18" fillId="4" borderId="40" xfId="6" applyNumberFormat="1" applyFont="1" applyFill="1" applyBorder="1" applyAlignment="1">
      <alignment horizontal="centerContinuous"/>
    </xf>
    <xf numFmtId="0" fontId="19" fillId="8" borderId="19" xfId="6" applyFont="1" applyFill="1" applyBorder="1"/>
    <xf numFmtId="0" fontId="18" fillId="0" borderId="0" xfId="6" applyFont="1" applyBorder="1" applyAlignment="1">
      <alignment horizontal="right"/>
    </xf>
    <xf numFmtId="0" fontId="18" fillId="4" borderId="20" xfId="6" applyFont="1" applyFill="1" applyBorder="1" applyAlignment="1">
      <alignment horizontal="center"/>
    </xf>
    <xf numFmtId="0" fontId="19" fillId="4" borderId="20" xfId="6" applyFont="1" applyFill="1" applyBorder="1" applyAlignment="1">
      <alignment horizontal="center"/>
    </xf>
    <xf numFmtId="0" fontId="19" fillId="4" borderId="39" xfId="6" applyFont="1" applyFill="1" applyBorder="1" applyAlignment="1">
      <alignment horizontal="center"/>
    </xf>
    <xf numFmtId="0" fontId="6" fillId="13" borderId="12" xfId="13" applyFont="1" applyFill="1" applyBorder="1" applyProtection="1"/>
    <xf numFmtId="0" fontId="6" fillId="13" borderId="12" xfId="13" applyFont="1" applyFill="1" applyBorder="1" applyAlignment="1" applyProtection="1">
      <alignment horizontal="centerContinuous"/>
    </xf>
    <xf numFmtId="0" fontId="6" fillId="13" borderId="37" xfId="13" applyFont="1" applyFill="1" applyBorder="1" applyProtection="1"/>
    <xf numFmtId="0" fontId="97" fillId="8" borderId="38" xfId="6" applyFont="1" applyFill="1" applyBorder="1" applyAlignment="1">
      <alignment horizontal="center"/>
    </xf>
    <xf numFmtId="0" fontId="97" fillId="8" borderId="20" xfId="6" applyFont="1" applyFill="1" applyBorder="1" applyAlignment="1">
      <alignment horizontal="center"/>
    </xf>
    <xf numFmtId="9" fontId="19" fillId="0" borderId="16" xfId="14" applyFont="1" applyBorder="1" applyAlignment="1">
      <alignment horizontal="center"/>
    </xf>
    <xf numFmtId="0" fontId="113" fillId="0" borderId="0" xfId="0" applyFont="1"/>
    <xf numFmtId="0" fontId="19" fillId="4" borderId="36" xfId="6" applyFont="1" applyFill="1" applyBorder="1" applyAlignment="1">
      <alignment horizontal="center"/>
    </xf>
    <xf numFmtId="0" fontId="19" fillId="0" borderId="19" xfId="6" applyFont="1" applyBorder="1" applyAlignment="1">
      <alignment horizontal="center"/>
    </xf>
    <xf numFmtId="0" fontId="19" fillId="0" borderId="20" xfId="6" applyFont="1" applyBorder="1"/>
    <xf numFmtId="0" fontId="19" fillId="0" borderId="39" xfId="6" applyFont="1" applyBorder="1"/>
    <xf numFmtId="209" fontId="19" fillId="4" borderId="38" xfId="10" applyNumberFormat="1" applyFont="1" applyFill="1" applyBorder="1" applyAlignment="1" applyProtection="1">
      <alignment horizontal="center"/>
    </xf>
    <xf numFmtId="222" fontId="19" fillId="0" borderId="16" xfId="6" applyNumberFormat="1" applyFont="1" applyFill="1" applyBorder="1" applyAlignment="1" applyProtection="1">
      <alignment horizontal="right"/>
      <protection locked="0"/>
    </xf>
    <xf numFmtId="222" fontId="19" fillId="2" borderId="0" xfId="6" applyNumberFormat="1" applyFont="1" applyFill="1" applyBorder="1" applyAlignment="1">
      <alignment horizontal="right"/>
    </xf>
    <xf numFmtId="175" fontId="19" fillId="4" borderId="0" xfId="6" applyNumberFormat="1" applyFont="1" applyFill="1" applyBorder="1" applyAlignment="1">
      <alignment horizontal="left"/>
    </xf>
    <xf numFmtId="0" fontId="19" fillId="4" borderId="0" xfId="6" applyFont="1" applyFill="1" applyBorder="1" applyAlignment="1">
      <alignment horizontal="right"/>
    </xf>
    <xf numFmtId="183" fontId="19" fillId="7" borderId="51" xfId="14" applyNumberFormat="1" applyFont="1" applyFill="1" applyBorder="1" applyAlignment="1" applyProtection="1">
      <alignment horizontal="center"/>
    </xf>
    <xf numFmtId="183" fontId="27" fillId="7" borderId="0" xfId="14" applyNumberFormat="1" applyFont="1" applyFill="1" applyBorder="1" applyAlignment="1" applyProtection="1">
      <alignment horizontal="center"/>
    </xf>
    <xf numFmtId="169" fontId="100" fillId="4" borderId="0" xfId="10" applyNumberFormat="1" applyFont="1" applyFill="1" applyBorder="1" applyAlignment="1" applyProtection="1"/>
    <xf numFmtId="0" fontId="4" fillId="7" borderId="51" xfId="14" applyNumberFormat="1" applyFont="1" applyFill="1" applyBorder="1" applyAlignment="1" applyProtection="1">
      <alignment horizontal="center"/>
    </xf>
    <xf numFmtId="183" fontId="27" fillId="7" borderId="53" xfId="14" applyNumberFormat="1" applyFont="1" applyFill="1" applyBorder="1" applyAlignment="1" applyProtection="1">
      <alignment horizontal="center"/>
    </xf>
    <xf numFmtId="0" fontId="19" fillId="7" borderId="53" xfId="10" applyFont="1" applyFill="1" applyBorder="1" applyAlignment="1" applyProtection="1">
      <alignment horizontal="center"/>
    </xf>
    <xf numFmtId="183" fontId="19" fillId="7" borderId="53" xfId="14" applyNumberFormat="1" applyFont="1" applyFill="1" applyBorder="1" applyAlignment="1" applyProtection="1">
      <alignment horizontal="center"/>
    </xf>
    <xf numFmtId="183" fontId="27" fillId="7" borderId="54" xfId="14" applyNumberFormat="1" applyFont="1" applyFill="1" applyBorder="1" applyAlignment="1" applyProtection="1">
      <alignment horizontal="center"/>
    </xf>
    <xf numFmtId="0" fontId="4" fillId="7" borderId="54" xfId="14" applyNumberFormat="1" applyFont="1" applyFill="1" applyBorder="1" applyAlignment="1" applyProtection="1">
      <alignment horizontal="center"/>
    </xf>
    <xf numFmtId="0" fontId="18" fillId="11" borderId="35" xfId="6" applyFont="1" applyFill="1" applyBorder="1" applyAlignment="1"/>
    <xf numFmtId="0" fontId="18" fillId="11" borderId="40" xfId="6" applyFont="1" applyFill="1" applyBorder="1" applyAlignment="1"/>
    <xf numFmtId="0" fontId="18" fillId="11" borderId="36" xfId="6" applyFont="1" applyFill="1" applyBorder="1" applyAlignment="1"/>
    <xf numFmtId="169" fontId="100" fillId="4" borderId="55" xfId="10" applyNumberFormat="1" applyFont="1" applyFill="1" applyBorder="1" applyAlignment="1" applyProtection="1"/>
    <xf numFmtId="169" fontId="101" fillId="4" borderId="55" xfId="10" applyNumberFormat="1" applyFont="1" applyFill="1" applyBorder="1" applyAlignment="1" applyProtection="1"/>
    <xf numFmtId="0" fontId="19" fillId="3" borderId="56" xfId="6" applyFont="1" applyFill="1" applyBorder="1" applyAlignment="1">
      <alignment horizontal="right"/>
    </xf>
    <xf numFmtId="3" fontId="101" fillId="4" borderId="57" xfId="10" applyNumberFormat="1" applyFont="1" applyFill="1" applyBorder="1" applyAlignment="1" applyProtection="1"/>
    <xf numFmtId="183" fontId="19" fillId="7" borderId="57" xfId="14" applyNumberFormat="1" applyFont="1" applyFill="1" applyBorder="1" applyAlignment="1" applyProtection="1">
      <alignment horizontal="center"/>
    </xf>
    <xf numFmtId="183" fontId="19" fillId="7" borderId="58" xfId="14" applyNumberFormat="1" applyFont="1" applyFill="1" applyBorder="1" applyAlignment="1" applyProtection="1">
      <alignment horizontal="center"/>
    </xf>
    <xf numFmtId="183" fontId="19" fillId="7" borderId="59" xfId="14" applyNumberFormat="1" applyFont="1" applyFill="1" applyBorder="1" applyAlignment="1" applyProtection="1">
      <alignment horizontal="center"/>
    </xf>
    <xf numFmtId="183" fontId="19" fillId="7" borderId="60" xfId="14" applyNumberFormat="1" applyFont="1" applyFill="1" applyBorder="1" applyAlignment="1" applyProtection="1">
      <alignment horizontal="center"/>
    </xf>
    <xf numFmtId="183" fontId="19" fillId="7" borderId="61" xfId="14" applyNumberFormat="1" applyFont="1" applyFill="1" applyBorder="1" applyAlignment="1" applyProtection="1">
      <alignment horizontal="center"/>
    </xf>
    <xf numFmtId="0" fontId="18" fillId="4" borderId="38" xfId="6" applyFont="1" applyFill="1" applyBorder="1" applyAlignment="1">
      <alignment horizontal="center"/>
    </xf>
    <xf numFmtId="183" fontId="19" fillId="7" borderId="62" xfId="14" applyNumberFormat="1" applyFont="1" applyFill="1" applyBorder="1" applyAlignment="1" applyProtection="1">
      <alignment horizontal="center"/>
    </xf>
    <xf numFmtId="183" fontId="27" fillId="7" borderId="63" xfId="14" applyNumberFormat="1" applyFont="1" applyFill="1" applyBorder="1" applyAlignment="1" applyProtection="1">
      <alignment horizontal="center"/>
    </xf>
    <xf numFmtId="3" fontId="114" fillId="4" borderId="64" xfId="10" applyNumberFormat="1" applyFont="1" applyFill="1" applyBorder="1" applyAlignment="1" applyProtection="1"/>
    <xf numFmtId="0" fontId="114" fillId="3" borderId="35" xfId="6" applyFont="1" applyFill="1" applyBorder="1" applyAlignment="1">
      <alignment horizontal="centerContinuous"/>
    </xf>
    <xf numFmtId="0" fontId="114" fillId="3" borderId="40" xfId="6" applyFont="1" applyFill="1" applyBorder="1" applyAlignment="1">
      <alignment horizontal="centerContinuous"/>
    </xf>
    <xf numFmtId="0" fontId="114" fillId="3" borderId="40" xfId="6" applyFont="1" applyFill="1" applyBorder="1" applyAlignment="1"/>
    <xf numFmtId="3" fontId="115" fillId="12" borderId="21" xfId="13" applyNumberFormat="1" applyFont="1" applyFill="1" applyBorder="1" applyProtection="1"/>
    <xf numFmtId="173" fontId="19" fillId="4" borderId="20" xfId="6" applyNumberFormat="1" applyFont="1" applyFill="1" applyBorder="1" applyAlignment="1">
      <alignment horizontal="center"/>
    </xf>
    <xf numFmtId="173" fontId="19" fillId="4" borderId="39" xfId="6" applyNumberFormat="1" applyFont="1" applyFill="1" applyBorder="1" applyAlignment="1">
      <alignment horizontal="center"/>
    </xf>
    <xf numFmtId="221" fontId="19" fillId="3" borderId="40" xfId="6" applyNumberFormat="1" applyFont="1" applyFill="1" applyBorder="1" applyAlignment="1">
      <alignment horizontal="center"/>
    </xf>
    <xf numFmtId="169" fontId="19" fillId="0" borderId="21" xfId="10" applyNumberFormat="1" applyFont="1" applyBorder="1" applyAlignment="1" applyProtection="1">
      <alignment horizontal="center"/>
    </xf>
    <xf numFmtId="175" fontId="19" fillId="4" borderId="22" xfId="10" applyNumberFormat="1" applyFont="1" applyFill="1" applyBorder="1" applyAlignment="1" applyProtection="1">
      <alignment horizontal="center"/>
    </xf>
    <xf numFmtId="169" fontId="19" fillId="4" borderId="23" xfId="10" applyNumberFormat="1" applyFont="1" applyFill="1" applyBorder="1" applyAlignment="1" applyProtection="1">
      <alignment horizontal="center"/>
    </xf>
    <xf numFmtId="0" fontId="9" fillId="3" borderId="7" xfId="10" applyFont="1" applyFill="1" applyBorder="1" applyAlignment="1" applyProtection="1">
      <alignment horizontal="centerContinuous"/>
    </xf>
    <xf numFmtId="0" fontId="9" fillId="3" borderId="1" xfId="10" applyFont="1" applyFill="1" applyBorder="1" applyAlignment="1" applyProtection="1">
      <alignment horizontal="centerContinuous"/>
    </xf>
    <xf numFmtId="0" fontId="93" fillId="0" borderId="0" xfId="3" applyFont="1"/>
    <xf numFmtId="0" fontId="93" fillId="3" borderId="0" xfId="3" applyFont="1" applyFill="1"/>
    <xf numFmtId="0" fontId="92" fillId="3" borderId="0" xfId="3" applyFont="1" applyFill="1" applyAlignment="1">
      <alignment horizontal="center"/>
    </xf>
    <xf numFmtId="0" fontId="7" fillId="3" borderId="0" xfId="2" applyFill="1" applyAlignment="1" applyProtection="1"/>
    <xf numFmtId="4" fontId="19" fillId="3" borderId="0" xfId="10" applyNumberFormat="1" applyFont="1" applyFill="1" applyBorder="1" applyAlignment="1" applyProtection="1">
      <alignment horizontal="center"/>
      <protection locked="0"/>
    </xf>
    <xf numFmtId="3" fontId="19" fillId="3" borderId="19" xfId="10" applyNumberFormat="1" applyFont="1" applyFill="1" applyBorder="1" applyAlignment="1" applyProtection="1">
      <alignment horizontal="center"/>
      <protection locked="0"/>
    </xf>
    <xf numFmtId="170" fontId="19" fillId="3" borderId="0" xfId="10" applyNumberFormat="1" applyFont="1" applyFill="1" applyBorder="1" applyAlignment="1" applyProtection="1">
      <alignment horizontal="center"/>
      <protection locked="0"/>
    </xf>
    <xf numFmtId="170" fontId="30" fillId="11" borderId="19" xfId="10" applyNumberFormat="1" applyFont="1" applyFill="1" applyBorder="1" applyAlignment="1" applyProtection="1">
      <alignment horizontal="center"/>
      <protection locked="0"/>
    </xf>
    <xf numFmtId="168" fontId="19" fillId="11" borderId="33" xfId="10" applyNumberFormat="1" applyFont="1" applyFill="1" applyBorder="1" applyAlignment="1" applyProtection="1">
      <alignment horizontal="center"/>
      <protection locked="0"/>
    </xf>
    <xf numFmtId="168" fontId="30" fillId="7" borderId="0" xfId="10" applyNumberFormat="1" applyFont="1" applyFill="1" applyBorder="1" applyAlignment="1" applyProtection="1">
      <alignment horizontal="center"/>
      <protection locked="0"/>
    </xf>
    <xf numFmtId="168" fontId="30" fillId="0" borderId="0" xfId="10" applyNumberFormat="1" applyFont="1" applyFill="1" applyBorder="1" applyAlignment="1" applyProtection="1">
      <alignment horizontal="center"/>
      <protection locked="0"/>
    </xf>
    <xf numFmtId="168" fontId="30" fillId="2" borderId="0" xfId="10" applyNumberFormat="1" applyFont="1" applyFill="1" applyBorder="1" applyAlignment="1" applyProtection="1">
      <alignment horizontal="center"/>
      <protection locked="0"/>
    </xf>
    <xf numFmtId="168" fontId="30" fillId="11" borderId="0" xfId="10" applyNumberFormat="1" applyFont="1" applyFill="1" applyBorder="1" applyAlignment="1" applyProtection="1">
      <alignment horizontal="center"/>
      <protection locked="0"/>
    </xf>
    <xf numFmtId="224" fontId="19" fillId="11" borderId="20" xfId="10" applyNumberFormat="1" applyFont="1" applyFill="1" applyBorder="1" applyAlignment="1" applyProtection="1">
      <alignment horizontal="center"/>
      <protection locked="0"/>
    </xf>
    <xf numFmtId="183" fontId="5" fillId="0" borderId="0" xfId="14" applyNumberFormat="1" applyFont="1" applyBorder="1" applyAlignment="1" applyProtection="1">
      <alignment horizontal="center"/>
      <protection locked="0"/>
    </xf>
    <xf numFmtId="0" fontId="5" fillId="0" borderId="0" xfId="10" applyFont="1" applyFill="1" applyBorder="1" applyAlignment="1" applyProtection="1">
      <alignment horizontal="center"/>
      <protection locked="0"/>
    </xf>
    <xf numFmtId="0" fontId="5" fillId="0" borderId="0" xfId="10" applyFont="1" applyBorder="1" applyAlignment="1" applyProtection="1">
      <alignment horizontal="center"/>
      <protection locked="0"/>
    </xf>
    <xf numFmtId="169" fontId="5" fillId="0" borderId="0" xfId="10" applyNumberFormat="1" applyFont="1" applyFill="1" applyBorder="1" applyProtection="1">
      <protection locked="0"/>
    </xf>
    <xf numFmtId="168" fontId="4" fillId="3" borderId="5" xfId="10" applyNumberFormat="1" applyFont="1" applyFill="1" applyBorder="1" applyProtection="1">
      <protection locked="0"/>
    </xf>
    <xf numFmtId="0" fontId="9" fillId="7" borderId="40" xfId="10" applyFont="1" applyFill="1" applyBorder="1" applyAlignment="1" applyProtection="1">
      <alignment horizontal="left"/>
      <protection locked="0"/>
    </xf>
    <xf numFmtId="169" fontId="5" fillId="3" borderId="0" xfId="10" applyNumberFormat="1" applyFont="1" applyFill="1" applyBorder="1" applyProtection="1"/>
    <xf numFmtId="0" fontId="97" fillId="18" borderId="19" xfId="6" applyFont="1" applyFill="1" applyBorder="1" applyAlignment="1">
      <alignment horizontal="center"/>
    </xf>
    <xf numFmtId="0" fontId="97" fillId="18" borderId="21" xfId="6" applyFont="1" applyFill="1" applyBorder="1" applyAlignment="1">
      <alignment horizontal="center"/>
    </xf>
    <xf numFmtId="0" fontId="97" fillId="18" borderId="35" xfId="6" applyFont="1" applyFill="1" applyBorder="1" applyAlignment="1">
      <alignment horizontal="centerContinuous"/>
    </xf>
    <xf numFmtId="0" fontId="97" fillId="18" borderId="36" xfId="6" applyFont="1" applyFill="1" applyBorder="1" applyAlignment="1">
      <alignment horizontal="centerContinuous"/>
    </xf>
    <xf numFmtId="169" fontId="19" fillId="0" borderId="65" xfId="10" applyNumberFormat="1" applyFont="1" applyFill="1" applyBorder="1" applyAlignment="1" applyProtection="1">
      <alignment horizontal="center"/>
    </xf>
    <xf numFmtId="169" fontId="19" fillId="0" borderId="20" xfId="10" applyNumberFormat="1" applyFont="1" applyFill="1" applyBorder="1" applyAlignment="1" applyProtection="1">
      <alignment horizontal="center"/>
    </xf>
    <xf numFmtId="169" fontId="19" fillId="0" borderId="39" xfId="10" applyNumberFormat="1" applyFont="1" applyFill="1" applyBorder="1" applyAlignment="1" applyProtection="1">
      <alignment horizontal="center"/>
    </xf>
    <xf numFmtId="169" fontId="26" fillId="8" borderId="38" xfId="10" applyNumberFormat="1" applyFont="1" applyFill="1" applyBorder="1" applyAlignment="1" applyProtection="1">
      <alignment horizontal="center"/>
    </xf>
    <xf numFmtId="0" fontId="19" fillId="0" borderId="65" xfId="10" applyNumberFormat="1" applyFont="1" applyFill="1" applyBorder="1" applyAlignment="1" applyProtection="1">
      <alignment horizontal="center"/>
    </xf>
    <xf numFmtId="0" fontId="19" fillId="0" borderId="20" xfId="10" applyNumberFormat="1" applyFont="1" applyFill="1" applyBorder="1" applyAlignment="1" applyProtection="1">
      <alignment horizontal="center"/>
    </xf>
    <xf numFmtId="0" fontId="19" fillId="0" borderId="39" xfId="10" applyNumberFormat="1" applyFont="1" applyFill="1" applyBorder="1" applyAlignment="1" applyProtection="1">
      <alignment horizontal="center"/>
    </xf>
    <xf numFmtId="3" fontId="10" fillId="8" borderId="35" xfId="10" applyNumberFormat="1" applyFont="1" applyFill="1" applyBorder="1" applyAlignment="1" applyProtection="1">
      <alignment horizontal="left"/>
    </xf>
    <xf numFmtId="168" fontId="19" fillId="2" borderId="16" xfId="6" applyNumberFormat="1" applyFont="1" applyFill="1" applyBorder="1" applyAlignment="1">
      <alignment horizontal="center"/>
    </xf>
    <xf numFmtId="0" fontId="19" fillId="2" borderId="41" xfId="6" applyFont="1" applyFill="1" applyBorder="1" applyAlignment="1">
      <alignment horizontal="right"/>
    </xf>
    <xf numFmtId="177" fontId="19" fillId="2" borderId="37" xfId="6" applyNumberFormat="1" applyFont="1" applyFill="1" applyBorder="1" applyAlignment="1">
      <alignment horizontal="left"/>
    </xf>
    <xf numFmtId="0" fontId="12" fillId="19" borderId="37" xfId="10" applyFont="1" applyFill="1" applyBorder="1" applyAlignment="1" applyProtection="1"/>
    <xf numFmtId="187" fontId="14" fillId="3" borderId="21" xfId="10" applyNumberFormat="1" applyFont="1" applyFill="1" applyBorder="1" applyAlignment="1" applyProtection="1">
      <alignment horizontal="center"/>
      <protection locked="0"/>
    </xf>
    <xf numFmtId="187" fontId="15" fillId="0" borderId="19" xfId="13" applyNumberFormat="1" applyFont="1" applyFill="1" applyBorder="1" applyAlignment="1" applyProtection="1">
      <alignment horizontal="center"/>
    </xf>
    <xf numFmtId="1" fontId="28" fillId="4" borderId="19" xfId="13" applyNumberFormat="1" applyFont="1" applyFill="1" applyBorder="1" applyAlignment="1" applyProtection="1">
      <alignment horizontal="center" vertical="center"/>
    </xf>
    <xf numFmtId="192" fontId="19" fillId="2" borderId="38" xfId="6" applyNumberFormat="1" applyFont="1" applyFill="1" applyBorder="1" applyAlignment="1">
      <alignment horizontal="center"/>
    </xf>
    <xf numFmtId="192" fontId="19" fillId="2" borderId="16" xfId="6" applyNumberFormat="1" applyFont="1" applyFill="1" applyBorder="1" applyAlignment="1">
      <alignment horizontal="center"/>
    </xf>
    <xf numFmtId="222" fontId="19" fillId="2" borderId="37" xfId="6" applyNumberFormat="1" applyFont="1" applyFill="1" applyBorder="1" applyAlignment="1">
      <alignment horizontal="right"/>
    </xf>
    <xf numFmtId="0" fontId="116" fillId="30" borderId="38" xfId="6" applyFont="1" applyFill="1" applyBorder="1" applyAlignment="1">
      <alignment horizontal="center"/>
    </xf>
    <xf numFmtId="0" fontId="19" fillId="3" borderId="40" xfId="6" applyFont="1" applyFill="1" applyBorder="1"/>
    <xf numFmtId="9" fontId="18" fillId="4" borderId="0" xfId="6" applyNumberFormat="1" applyFont="1" applyFill="1" applyBorder="1" applyAlignment="1">
      <alignment horizontal="centerContinuous"/>
    </xf>
    <xf numFmtId="9" fontId="18" fillId="4" borderId="19" xfId="6" applyNumberFormat="1" applyFont="1" applyFill="1" applyBorder="1" applyAlignment="1">
      <alignment horizontal="centerContinuous"/>
    </xf>
    <xf numFmtId="0" fontId="19" fillId="3" borderId="19" xfId="6" applyFont="1" applyFill="1" applyBorder="1"/>
    <xf numFmtId="0" fontId="19" fillId="3" borderId="0" xfId="6" applyFont="1" applyFill="1" applyBorder="1" applyAlignment="1">
      <alignment horizontal="center"/>
    </xf>
    <xf numFmtId="0" fontId="19" fillId="3" borderId="0" xfId="6" applyFont="1" applyFill="1" applyBorder="1" applyAlignment="1">
      <alignment horizontal="centerContinuous"/>
    </xf>
    <xf numFmtId="0" fontId="117" fillId="3" borderId="41" xfId="6" applyFont="1" applyFill="1" applyBorder="1" applyAlignment="1">
      <alignment horizontal="centerContinuous"/>
    </xf>
    <xf numFmtId="0" fontId="117" fillId="3" borderId="12" xfId="6" applyFont="1" applyFill="1" applyBorder="1" applyAlignment="1">
      <alignment horizontal="centerContinuous"/>
    </xf>
    <xf numFmtId="0" fontId="19" fillId="0" borderId="35" xfId="10" applyFont="1" applyFill="1" applyBorder="1" applyAlignment="1" applyProtection="1">
      <alignment horizontal="center"/>
    </xf>
    <xf numFmtId="9" fontId="19" fillId="0" borderId="46" xfId="14" applyFont="1" applyBorder="1" applyAlignment="1">
      <alignment horizontal="center"/>
    </xf>
    <xf numFmtId="0" fontId="19" fillId="0" borderId="0" xfId="6" applyFont="1" applyFill="1" applyBorder="1"/>
    <xf numFmtId="0" fontId="118" fillId="0" borderId="0" xfId="6" applyFont="1" applyFill="1" applyBorder="1" applyAlignment="1">
      <alignment horizontal="center"/>
    </xf>
    <xf numFmtId="0" fontId="19" fillId="0" borderId="0" xfId="6" applyFont="1" applyFill="1" applyBorder="1" applyAlignment="1">
      <alignment horizontal="center"/>
    </xf>
    <xf numFmtId="0" fontId="19" fillId="4" borderId="36" xfId="6" applyFont="1" applyFill="1" applyBorder="1" applyAlignment="1">
      <alignment horizontal="centerContinuous"/>
    </xf>
    <xf numFmtId="0" fontId="19" fillId="2" borderId="16" xfId="6" applyFont="1" applyFill="1" applyBorder="1" applyAlignment="1" applyProtection="1">
      <alignment horizontal="center"/>
    </xf>
    <xf numFmtId="0" fontId="19" fillId="14" borderId="21" xfId="6" applyFont="1" applyFill="1" applyBorder="1" applyAlignment="1">
      <alignment horizontal="left"/>
    </xf>
    <xf numFmtId="0" fontId="18" fillId="3" borderId="16" xfId="6" applyFont="1" applyFill="1" applyBorder="1" applyAlignment="1">
      <alignment horizontal="center"/>
    </xf>
    <xf numFmtId="0" fontId="86" fillId="3" borderId="16" xfId="6" applyFont="1" applyFill="1" applyBorder="1" applyAlignment="1">
      <alignment horizontal="center"/>
    </xf>
    <xf numFmtId="168" fontId="19" fillId="3" borderId="16" xfId="6" applyNumberFormat="1" applyFont="1" applyFill="1" applyBorder="1" applyAlignment="1">
      <alignment horizontal="center"/>
    </xf>
    <xf numFmtId="168" fontId="86" fillId="3" borderId="16" xfId="6" applyNumberFormat="1" applyFont="1" applyFill="1" applyBorder="1" applyAlignment="1">
      <alignment horizontal="center"/>
    </xf>
    <xf numFmtId="170" fontId="19" fillId="3" borderId="16" xfId="6" applyNumberFormat="1" applyFont="1" applyFill="1" applyBorder="1" applyAlignment="1">
      <alignment horizontal="center"/>
    </xf>
    <xf numFmtId="3" fontId="18" fillId="0" borderId="0" xfId="11" applyNumberFormat="1" applyFont="1" applyFill="1" applyBorder="1" applyAlignment="1" applyProtection="1">
      <alignment horizontal="center"/>
    </xf>
    <xf numFmtId="3" fontId="28" fillId="0" borderId="0" xfId="11" applyNumberFormat="1" applyFont="1" applyFill="1" applyBorder="1" applyAlignment="1" applyProtection="1">
      <alignment horizontal="center"/>
    </xf>
    <xf numFmtId="170" fontId="18" fillId="0" borderId="0" xfId="11" applyNumberFormat="1" applyFont="1" applyFill="1" applyBorder="1" applyAlignment="1" applyProtection="1">
      <alignment horizontal="center"/>
    </xf>
    <xf numFmtId="170" fontId="6" fillId="0" borderId="0" xfId="13" applyNumberFormat="1" applyFont="1" applyFill="1" applyBorder="1" applyProtection="1"/>
    <xf numFmtId="0" fontId="21" fillId="0" borderId="0" xfId="13" applyFont="1" applyFill="1" applyBorder="1" applyAlignment="1" applyProtection="1">
      <alignment horizontal="center" vertical="center"/>
    </xf>
    <xf numFmtId="0" fontId="25" fillId="0" borderId="0" xfId="13" applyFont="1" applyFill="1" applyBorder="1" applyAlignment="1" applyProtection="1">
      <alignment horizontal="center" vertical="center" wrapText="1"/>
    </xf>
    <xf numFmtId="0" fontId="15" fillId="0" borderId="0" xfId="13" applyFont="1" applyFill="1" applyBorder="1" applyAlignment="1" applyProtection="1">
      <alignment horizontal="center" vertical="center" wrapText="1"/>
    </xf>
    <xf numFmtId="0" fontId="18" fillId="0" borderId="0" xfId="13" applyFont="1" applyFill="1" applyBorder="1" applyAlignment="1" applyProtection="1">
      <alignment horizontal="center" vertical="center" wrapText="1"/>
    </xf>
    <xf numFmtId="1" fontId="18" fillId="0" borderId="0" xfId="13" applyNumberFormat="1" applyFont="1" applyFill="1" applyBorder="1" applyAlignment="1" applyProtection="1">
      <alignment horizontal="center" vertical="center"/>
    </xf>
    <xf numFmtId="170" fontId="18" fillId="0" borderId="0" xfId="13" applyNumberFormat="1" applyFont="1" applyFill="1" applyBorder="1" applyAlignment="1" applyProtection="1">
      <alignment horizontal="center"/>
    </xf>
    <xf numFmtId="168" fontId="19" fillId="0" borderId="0" xfId="11" applyNumberFormat="1" applyFont="1" applyFill="1" applyBorder="1" applyAlignment="1" applyProtection="1">
      <alignment horizontal="center"/>
    </xf>
    <xf numFmtId="168" fontId="35" fillId="0" borderId="0" xfId="11" applyNumberFormat="1" applyFont="1" applyFill="1" applyBorder="1" applyAlignment="1" applyProtection="1">
      <alignment horizontal="center"/>
    </xf>
    <xf numFmtId="170" fontId="19" fillId="0" borderId="0" xfId="11" applyNumberFormat="1" applyFont="1" applyFill="1" applyBorder="1" applyAlignment="1" applyProtection="1">
      <alignment horizontal="center"/>
    </xf>
    <xf numFmtId="187" fontId="15" fillId="0" borderId="0" xfId="13" applyNumberFormat="1" applyFont="1" applyFill="1" applyBorder="1" applyAlignment="1" applyProtection="1">
      <alignment horizontal="center"/>
    </xf>
    <xf numFmtId="170" fontId="19" fillId="0" borderId="0" xfId="13" applyNumberFormat="1" applyFont="1" applyFill="1" applyBorder="1" applyAlignment="1" applyProtection="1">
      <alignment horizontal="center"/>
    </xf>
    <xf numFmtId="0" fontId="18" fillId="0" borderId="0" xfId="13" applyFont="1" applyFill="1" applyBorder="1" applyAlignment="1" applyProtection="1">
      <alignment horizontal="center" vertical="center"/>
    </xf>
    <xf numFmtId="0" fontId="20" fillId="0" borderId="0" xfId="13" applyFont="1" applyFill="1" applyBorder="1" applyAlignment="1" applyProtection="1">
      <alignment horizontal="center" vertical="center"/>
    </xf>
    <xf numFmtId="3" fontId="16" fillId="0" borderId="0" xfId="11" applyNumberFormat="1" applyFont="1" applyFill="1" applyBorder="1" applyAlignment="1" applyProtection="1">
      <alignment horizontal="left"/>
    </xf>
    <xf numFmtId="178" fontId="6" fillId="0" borderId="0" xfId="13" applyNumberFormat="1" applyFont="1" applyFill="1" applyBorder="1" applyProtection="1"/>
    <xf numFmtId="4" fontId="18" fillId="0" borderId="0" xfId="11" applyNumberFormat="1" applyFont="1" applyFill="1" applyBorder="1" applyAlignment="1" applyProtection="1">
      <alignment horizontal="centerContinuous"/>
    </xf>
    <xf numFmtId="4" fontId="19" fillId="0" borderId="0" xfId="11" applyNumberFormat="1" applyFont="1" applyFill="1" applyBorder="1" applyAlignment="1" applyProtection="1">
      <alignment horizontal="centerContinuous"/>
    </xf>
    <xf numFmtId="0" fontId="16" fillId="0" borderId="0" xfId="13" applyFont="1" applyFill="1" applyBorder="1" applyAlignment="1" applyProtection="1">
      <alignment horizontal="centerContinuous"/>
    </xf>
    <xf numFmtId="0" fontId="16" fillId="0" borderId="0" xfId="13" applyFont="1" applyFill="1" applyBorder="1" applyAlignment="1" applyProtection="1">
      <alignment horizontal="centerContinuous" vertical="center"/>
    </xf>
    <xf numFmtId="3" fontId="18" fillId="0" borderId="0" xfId="11" applyNumberFormat="1" applyFont="1" applyFill="1" applyBorder="1" applyAlignment="1" applyProtection="1">
      <alignment horizontal="centerContinuous"/>
    </xf>
    <xf numFmtId="0" fontId="21" fillId="0" borderId="0" xfId="13" applyFont="1" applyFill="1" applyBorder="1" applyAlignment="1" applyProtection="1">
      <alignment horizontal="centerContinuous" vertical="center"/>
    </xf>
    <xf numFmtId="170" fontId="50" fillId="12" borderId="39" xfId="13" applyNumberFormat="1" applyFont="1" applyFill="1" applyBorder="1" applyAlignment="1" applyProtection="1">
      <alignment horizontal="centerContinuous"/>
    </xf>
    <xf numFmtId="192" fontId="6" fillId="0" borderId="21" xfId="13" applyNumberFormat="1" applyFont="1" applyBorder="1" applyAlignment="1" applyProtection="1">
      <alignment horizontal="center"/>
      <protection locked="0"/>
    </xf>
    <xf numFmtId="168" fontId="119" fillId="3" borderId="0" xfId="6" applyNumberFormat="1" applyFont="1" applyFill="1" applyBorder="1" applyAlignment="1">
      <alignment horizontal="centerContinuous"/>
    </xf>
    <xf numFmtId="0" fontId="19" fillId="6" borderId="38" xfId="0" applyFont="1" applyFill="1" applyBorder="1" applyAlignment="1" applyProtection="1">
      <alignment horizontal="left"/>
    </xf>
    <xf numFmtId="4" fontId="32" fillId="6" borderId="20" xfId="9" applyNumberFormat="1" applyFont="1" applyFill="1" applyBorder="1" applyAlignment="1" applyProtection="1"/>
    <xf numFmtId="4" fontId="32" fillId="4" borderId="20" xfId="9" applyNumberFormat="1" applyFont="1" applyFill="1" applyBorder="1" applyAlignment="1" applyProtection="1"/>
    <xf numFmtId="4" fontId="76" fillId="3" borderId="20" xfId="9" applyNumberFormat="1" applyFont="1" applyFill="1" applyBorder="1" applyAlignment="1" applyProtection="1">
      <protection locked="0"/>
    </xf>
    <xf numFmtId="4" fontId="36" fillId="3" borderId="20" xfId="9" applyNumberFormat="1" applyFont="1" applyFill="1" applyBorder="1" applyAlignment="1" applyProtection="1">
      <protection locked="0"/>
    </xf>
    <xf numFmtId="4" fontId="120" fillId="3" borderId="20" xfId="9" applyNumberFormat="1" applyFont="1" applyFill="1" applyBorder="1" applyAlignment="1" applyProtection="1">
      <protection locked="0"/>
    </xf>
    <xf numFmtId="4" fontId="75" fillId="3" borderId="20" xfId="9" applyNumberFormat="1" applyFont="1" applyFill="1" applyBorder="1" applyAlignment="1" applyProtection="1">
      <protection locked="0"/>
    </xf>
    <xf numFmtId="4" fontId="78" fillId="3" borderId="20" xfId="9" applyNumberFormat="1" applyFont="1" applyFill="1" applyBorder="1" applyAlignment="1" applyProtection="1">
      <protection locked="0"/>
    </xf>
    <xf numFmtId="4" fontId="77" fillId="3" borderId="20" xfId="9" applyNumberFormat="1" applyFont="1" applyFill="1" applyBorder="1" applyAlignment="1" applyProtection="1">
      <protection locked="0"/>
    </xf>
    <xf numFmtId="4" fontId="72" fillId="3" borderId="20" xfId="9" applyNumberFormat="1" applyFont="1" applyFill="1" applyBorder="1" applyAlignment="1" applyProtection="1">
      <protection locked="0"/>
    </xf>
    <xf numFmtId="4" fontId="36" fillId="31" borderId="39" xfId="10" applyNumberFormat="1" applyFont="1" applyFill="1" applyBorder="1" applyAlignment="1" applyProtection="1"/>
    <xf numFmtId="4" fontId="18" fillId="3" borderId="40" xfId="10" applyNumberFormat="1" applyFont="1" applyFill="1" applyBorder="1" applyAlignment="1" applyProtection="1">
      <alignment horizontal="center"/>
    </xf>
    <xf numFmtId="4" fontId="18" fillId="3" borderId="36" xfId="10" applyNumberFormat="1" applyFont="1" applyFill="1" applyBorder="1" applyAlignment="1" applyProtection="1"/>
    <xf numFmtId="208" fontId="37" fillId="0" borderId="19" xfId="9" applyNumberFormat="1" applyFont="1" applyFill="1" applyBorder="1" applyAlignment="1" applyProtection="1">
      <alignment horizontal="center"/>
    </xf>
    <xf numFmtId="0" fontId="19" fillId="6" borderId="19" xfId="0" applyNumberFormat="1" applyFont="1" applyFill="1" applyBorder="1" applyProtection="1"/>
    <xf numFmtId="0" fontId="19" fillId="31" borderId="12" xfId="10" applyFont="1" applyFill="1" applyBorder="1" applyAlignment="1" applyProtection="1">
      <alignment horizontal="center"/>
    </xf>
    <xf numFmtId="4" fontId="18" fillId="3" borderId="40" xfId="10" applyNumberFormat="1" applyFont="1" applyFill="1" applyBorder="1" applyAlignment="1" applyProtection="1"/>
    <xf numFmtId="0" fontId="18" fillId="3" borderId="36" xfId="10" applyFont="1" applyFill="1" applyBorder="1" applyProtection="1"/>
    <xf numFmtId="0" fontId="19" fillId="6" borderId="19" xfId="0" applyFont="1" applyFill="1" applyBorder="1" applyProtection="1"/>
    <xf numFmtId="0" fontId="19" fillId="4" borderId="19" xfId="0" applyFont="1" applyFill="1" applyBorder="1" applyProtection="1"/>
    <xf numFmtId="0" fontId="19" fillId="0" borderId="19" xfId="9" applyFont="1" applyBorder="1" applyProtection="1"/>
    <xf numFmtId="0" fontId="19" fillId="0" borderId="19" xfId="9" applyFont="1" applyBorder="1" applyProtection="1">
      <protection locked="0"/>
    </xf>
    <xf numFmtId="0" fontId="19" fillId="0" borderId="19" xfId="10" applyFont="1" applyBorder="1" applyProtection="1"/>
    <xf numFmtId="0" fontId="19" fillId="31" borderId="37" xfId="10" applyFont="1" applyFill="1" applyBorder="1" applyProtection="1"/>
    <xf numFmtId="0" fontId="19" fillId="4" borderId="19" xfId="0" applyFont="1" applyFill="1" applyBorder="1" applyAlignment="1" applyProtection="1">
      <alignment horizontal="center"/>
    </xf>
    <xf numFmtId="0" fontId="19" fillId="0" borderId="19" xfId="0" applyFont="1" applyBorder="1" applyAlignment="1" applyProtection="1">
      <alignment horizontal="center"/>
    </xf>
    <xf numFmtId="4" fontId="18" fillId="3" borderId="0" xfId="10" applyNumberFormat="1" applyFont="1" applyFill="1" applyBorder="1" applyAlignment="1" applyProtection="1">
      <alignment horizontal="center"/>
    </xf>
    <xf numFmtId="0" fontId="18" fillId="3" borderId="19" xfId="10" applyNumberFormat="1" applyFont="1" applyFill="1" applyBorder="1" applyAlignment="1" applyProtection="1">
      <alignment horizontal="center"/>
    </xf>
    <xf numFmtId="4" fontId="36" fillId="6" borderId="40" xfId="9" applyNumberFormat="1" applyFont="1" applyFill="1" applyBorder="1" applyAlignment="1" applyProtection="1"/>
    <xf numFmtId="0" fontId="19" fillId="6" borderId="36" xfId="0" applyNumberFormat="1" applyFont="1" applyFill="1" applyBorder="1" applyProtection="1"/>
    <xf numFmtId="0" fontId="19" fillId="4" borderId="21" xfId="0" applyFont="1" applyFill="1" applyBorder="1" applyProtection="1"/>
    <xf numFmtId="0" fontId="19" fillId="6" borderId="21" xfId="0" applyFont="1" applyFill="1" applyBorder="1" applyProtection="1"/>
    <xf numFmtId="4" fontId="18" fillId="3" borderId="21" xfId="10" applyNumberFormat="1" applyFont="1" applyFill="1" applyBorder="1" applyAlignment="1" applyProtection="1">
      <alignment horizontal="center"/>
    </xf>
    <xf numFmtId="4" fontId="19" fillId="4" borderId="20" xfId="0" applyNumberFormat="1" applyFont="1" applyFill="1" applyBorder="1" applyAlignment="1" applyProtection="1">
      <alignment horizontal="left"/>
    </xf>
    <xf numFmtId="4" fontId="37" fillId="0" borderId="20" xfId="9" applyNumberFormat="1" applyFont="1" applyBorder="1" applyAlignment="1" applyProtection="1"/>
    <xf numFmtId="169" fontId="37" fillId="0" borderId="20" xfId="9" applyNumberFormat="1" applyFont="1" applyBorder="1" applyAlignment="1" applyProtection="1">
      <alignment horizontal="left"/>
    </xf>
    <xf numFmtId="0" fontId="19" fillId="6" borderId="20" xfId="0" applyFont="1" applyFill="1" applyBorder="1" applyAlignment="1" applyProtection="1">
      <alignment horizontal="left"/>
    </xf>
    <xf numFmtId="167" fontId="31" fillId="0" borderId="20" xfId="10" applyNumberFormat="1" applyFont="1" applyFill="1" applyBorder="1" applyAlignment="1" applyProtection="1">
      <alignment horizontal="left"/>
    </xf>
    <xf numFmtId="4" fontId="16" fillId="3" borderId="20" xfId="10" applyNumberFormat="1" applyFont="1" applyFill="1" applyBorder="1" applyAlignment="1" applyProtection="1">
      <alignment horizontal="left"/>
    </xf>
    <xf numFmtId="4" fontId="32" fillId="6" borderId="38" xfId="9" applyNumberFormat="1" applyFont="1" applyFill="1" applyBorder="1" applyAlignment="1" applyProtection="1"/>
    <xf numFmtId="0" fontId="19" fillId="6" borderId="35" xfId="0" applyFont="1" applyFill="1" applyBorder="1" applyProtection="1"/>
    <xf numFmtId="0" fontId="19" fillId="6" borderId="40" xfId="0" applyFont="1" applyFill="1" applyBorder="1" applyProtection="1"/>
    <xf numFmtId="0" fontId="19" fillId="6" borderId="36" xfId="0" applyFont="1" applyFill="1" applyBorder="1" applyProtection="1"/>
    <xf numFmtId="0" fontId="18" fillId="3" borderId="19" xfId="10" applyFont="1" applyFill="1" applyBorder="1" applyProtection="1"/>
    <xf numFmtId="0" fontId="18" fillId="0" borderId="44" xfId="10" applyFont="1" applyFill="1" applyBorder="1" applyProtection="1">
      <protection locked="0"/>
    </xf>
    <xf numFmtId="0" fontId="97" fillId="8" borderId="19" xfId="6" applyFont="1" applyFill="1" applyBorder="1" applyAlignment="1">
      <alignment horizontal="center"/>
    </xf>
    <xf numFmtId="0" fontId="19" fillId="4" borderId="20" xfId="0" applyFont="1" applyFill="1" applyBorder="1" applyAlignment="1" applyProtection="1">
      <alignment horizontal="center"/>
    </xf>
    <xf numFmtId="0" fontId="19" fillId="0" borderId="20" xfId="0" applyFont="1" applyBorder="1" applyAlignment="1" applyProtection="1">
      <alignment horizontal="center"/>
    </xf>
    <xf numFmtId="0" fontId="19" fillId="6" borderId="20" xfId="0" applyFont="1" applyFill="1" applyBorder="1" applyAlignment="1" applyProtection="1">
      <alignment horizontal="center"/>
    </xf>
    <xf numFmtId="0" fontId="19" fillId="3" borderId="20" xfId="0" applyFont="1" applyFill="1" applyBorder="1" applyAlignment="1" applyProtection="1">
      <alignment horizontal="center"/>
    </xf>
    <xf numFmtId="0" fontId="19" fillId="0" borderId="20" xfId="3" applyFont="1" applyBorder="1" applyAlignment="1" applyProtection="1">
      <alignment horizontal="center"/>
    </xf>
    <xf numFmtId="0" fontId="19" fillId="6" borderId="38" xfId="0" applyFont="1" applyFill="1" applyBorder="1" applyAlignment="1" applyProtection="1">
      <alignment horizontal="center"/>
    </xf>
    <xf numFmtId="0" fontId="123" fillId="3" borderId="20" xfId="13" applyFont="1" applyFill="1" applyBorder="1" applyAlignment="1" applyProtection="1">
      <alignment horizontal="left" indent="1"/>
    </xf>
    <xf numFmtId="1" fontId="19" fillId="10" borderId="19" xfId="6" applyNumberFormat="1" applyFont="1" applyFill="1" applyBorder="1"/>
    <xf numFmtId="170" fontId="49" fillId="12" borderId="66" xfId="13" applyNumberFormat="1" applyFont="1" applyFill="1" applyBorder="1" applyAlignment="1" applyProtection="1">
      <alignment horizontal="center"/>
    </xf>
    <xf numFmtId="170" fontId="98" fillId="12" borderId="37" xfId="13" applyNumberFormat="1" applyFont="1" applyFill="1" applyBorder="1" applyAlignment="1" applyProtection="1">
      <alignment horizontal="center"/>
    </xf>
    <xf numFmtId="0" fontId="6" fillId="7" borderId="38" xfId="13" applyFont="1" applyFill="1" applyBorder="1" applyAlignment="1" applyProtection="1">
      <alignment horizontal="center"/>
    </xf>
    <xf numFmtId="213" fontId="19" fillId="4" borderId="38" xfId="13" applyNumberFormat="1" applyFont="1" applyFill="1" applyBorder="1" applyAlignment="1" applyProtection="1">
      <alignment horizontal="center"/>
    </xf>
    <xf numFmtId="194" fontId="7" fillId="3" borderId="22" xfId="2" applyNumberFormat="1" applyFill="1" applyBorder="1" applyAlignment="1" applyProtection="1">
      <alignment horizontal="center"/>
    </xf>
    <xf numFmtId="183" fontId="7" fillId="3" borderId="24" xfId="2" applyNumberFormat="1" applyFill="1" applyBorder="1" applyAlignment="1" applyProtection="1">
      <alignment horizontal="center"/>
    </xf>
    <xf numFmtId="0" fontId="6" fillId="3" borderId="39" xfId="13" applyFont="1" applyFill="1" applyBorder="1" applyAlignment="1" applyProtection="1">
      <alignment horizontal="center"/>
    </xf>
    <xf numFmtId="0" fontId="93" fillId="7" borderId="22" xfId="13" applyFont="1" applyFill="1" applyBorder="1" applyAlignment="1" applyProtection="1">
      <alignment horizontal="center"/>
    </xf>
    <xf numFmtId="170" fontId="98" fillId="12" borderId="23" xfId="13" applyNumberFormat="1" applyFont="1" applyFill="1" applyBorder="1" applyAlignment="1" applyProtection="1">
      <alignment horizontal="center"/>
    </xf>
    <xf numFmtId="4" fontId="19" fillId="4" borderId="20" xfId="4" applyNumberFormat="1" applyFont="1" applyFill="1" applyBorder="1" applyAlignment="1" applyProtection="1">
      <alignment horizontal="left"/>
    </xf>
    <xf numFmtId="0" fontId="19" fillId="4" borderId="21" xfId="4" applyFont="1" applyFill="1" applyBorder="1" applyProtection="1"/>
    <xf numFmtId="0" fontId="19" fillId="4" borderId="19" xfId="4" applyFont="1" applyFill="1" applyBorder="1" applyProtection="1"/>
    <xf numFmtId="0" fontId="19" fillId="4" borderId="20" xfId="4" applyFont="1" applyFill="1" applyBorder="1" applyAlignment="1" applyProtection="1">
      <alignment horizontal="center"/>
    </xf>
    <xf numFmtId="0" fontId="19" fillId="0" borderId="0" xfId="4" applyFont="1" applyProtection="1"/>
    <xf numFmtId="0" fontId="19" fillId="0" borderId="20" xfId="4" applyFont="1" applyBorder="1" applyAlignment="1" applyProtection="1">
      <alignment horizontal="center"/>
    </xf>
    <xf numFmtId="9" fontId="6" fillId="0" borderId="0" xfId="14" applyFont="1" applyProtection="1"/>
    <xf numFmtId="0" fontId="12" fillId="3" borderId="0" xfId="10" applyFont="1" applyFill="1" applyBorder="1" applyAlignment="1" applyProtection="1">
      <alignment horizontal="right"/>
    </xf>
    <xf numFmtId="226" fontId="19" fillId="0" borderId="16" xfId="6" applyNumberFormat="1" applyFont="1" applyFill="1" applyBorder="1" applyAlignment="1" applyProtection="1">
      <alignment horizontal="center"/>
      <protection locked="0"/>
    </xf>
    <xf numFmtId="3" fontId="19" fillId="3" borderId="0" xfId="10" applyNumberFormat="1" applyFont="1" applyFill="1" applyBorder="1" applyAlignment="1" applyProtection="1">
      <alignment horizontal="center"/>
      <protection locked="0"/>
    </xf>
    <xf numFmtId="175" fontId="41" fillId="4" borderId="22" xfId="11" applyNumberFormat="1" applyFont="1" applyFill="1" applyBorder="1" applyAlignment="1" applyProtection="1">
      <alignment horizontal="center"/>
    </xf>
    <xf numFmtId="3" fontId="18" fillId="3" borderId="19" xfId="10" applyNumberFormat="1" applyFont="1" applyFill="1" applyBorder="1" applyAlignment="1" applyProtection="1">
      <alignment horizontal="centerContinuous"/>
    </xf>
    <xf numFmtId="0" fontId="16" fillId="3" borderId="22" xfId="13" applyFont="1" applyFill="1" applyBorder="1" applyAlignment="1" applyProtection="1">
      <alignment horizontal="right"/>
    </xf>
    <xf numFmtId="0" fontId="16" fillId="3" borderId="24" xfId="13" applyFont="1" applyFill="1" applyBorder="1" applyAlignment="1" applyProtection="1">
      <alignment horizontal="left"/>
    </xf>
    <xf numFmtId="0" fontId="16" fillId="3" borderId="24" xfId="13" applyFont="1" applyFill="1" applyBorder="1" applyAlignment="1" applyProtection="1">
      <alignment horizontal="right"/>
    </xf>
    <xf numFmtId="0" fontId="16" fillId="3" borderId="23" xfId="13" applyFont="1" applyFill="1" applyBorder="1" applyAlignment="1" applyProtection="1">
      <alignment horizontal="right"/>
    </xf>
    <xf numFmtId="189" fontId="6" fillId="4" borderId="40" xfId="13" applyNumberFormat="1" applyFont="1" applyFill="1" applyBorder="1" applyAlignment="1" applyProtection="1">
      <alignment horizontal="center"/>
    </xf>
    <xf numFmtId="170" fontId="6" fillId="4" borderId="40" xfId="13" applyNumberFormat="1" applyFont="1" applyFill="1" applyBorder="1" applyAlignment="1" applyProtection="1">
      <alignment horizontal="center"/>
    </xf>
    <xf numFmtId="0" fontId="18" fillId="4" borderId="40" xfId="11" applyFont="1" applyFill="1" applyBorder="1" applyAlignment="1" applyProtection="1">
      <alignment horizontal="centerContinuous"/>
    </xf>
    <xf numFmtId="169" fontId="18" fillId="4" borderId="40" xfId="11" applyNumberFormat="1" applyFont="1" applyFill="1" applyBorder="1" applyAlignment="1" applyProtection="1">
      <alignment horizontal="left"/>
    </xf>
    <xf numFmtId="0" fontId="6" fillId="0" borderId="40" xfId="13" applyFont="1" applyBorder="1" applyProtection="1"/>
    <xf numFmtId="0" fontId="7" fillId="3" borderId="24" xfId="2" applyFill="1" applyBorder="1" applyAlignment="1" applyProtection="1">
      <alignment horizontal="center"/>
    </xf>
    <xf numFmtId="189" fontId="27" fillId="0" borderId="12" xfId="13" applyNumberFormat="1" applyFont="1" applyFill="1" applyBorder="1" applyAlignment="1" applyProtection="1">
      <alignment horizontal="center"/>
    </xf>
    <xf numFmtId="170" fontId="27" fillId="0" borderId="12" xfId="13" applyNumberFormat="1" applyFont="1" applyFill="1" applyBorder="1" applyAlignment="1" applyProtection="1">
      <alignment horizontal="center"/>
    </xf>
    <xf numFmtId="171" fontId="19" fillId="0" borderId="12" xfId="11" applyNumberFormat="1" applyFont="1" applyFill="1" applyBorder="1" applyAlignment="1" applyProtection="1">
      <alignment horizontal="center"/>
    </xf>
    <xf numFmtId="169" fontId="19" fillId="0" borderId="12" xfId="11" applyNumberFormat="1" applyFont="1" applyFill="1" applyBorder="1" applyAlignment="1" applyProtection="1">
      <alignment horizontal="center"/>
    </xf>
    <xf numFmtId="175" fontId="41" fillId="0" borderId="12" xfId="11" applyNumberFormat="1" applyFont="1" applyFill="1" applyBorder="1" applyAlignment="1" applyProtection="1">
      <alignment horizontal="center"/>
    </xf>
    <xf numFmtId="0" fontId="59" fillId="0" borderId="12" xfId="3" applyFont="1" applyFill="1" applyBorder="1" applyAlignment="1">
      <alignment horizontal="left"/>
    </xf>
    <xf numFmtId="170" fontId="29" fillId="0" borderId="12" xfId="11" applyNumberFormat="1" applyFont="1" applyFill="1" applyBorder="1" applyAlignment="1" applyProtection="1">
      <alignment horizontal="center"/>
    </xf>
    <xf numFmtId="0" fontId="6" fillId="4" borderId="37" xfId="13" applyFont="1" applyFill="1" applyBorder="1" applyProtection="1"/>
    <xf numFmtId="180" fontId="19" fillId="4" borderId="16" xfId="13" applyNumberFormat="1" applyFont="1" applyFill="1" applyBorder="1" applyAlignment="1" applyProtection="1">
      <alignment horizontal="center"/>
    </xf>
    <xf numFmtId="0" fontId="19" fillId="7" borderId="0" xfId="10" applyFont="1" applyFill="1" applyBorder="1" applyAlignment="1" applyProtection="1">
      <alignment horizontal="center"/>
    </xf>
    <xf numFmtId="169" fontId="101" fillId="4" borderId="67" xfId="10" applyNumberFormat="1" applyFont="1" applyFill="1" applyBorder="1" applyAlignment="1" applyProtection="1"/>
    <xf numFmtId="208" fontId="19" fillId="4" borderId="16" xfId="10" applyNumberFormat="1" applyFont="1" applyFill="1" applyBorder="1" applyAlignment="1" applyProtection="1">
      <alignment horizontal="right"/>
    </xf>
    <xf numFmtId="167" fontId="18" fillId="3" borderId="0" xfId="10" applyNumberFormat="1" applyFont="1" applyFill="1" applyBorder="1" applyAlignment="1" applyProtection="1">
      <alignment horizontal="center"/>
    </xf>
    <xf numFmtId="2" fontId="18" fillId="3" borderId="0" xfId="10" applyNumberFormat="1" applyFont="1" applyFill="1" applyBorder="1" applyAlignment="1" applyProtection="1">
      <alignment horizontal="center"/>
    </xf>
    <xf numFmtId="168" fontId="18" fillId="3" borderId="5" xfId="10" applyNumberFormat="1" applyFont="1" applyFill="1" applyBorder="1" applyAlignment="1" applyProtection="1">
      <alignment horizontal="center"/>
    </xf>
    <xf numFmtId="0" fontId="18" fillId="3" borderId="4" xfId="10" applyFont="1" applyFill="1" applyBorder="1" applyAlignment="1" applyProtection="1">
      <alignment horizontal="center"/>
    </xf>
    <xf numFmtId="167" fontId="18" fillId="3" borderId="2" xfId="0" applyNumberFormat="1" applyFont="1" applyFill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Alignment="1" applyProtection="1">
      <alignment horizontal="center"/>
    </xf>
    <xf numFmtId="167" fontId="121" fillId="0" borderId="16" xfId="10" applyNumberFormat="1" applyFont="1" applyFill="1" applyBorder="1" applyAlignment="1" applyProtection="1">
      <alignment horizontal="left"/>
    </xf>
    <xf numFmtId="0" fontId="36" fillId="0" borderId="22" xfId="10" applyFont="1" applyFill="1" applyBorder="1" applyAlignment="1" applyProtection="1">
      <alignment horizontal="center"/>
    </xf>
    <xf numFmtId="0" fontId="18" fillId="6" borderId="38" xfId="0" applyFont="1" applyFill="1" applyBorder="1" applyAlignment="1" applyProtection="1">
      <alignment horizontal="left"/>
    </xf>
    <xf numFmtId="0" fontId="18" fillId="6" borderId="35" xfId="0" applyFont="1" applyFill="1" applyBorder="1" applyAlignment="1" applyProtection="1">
      <alignment horizontal="center"/>
    </xf>
    <xf numFmtId="4" fontId="126" fillId="3" borderId="39" xfId="9" applyNumberFormat="1" applyFont="1" applyFill="1" applyBorder="1" applyAlignment="1" applyProtection="1">
      <protection locked="0"/>
    </xf>
    <xf numFmtId="169" fontId="36" fillId="3" borderId="12" xfId="9" applyNumberFormat="1" applyFont="1" applyFill="1" applyBorder="1" applyAlignment="1" applyProtection="1">
      <alignment horizontal="center"/>
    </xf>
    <xf numFmtId="0" fontId="19" fillId="3" borderId="37" xfId="10" applyFont="1" applyFill="1" applyBorder="1" applyProtection="1"/>
    <xf numFmtId="2" fontId="19" fillId="0" borderId="0" xfId="6" applyNumberFormat="1" applyFont="1"/>
    <xf numFmtId="0" fontId="19" fillId="3" borderId="12" xfId="6" applyFont="1" applyFill="1" applyBorder="1" applyAlignment="1">
      <alignment horizontal="center"/>
    </xf>
    <xf numFmtId="220" fontId="19" fillId="2" borderId="23" xfId="6" applyNumberFormat="1" applyFont="1" applyFill="1" applyBorder="1" applyAlignment="1">
      <alignment horizontal="center"/>
    </xf>
    <xf numFmtId="0" fontId="109" fillId="4" borderId="23" xfId="6" applyFont="1" applyFill="1" applyBorder="1" applyAlignment="1">
      <alignment horizontal="center"/>
    </xf>
    <xf numFmtId="0" fontId="19" fillId="4" borderId="40" xfId="6" applyFont="1" applyFill="1" applyBorder="1" applyAlignment="1">
      <alignment horizontal="centerContinuous"/>
    </xf>
    <xf numFmtId="2" fontId="109" fillId="4" borderId="12" xfId="6" applyNumberFormat="1" applyFont="1" applyFill="1" applyBorder="1" applyAlignment="1">
      <alignment horizontal="center"/>
    </xf>
    <xf numFmtId="4" fontId="18" fillId="0" borderId="20" xfId="10" applyNumberFormat="1" applyFont="1" applyFill="1" applyBorder="1" applyAlignment="1" applyProtection="1">
      <alignment horizontal="center"/>
      <protection locked="0"/>
    </xf>
    <xf numFmtId="4" fontId="18" fillId="0" borderId="39" xfId="10" applyNumberFormat="1" applyFont="1" applyFill="1" applyBorder="1" applyAlignment="1" applyProtection="1">
      <alignment horizontal="center"/>
      <protection locked="0"/>
    </xf>
    <xf numFmtId="4" fontId="19" fillId="3" borderId="16" xfId="6" applyNumberFormat="1" applyFont="1" applyFill="1" applyBorder="1" applyAlignment="1">
      <alignment horizontal="center"/>
    </xf>
    <xf numFmtId="169" fontId="101" fillId="4" borderId="67" xfId="10" applyNumberFormat="1" applyFont="1" applyFill="1" applyBorder="1" applyAlignment="1" applyProtection="1">
      <alignment horizontal="right"/>
    </xf>
    <xf numFmtId="169" fontId="101" fillId="4" borderId="0" xfId="10" applyNumberFormat="1" applyFont="1" applyFill="1" applyBorder="1" applyAlignment="1" applyProtection="1">
      <alignment horizontal="right"/>
    </xf>
    <xf numFmtId="227" fontId="19" fillId="0" borderId="68" xfId="1" applyNumberFormat="1" applyFont="1" applyFill="1" applyBorder="1" applyAlignment="1" applyProtection="1">
      <alignment horizontal="right"/>
      <protection locked="0"/>
    </xf>
    <xf numFmtId="227" fontId="19" fillId="0" borderId="69" xfId="1" applyNumberFormat="1" applyFont="1" applyFill="1" applyBorder="1" applyAlignment="1" applyProtection="1">
      <alignment horizontal="right"/>
      <protection locked="0"/>
    </xf>
    <xf numFmtId="169" fontId="9" fillId="3" borderId="6" xfId="10" applyNumberFormat="1" applyFont="1" applyFill="1" applyBorder="1" applyAlignment="1" applyProtection="1"/>
    <xf numFmtId="167" fontId="14" fillId="0" borderId="0" xfId="14" applyNumberFormat="1" applyFont="1" applyBorder="1" applyAlignment="1" applyProtection="1">
      <alignment horizontal="center"/>
    </xf>
    <xf numFmtId="0" fontId="18" fillId="3" borderId="19" xfId="13" applyFont="1" applyFill="1" applyBorder="1" applyAlignment="1" applyProtection="1">
      <alignment horizontal="center" vertical="center" wrapText="1"/>
    </xf>
    <xf numFmtId="170" fontId="19" fillId="3" borderId="19" xfId="13" applyNumberFormat="1" applyFont="1" applyFill="1" applyBorder="1" applyAlignment="1" applyProtection="1">
      <alignment horizontal="center"/>
      <protection locked="0"/>
    </xf>
    <xf numFmtId="9" fontId="5" fillId="4" borderId="16" xfId="14" applyFont="1" applyFill="1" applyBorder="1" applyAlignment="1" applyProtection="1">
      <alignment horizontal="center"/>
    </xf>
    <xf numFmtId="183" fontId="5" fillId="3" borderId="39" xfId="14" applyNumberFormat="1" applyFont="1" applyFill="1" applyBorder="1" applyAlignment="1" applyProtection="1">
      <alignment horizontal="center"/>
    </xf>
    <xf numFmtId="0" fontId="18" fillId="4" borderId="38" xfId="0" applyFont="1" applyFill="1" applyBorder="1" applyAlignment="1">
      <alignment horizontal="center"/>
    </xf>
    <xf numFmtId="169" fontId="19" fillId="3" borderId="36" xfId="10" applyNumberFormat="1" applyFont="1" applyFill="1" applyBorder="1" applyProtection="1"/>
    <xf numFmtId="170" fontId="19" fillId="3" borderId="19" xfId="10" applyNumberFormat="1" applyFont="1" applyFill="1" applyBorder="1" applyAlignment="1" applyProtection="1">
      <alignment horizontal="centerContinuous"/>
    </xf>
    <xf numFmtId="223" fontId="109" fillId="11" borderId="20" xfId="10" applyNumberFormat="1" applyFont="1" applyFill="1" applyBorder="1" applyAlignment="1" applyProtection="1">
      <alignment horizontal="center"/>
      <protection locked="0"/>
    </xf>
    <xf numFmtId="167" fontId="109" fillId="2" borderId="20" xfId="10" applyNumberFormat="1" applyFont="1" applyFill="1" applyBorder="1" applyProtection="1"/>
    <xf numFmtId="167" fontId="19" fillId="3" borderId="39" xfId="10" applyNumberFormat="1" applyFont="1" applyFill="1" applyBorder="1" applyProtection="1"/>
    <xf numFmtId="169" fontId="5" fillId="3" borderId="40" xfId="10" applyNumberFormat="1" applyFont="1" applyFill="1" applyBorder="1" applyAlignment="1" applyProtection="1">
      <alignment horizontal="center"/>
    </xf>
    <xf numFmtId="169" fontId="5" fillId="3" borderId="23" xfId="10" applyNumberFormat="1" applyFont="1" applyFill="1" applyBorder="1" applyAlignment="1" applyProtection="1">
      <alignment horizontal="center"/>
    </xf>
    <xf numFmtId="169" fontId="58" fillId="2" borderId="36" xfId="10" applyNumberFormat="1" applyFont="1" applyFill="1" applyBorder="1" applyAlignment="1" applyProtection="1">
      <alignment horizontal="centerContinuous"/>
    </xf>
    <xf numFmtId="167" fontId="57" fillId="17" borderId="21" xfId="10" applyNumberFormat="1" applyFont="1" applyFill="1" applyBorder="1" applyAlignment="1" applyProtection="1">
      <alignment horizontal="right"/>
      <protection locked="0"/>
    </xf>
    <xf numFmtId="0" fontId="57" fillId="17" borderId="19" xfId="10" applyFont="1" applyFill="1" applyBorder="1" applyAlignment="1" applyProtection="1">
      <alignment horizontal="left"/>
      <protection locked="0"/>
    </xf>
    <xf numFmtId="2" fontId="57" fillId="17" borderId="21" xfId="10" applyNumberFormat="1" applyFont="1" applyFill="1" applyBorder="1" applyAlignment="1" applyProtection="1">
      <alignment horizontal="right"/>
      <protection locked="0"/>
    </xf>
    <xf numFmtId="183" fontId="46" fillId="2" borderId="41" xfId="10" applyNumberFormat="1" applyFont="1" applyFill="1" applyBorder="1" applyAlignment="1" applyProtection="1">
      <alignment horizontal="center"/>
    </xf>
    <xf numFmtId="0" fontId="19" fillId="3" borderId="21" xfId="6" applyFont="1" applyFill="1" applyBorder="1"/>
    <xf numFmtId="0" fontId="19" fillId="3" borderId="23" xfId="6" applyFont="1" applyFill="1" applyBorder="1"/>
    <xf numFmtId="9" fontId="9" fillId="3" borderId="6" xfId="14" applyFont="1" applyFill="1" applyBorder="1" applyAlignment="1" applyProtection="1">
      <alignment horizontal="center"/>
    </xf>
    <xf numFmtId="209" fontId="19" fillId="4" borderId="16" xfId="10" applyNumberFormat="1" applyFont="1" applyFill="1" applyBorder="1" applyAlignment="1" applyProtection="1">
      <alignment horizontal="center"/>
    </xf>
    <xf numFmtId="0" fontId="14" fillId="0" borderId="0" xfId="14" applyNumberFormat="1" applyFont="1" applyBorder="1" applyAlignment="1" applyProtection="1">
      <alignment horizontal="center"/>
    </xf>
    <xf numFmtId="3" fontId="11" fillId="0" borderId="0" xfId="10" applyNumberFormat="1" applyFont="1" applyFill="1" applyBorder="1" applyAlignment="1" applyProtection="1">
      <alignment horizontal="left"/>
    </xf>
    <xf numFmtId="0" fontId="9" fillId="3" borderId="21" xfId="0" applyFont="1" applyFill="1" applyBorder="1" applyAlignment="1">
      <alignment horizontal="center"/>
    </xf>
    <xf numFmtId="0" fontId="9" fillId="3" borderId="21" xfId="10" applyFont="1" applyFill="1" applyBorder="1" applyAlignment="1" applyProtection="1">
      <alignment horizontal="center"/>
    </xf>
    <xf numFmtId="0" fontId="19" fillId="0" borderId="0" xfId="10" applyFont="1" applyFill="1" applyAlignment="1" applyProtection="1">
      <alignment horizontal="center"/>
    </xf>
    <xf numFmtId="3" fontId="9" fillId="3" borderId="10" xfId="10" applyNumberFormat="1" applyFont="1" applyFill="1" applyBorder="1" applyAlignment="1" applyProtection="1">
      <alignment horizontal="centerContinuous"/>
    </xf>
    <xf numFmtId="0" fontId="9" fillId="3" borderId="19" xfId="10" applyFont="1" applyFill="1" applyBorder="1" applyAlignment="1" applyProtection="1">
      <alignment horizontal="center"/>
    </xf>
    <xf numFmtId="0" fontId="9" fillId="3" borderId="0" xfId="10" applyFont="1" applyFill="1" applyBorder="1" applyAlignment="1" applyProtection="1">
      <alignment horizontal="center"/>
    </xf>
    <xf numFmtId="169" fontId="9" fillId="3" borderId="0" xfId="10" applyNumberFormat="1" applyFont="1" applyFill="1" applyBorder="1" applyAlignment="1" applyProtection="1">
      <alignment horizontal="center"/>
    </xf>
    <xf numFmtId="0" fontId="18" fillId="11" borderId="36" xfId="10" applyFont="1" applyFill="1" applyBorder="1" applyAlignment="1" applyProtection="1">
      <alignment horizontal="center"/>
    </xf>
    <xf numFmtId="169" fontId="9" fillId="3" borderId="35" xfId="10" applyNumberFormat="1" applyFont="1" applyFill="1" applyBorder="1" applyAlignment="1" applyProtection="1">
      <alignment horizontal="centerContinuous"/>
    </xf>
    <xf numFmtId="169" fontId="9" fillId="3" borderId="40" xfId="10" applyNumberFormat="1" applyFont="1" applyFill="1" applyBorder="1" applyAlignment="1" applyProtection="1">
      <alignment horizontal="center"/>
    </xf>
    <xf numFmtId="169" fontId="9" fillId="3" borderId="40" xfId="10" applyNumberFormat="1" applyFont="1" applyFill="1" applyBorder="1" applyAlignment="1" applyProtection="1">
      <alignment horizontal="right"/>
    </xf>
    <xf numFmtId="9" fontId="9" fillId="3" borderId="40" xfId="14" applyFont="1" applyFill="1" applyBorder="1" applyAlignment="1" applyProtection="1">
      <alignment horizontal="center"/>
    </xf>
    <xf numFmtId="169" fontId="9" fillId="3" borderId="40" xfId="10" applyNumberFormat="1" applyFont="1" applyFill="1" applyBorder="1" applyAlignment="1" applyProtection="1">
      <alignment horizontal="centerContinuous"/>
    </xf>
    <xf numFmtId="169" fontId="4" fillId="3" borderId="21" xfId="10" applyNumberFormat="1" applyFont="1" applyFill="1" applyBorder="1" applyAlignment="1" applyProtection="1">
      <alignment horizontal="center"/>
    </xf>
    <xf numFmtId="169" fontId="5" fillId="7" borderId="41" xfId="10" applyNumberFormat="1" applyFont="1" applyFill="1" applyBorder="1" applyAlignment="1" applyProtection="1">
      <alignment horizontal="center"/>
    </xf>
    <xf numFmtId="169" fontId="18" fillId="3" borderId="0" xfId="10" applyNumberFormat="1" applyFont="1" applyFill="1" applyBorder="1" applyAlignment="1" applyProtection="1">
      <alignment horizontal="centerContinuous" vertical="center"/>
    </xf>
    <xf numFmtId="169" fontId="9" fillId="3" borderId="35" xfId="10" applyNumberFormat="1" applyFont="1" applyFill="1" applyBorder="1" applyAlignment="1" applyProtection="1">
      <alignment horizontal="center"/>
    </xf>
    <xf numFmtId="169" fontId="9" fillId="3" borderId="36" xfId="10" applyNumberFormat="1" applyFont="1" applyFill="1" applyBorder="1" applyAlignment="1" applyProtection="1">
      <alignment horizontal="centerContinuous"/>
    </xf>
    <xf numFmtId="169" fontId="9" fillId="3" borderId="70" xfId="10" applyNumberFormat="1" applyFont="1" applyFill="1" applyBorder="1" applyAlignment="1" applyProtection="1">
      <alignment horizontal="center"/>
    </xf>
    <xf numFmtId="169" fontId="9" fillId="3" borderId="48" xfId="10" applyNumberFormat="1" applyFont="1" applyFill="1" applyBorder="1" applyAlignment="1" applyProtection="1">
      <alignment horizontal="center"/>
    </xf>
    <xf numFmtId="0" fontId="0" fillId="3" borderId="0" xfId="0" applyFill="1" applyBorder="1" applyAlignment="1">
      <alignment horizontal="center"/>
    </xf>
    <xf numFmtId="169" fontId="9" fillId="3" borderId="40" xfId="10" applyNumberFormat="1" applyFont="1" applyFill="1" applyBorder="1" applyAlignment="1" applyProtection="1">
      <alignment horizontal="left"/>
    </xf>
    <xf numFmtId="3" fontId="9" fillId="3" borderId="36" xfId="10" applyNumberFormat="1" applyFont="1" applyFill="1" applyBorder="1" applyAlignment="1" applyProtection="1">
      <alignment horizontal="centerContinuous"/>
    </xf>
    <xf numFmtId="0" fontId="9" fillId="3" borderId="36" xfId="10" applyNumberFormat="1" applyFont="1" applyFill="1" applyBorder="1" applyAlignment="1" applyProtection="1">
      <alignment horizontal="center"/>
    </xf>
    <xf numFmtId="169" fontId="9" fillId="3" borderId="12" xfId="10" applyNumberFormat="1" applyFont="1" applyFill="1" applyBorder="1" applyAlignment="1" applyProtection="1">
      <alignment horizontal="center"/>
    </xf>
    <xf numFmtId="3" fontId="9" fillId="3" borderId="36" xfId="10" applyNumberFormat="1" applyFont="1" applyFill="1" applyBorder="1" applyAlignment="1" applyProtection="1">
      <alignment horizontal="center"/>
    </xf>
    <xf numFmtId="0" fontId="19" fillId="3" borderId="21" xfId="0" applyFont="1" applyFill="1" applyBorder="1"/>
    <xf numFmtId="169" fontId="19" fillId="3" borderId="0" xfId="10" applyNumberFormat="1" applyFont="1" applyFill="1" applyBorder="1" applyAlignment="1" applyProtection="1">
      <alignment horizontal="center"/>
      <protection locked="0"/>
    </xf>
    <xf numFmtId="170" fontId="19" fillId="3" borderId="19" xfId="10" applyNumberFormat="1" applyFont="1" applyFill="1" applyBorder="1" applyAlignment="1" applyProtection="1">
      <alignment horizontal="center"/>
      <protection locked="0"/>
    </xf>
    <xf numFmtId="169" fontId="19" fillId="2" borderId="21" xfId="10" applyNumberFormat="1" applyFont="1" applyFill="1" applyBorder="1" applyAlignment="1" applyProtection="1">
      <alignment horizontal="center"/>
    </xf>
    <xf numFmtId="169" fontId="19" fillId="2" borderId="0" xfId="10" applyNumberFormat="1" applyFont="1" applyFill="1" applyBorder="1" applyAlignment="1" applyProtection="1">
      <alignment horizontal="center"/>
    </xf>
    <xf numFmtId="169" fontId="19" fillId="2" borderId="19" xfId="10" applyNumberFormat="1" applyFont="1" applyFill="1" applyBorder="1" applyAlignment="1" applyProtection="1">
      <alignment horizontal="center"/>
    </xf>
    <xf numFmtId="169" fontId="19" fillId="3" borderId="21" xfId="10" applyNumberFormat="1" applyFont="1" applyFill="1" applyBorder="1" applyAlignment="1" applyProtection="1">
      <alignment horizontal="center"/>
    </xf>
    <xf numFmtId="169" fontId="19" fillId="3" borderId="0" xfId="10" applyNumberFormat="1" applyFont="1" applyFill="1" applyBorder="1" applyAlignment="1" applyProtection="1">
      <alignment horizontal="center"/>
    </xf>
    <xf numFmtId="170" fontId="19" fillId="3" borderId="0" xfId="10" applyNumberFormat="1" applyFont="1" applyFill="1" applyBorder="1" applyAlignment="1" applyProtection="1">
      <alignment horizontal="center"/>
    </xf>
    <xf numFmtId="169" fontId="19" fillId="3" borderId="19" xfId="10" applyNumberFormat="1" applyFont="1" applyFill="1" applyBorder="1" applyAlignment="1" applyProtection="1">
      <alignment horizontal="center"/>
    </xf>
    <xf numFmtId="0" fontId="19" fillId="0" borderId="16" xfId="6" applyFont="1" applyBorder="1" applyAlignment="1" applyProtection="1">
      <alignment horizontal="center"/>
      <protection locked="0"/>
    </xf>
    <xf numFmtId="203" fontId="19" fillId="4" borderId="20" xfId="6" applyNumberFormat="1" applyFont="1" applyFill="1" applyBorder="1" applyAlignment="1">
      <alignment horizontal="center"/>
    </xf>
    <xf numFmtId="229" fontId="19" fillId="4" borderId="39" xfId="6" applyNumberFormat="1" applyFont="1" applyFill="1" applyBorder="1" applyAlignment="1">
      <alignment horizontal="center"/>
    </xf>
    <xf numFmtId="192" fontId="6" fillId="0" borderId="0" xfId="13" applyNumberFormat="1" applyFont="1" applyProtection="1"/>
    <xf numFmtId="0" fontId="83" fillId="0" borderId="0" xfId="4" applyFont="1"/>
    <xf numFmtId="0" fontId="19" fillId="0" borderId="0" xfId="4" applyFont="1"/>
    <xf numFmtId="0" fontId="19" fillId="0" borderId="0" xfId="4" applyFont="1" applyAlignment="1">
      <alignment horizontal="center"/>
    </xf>
    <xf numFmtId="168" fontId="19" fillId="3" borderId="40" xfId="13" applyNumberFormat="1" applyFont="1" applyFill="1" applyBorder="1" applyAlignment="1" applyProtection="1">
      <alignment horizontal="center"/>
    </xf>
    <xf numFmtId="0" fontId="19" fillId="3" borderId="0" xfId="13" applyFont="1" applyFill="1" applyBorder="1" applyProtection="1"/>
    <xf numFmtId="230" fontId="19" fillId="3" borderId="0" xfId="14" applyNumberFormat="1" applyFont="1" applyFill="1" applyBorder="1" applyAlignment="1" applyProtection="1">
      <alignment horizontal="center"/>
    </xf>
    <xf numFmtId="230" fontId="19" fillId="3" borderId="19" xfId="14" applyNumberFormat="1" applyFont="1" applyFill="1" applyBorder="1" applyAlignment="1" applyProtection="1">
      <alignment horizontal="center"/>
    </xf>
    <xf numFmtId="183" fontId="27" fillId="0" borderId="71" xfId="14" applyNumberFormat="1" applyFont="1" applyFill="1" applyBorder="1" applyAlignment="1" applyProtection="1">
      <alignment horizontal="center"/>
    </xf>
    <xf numFmtId="183" fontId="27" fillId="0" borderId="72" xfId="14" applyNumberFormat="1" applyFont="1" applyFill="1" applyBorder="1" applyAlignment="1" applyProtection="1">
      <alignment horizontal="center"/>
    </xf>
    <xf numFmtId="232" fontId="19" fillId="3" borderId="35" xfId="6" applyNumberFormat="1" applyFont="1" applyFill="1" applyBorder="1" applyAlignment="1">
      <alignment horizontal="center"/>
    </xf>
    <xf numFmtId="3" fontId="18" fillId="10" borderId="19" xfId="11" applyNumberFormat="1" applyFont="1" applyFill="1" applyBorder="1" applyAlignment="1" applyProtection="1">
      <alignment horizontal="center"/>
    </xf>
    <xf numFmtId="0" fontId="6" fillId="3" borderId="37" xfId="13" applyFont="1" applyFill="1" applyBorder="1" applyAlignment="1" applyProtection="1">
      <alignment horizontal="centerContinuous"/>
    </xf>
    <xf numFmtId="1" fontId="6" fillId="7" borderId="19" xfId="13" applyNumberFormat="1" applyFont="1" applyFill="1" applyBorder="1" applyAlignment="1" applyProtection="1">
      <alignment horizontal="center"/>
    </xf>
    <xf numFmtId="1" fontId="104" fillId="3" borderId="37" xfId="13" applyNumberFormat="1" applyFont="1" applyFill="1" applyBorder="1" applyAlignment="1" applyProtection="1">
      <alignment horizontal="center"/>
    </xf>
    <xf numFmtId="9" fontId="19" fillId="3" borderId="0" xfId="14" applyFont="1" applyFill="1" applyBorder="1" applyAlignment="1">
      <alignment horizontal="centerContinuous"/>
    </xf>
    <xf numFmtId="3" fontId="19" fillId="3" borderId="0" xfId="6" applyNumberFormat="1" applyFont="1" applyFill="1" applyBorder="1" applyAlignment="1">
      <alignment horizontal="center"/>
    </xf>
    <xf numFmtId="37" fontId="19" fillId="3" borderId="0" xfId="1" applyNumberFormat="1" applyFont="1" applyFill="1" applyBorder="1" applyAlignment="1">
      <alignment horizontal="center"/>
    </xf>
    <xf numFmtId="0" fontId="16" fillId="3" borderId="35" xfId="6" applyFont="1" applyFill="1" applyBorder="1"/>
    <xf numFmtId="0" fontId="19" fillId="3" borderId="0" xfId="6" applyFont="1" applyFill="1" applyBorder="1" applyAlignment="1">
      <alignment horizontal="right"/>
    </xf>
    <xf numFmtId="4" fontId="18" fillId="0" borderId="16" xfId="10" applyNumberFormat="1" applyFont="1" applyFill="1" applyBorder="1" applyAlignment="1" applyProtection="1">
      <alignment horizontal="center"/>
      <protection locked="0"/>
    </xf>
    <xf numFmtId="0" fontId="99" fillId="32" borderId="40" xfId="6" applyFont="1" applyFill="1" applyBorder="1" applyAlignment="1">
      <alignment horizontal="center"/>
    </xf>
    <xf numFmtId="9" fontId="99" fillId="32" borderId="40" xfId="14" applyFont="1" applyFill="1" applyBorder="1" applyAlignment="1">
      <alignment horizontal="center"/>
    </xf>
    <xf numFmtId="0" fontId="99" fillId="32" borderId="36" xfId="6" applyFont="1" applyFill="1" applyBorder="1" applyAlignment="1">
      <alignment horizontal="center"/>
    </xf>
    <xf numFmtId="0" fontId="99" fillId="32" borderId="35" xfId="6" applyFont="1" applyFill="1" applyBorder="1" applyAlignment="1">
      <alignment horizontal="centerContinuous"/>
    </xf>
    <xf numFmtId="0" fontId="19" fillId="3" borderId="40" xfId="0" applyFont="1" applyFill="1" applyBorder="1" applyProtection="1"/>
    <xf numFmtId="0" fontId="19" fillId="3" borderId="21" xfId="0" applyFont="1" applyFill="1" applyBorder="1" applyProtection="1"/>
    <xf numFmtId="0" fontId="19" fillId="3" borderId="0" xfId="0" applyFont="1" applyFill="1" applyBorder="1" applyProtection="1"/>
    <xf numFmtId="0" fontId="19" fillId="3" borderId="41" xfId="0" applyFont="1" applyFill="1" applyBorder="1" applyProtection="1"/>
    <xf numFmtId="3" fontId="19" fillId="0" borderId="16" xfId="0" applyNumberFormat="1" applyFont="1" applyFill="1" applyBorder="1" applyAlignment="1" applyProtection="1">
      <alignment horizontal="center"/>
      <protection locked="0"/>
    </xf>
    <xf numFmtId="3" fontId="6" fillId="0" borderId="16" xfId="13" applyNumberFormat="1" applyFont="1" applyFill="1" applyBorder="1" applyAlignment="1" applyProtection="1">
      <alignment horizontal="center"/>
      <protection locked="0"/>
    </xf>
    <xf numFmtId="215" fontId="6" fillId="0" borderId="16" xfId="13" applyNumberFormat="1" applyFont="1" applyFill="1" applyBorder="1" applyAlignment="1" applyProtection="1">
      <alignment horizontal="center"/>
      <protection locked="0"/>
    </xf>
    <xf numFmtId="183" fontId="19" fillId="0" borderId="24" xfId="15" applyNumberFormat="1" applyFont="1" applyBorder="1" applyAlignment="1" applyProtection="1">
      <alignment horizontal="center"/>
      <protection locked="0"/>
    </xf>
    <xf numFmtId="183" fontId="19" fillId="0" borderId="40" xfId="15" applyNumberFormat="1" applyFont="1" applyBorder="1" applyAlignment="1" applyProtection="1">
      <alignment horizontal="center"/>
      <protection locked="0"/>
    </xf>
    <xf numFmtId="0" fontId="6" fillId="0" borderId="23" xfId="13" applyFont="1" applyFill="1" applyBorder="1" applyAlignment="1" applyProtection="1">
      <alignment horizontal="center"/>
      <protection locked="0"/>
    </xf>
    <xf numFmtId="0" fontId="6" fillId="0" borderId="36" xfId="13" applyFont="1" applyFill="1" applyBorder="1" applyAlignment="1" applyProtection="1">
      <alignment horizontal="center"/>
      <protection locked="0"/>
    </xf>
    <xf numFmtId="181" fontId="6" fillId="0" borderId="39" xfId="13" applyNumberFormat="1" applyFont="1" applyFill="1" applyBorder="1" applyAlignment="1" applyProtection="1">
      <alignment horizontal="center"/>
      <protection locked="0"/>
    </xf>
    <xf numFmtId="181" fontId="6" fillId="0" borderId="12" xfId="13" applyNumberFormat="1" applyFont="1" applyFill="1" applyBorder="1" applyAlignment="1" applyProtection="1">
      <alignment horizontal="left"/>
      <protection locked="0"/>
    </xf>
    <xf numFmtId="205" fontId="11" fillId="0" borderId="35" xfId="10" applyNumberFormat="1" applyFont="1" applyFill="1" applyBorder="1" applyAlignment="1" applyProtection="1">
      <alignment horizontal="center"/>
      <protection locked="0"/>
    </xf>
    <xf numFmtId="206" fontId="19" fillId="0" borderId="16" xfId="13" applyNumberFormat="1" applyFont="1" applyFill="1" applyBorder="1" applyAlignment="1" applyProtection="1">
      <alignment horizontal="center"/>
      <protection locked="0"/>
    </xf>
    <xf numFmtId="0" fontId="19" fillId="16" borderId="16" xfId="12" applyFont="1" applyFill="1" applyBorder="1" applyProtection="1"/>
    <xf numFmtId="168" fontId="128" fillId="3" borderId="12" xfId="13" applyNumberFormat="1" applyFont="1" applyFill="1" applyBorder="1" applyAlignment="1" applyProtection="1">
      <alignment horizontal="center"/>
      <protection locked="0"/>
    </xf>
    <xf numFmtId="208" fontId="130" fillId="13" borderId="37" xfId="13" applyNumberFormat="1" applyFont="1" applyFill="1" applyBorder="1" applyAlignment="1" applyProtection="1">
      <alignment horizontal="center"/>
      <protection locked="0"/>
    </xf>
    <xf numFmtId="0" fontId="19" fillId="2" borderId="0" xfId="6" applyFont="1" applyFill="1" applyBorder="1" applyAlignment="1">
      <alignment horizontal="right"/>
    </xf>
    <xf numFmtId="187" fontId="19" fillId="0" borderId="22" xfId="6" applyNumberFormat="1" applyFont="1" applyFill="1" applyBorder="1" applyAlignment="1" applyProtection="1">
      <alignment horizontal="center"/>
      <protection locked="0"/>
    </xf>
    <xf numFmtId="3" fontId="19" fillId="0" borderId="0" xfId="6" applyNumberFormat="1" applyFont="1" applyFill="1" applyBorder="1"/>
    <xf numFmtId="216" fontId="19" fillId="0" borderId="0" xfId="6" applyNumberFormat="1" applyFont="1" applyFill="1" applyBorder="1"/>
    <xf numFmtId="0" fontId="19" fillId="0" borderId="12" xfId="6" applyFont="1" applyFill="1" applyBorder="1"/>
    <xf numFmtId="0" fontId="19" fillId="16" borderId="16" xfId="12" applyFont="1" applyFill="1" applyBorder="1" applyProtection="1">
      <protection locked="0"/>
    </xf>
    <xf numFmtId="0" fontId="19" fillId="3" borderId="35" xfId="0" applyFont="1" applyFill="1" applyBorder="1" applyProtection="1"/>
    <xf numFmtId="0" fontId="19" fillId="3" borderId="12" xfId="0" applyFont="1" applyFill="1" applyBorder="1" applyProtection="1"/>
    <xf numFmtId="0" fontId="19" fillId="16" borderId="22" xfId="0" applyFont="1" applyFill="1" applyBorder="1" applyProtection="1"/>
    <xf numFmtId="0" fontId="19" fillId="16" borderId="24" xfId="0" applyFont="1" applyFill="1" applyBorder="1" applyProtection="1"/>
    <xf numFmtId="0" fontId="19" fillId="16" borderId="24" xfId="0" applyFont="1" applyFill="1" applyBorder="1" applyAlignment="1" applyProtection="1">
      <alignment horizontal="centerContinuous"/>
    </xf>
    <xf numFmtId="0" fontId="16" fillId="16" borderId="24" xfId="0" applyFont="1" applyFill="1" applyBorder="1" applyAlignment="1" applyProtection="1">
      <alignment horizontal="center"/>
    </xf>
    <xf numFmtId="0" fontId="19" fillId="3" borderId="40" xfId="0" applyFont="1" applyFill="1" applyBorder="1" applyAlignment="1" applyProtection="1">
      <alignment horizontal="right"/>
    </xf>
    <xf numFmtId="0" fontId="18" fillId="3" borderId="12" xfId="0" applyFont="1" applyFill="1" applyBorder="1" applyAlignment="1" applyProtection="1">
      <alignment horizontal="center"/>
    </xf>
    <xf numFmtId="0" fontId="19" fillId="0" borderId="16" xfId="0" applyFont="1" applyFill="1" applyBorder="1" applyAlignment="1" applyProtection="1">
      <alignment horizontal="center"/>
    </xf>
    <xf numFmtId="168" fontId="19" fillId="7" borderId="0" xfId="15" applyNumberFormat="1" applyFont="1" applyFill="1" applyBorder="1" applyAlignment="1" applyProtection="1">
      <alignment horizontal="center"/>
    </xf>
    <xf numFmtId="168" fontId="19" fillId="7" borderId="19" xfId="15" applyNumberFormat="1" applyFont="1" applyFill="1" applyBorder="1" applyAlignment="1" applyProtection="1">
      <alignment horizontal="center"/>
    </xf>
    <xf numFmtId="168" fontId="6" fillId="3" borderId="19" xfId="13" applyNumberFormat="1" applyFont="1" applyFill="1" applyBorder="1" applyAlignment="1" applyProtection="1">
      <alignment horizontal="center"/>
    </xf>
    <xf numFmtId="168" fontId="6" fillId="0" borderId="0" xfId="14" applyNumberFormat="1" applyFont="1" applyAlignment="1" applyProtection="1">
      <alignment horizontal="center"/>
    </xf>
    <xf numFmtId="209" fontId="125" fillId="4" borderId="20" xfId="14" applyNumberFormat="1" applyFont="1" applyFill="1" applyBorder="1" applyAlignment="1" applyProtection="1">
      <alignment horizontal="center"/>
      <protection locked="0"/>
    </xf>
    <xf numFmtId="169" fontId="131" fillId="3" borderId="19" xfId="10" applyNumberFormat="1" applyFont="1" applyFill="1" applyBorder="1" applyAlignment="1" applyProtection="1">
      <alignment horizontal="center"/>
    </xf>
    <xf numFmtId="169" fontId="131" fillId="3" borderId="21" xfId="10" applyNumberFormat="1" applyFont="1" applyFill="1" applyBorder="1" applyAlignment="1" applyProtection="1">
      <alignment horizontal="center"/>
    </xf>
    <xf numFmtId="169" fontId="131" fillId="3" borderId="0" xfId="10" applyNumberFormat="1" applyFont="1" applyFill="1" applyBorder="1" applyAlignment="1" applyProtection="1">
      <alignment horizontal="center"/>
    </xf>
    <xf numFmtId="166" fontId="18" fillId="3" borderId="40" xfId="1" applyFont="1" applyFill="1" applyBorder="1" applyAlignment="1" applyProtection="1"/>
    <xf numFmtId="166" fontId="18" fillId="3" borderId="0" xfId="1" applyFont="1" applyFill="1" applyBorder="1" applyAlignment="1" applyProtection="1">
      <alignment horizontal="center"/>
    </xf>
    <xf numFmtId="166" fontId="37" fillId="31" borderId="41" xfId="1" applyFont="1" applyFill="1" applyBorder="1" applyAlignment="1" applyProtection="1">
      <alignment horizontal="center"/>
    </xf>
    <xf numFmtId="0" fontId="19" fillId="0" borderId="19" xfId="10" applyNumberFormat="1" applyFont="1" applyFill="1" applyBorder="1" applyAlignment="1" applyProtection="1">
      <alignment horizontal="center"/>
    </xf>
    <xf numFmtId="169" fontId="23" fillId="0" borderId="40" xfId="12" applyNumberFormat="1" applyFont="1" applyBorder="1" applyProtection="1"/>
    <xf numFmtId="0" fontId="96" fillId="4" borderId="0" xfId="0" applyFont="1" applyFill="1" applyBorder="1" applyAlignment="1">
      <alignment horizontal="center"/>
    </xf>
    <xf numFmtId="216" fontId="4" fillId="17" borderId="12" xfId="10" applyNumberFormat="1" applyFont="1" applyFill="1" applyBorder="1" applyAlignment="1" applyProtection="1">
      <alignment horizontal="center"/>
    </xf>
    <xf numFmtId="0" fontId="14" fillId="0" borderId="12" xfId="14" applyNumberFormat="1" applyFont="1" applyBorder="1" applyAlignment="1" applyProtection="1">
      <alignment horizontal="center"/>
    </xf>
    <xf numFmtId="167" fontId="14" fillId="0" borderId="12" xfId="14" applyNumberFormat="1" applyFont="1" applyBorder="1" applyAlignment="1" applyProtection="1">
      <alignment horizontal="center"/>
    </xf>
    <xf numFmtId="0" fontId="23" fillId="0" borderId="40" xfId="12" applyFont="1" applyBorder="1" applyProtection="1"/>
    <xf numFmtId="9" fontId="14" fillId="0" borderId="12" xfId="14" applyFont="1" applyBorder="1" applyAlignment="1" applyProtection="1">
      <alignment horizontal="center"/>
    </xf>
    <xf numFmtId="0" fontId="96" fillId="0" borderId="40" xfId="0" applyFont="1" applyBorder="1" applyAlignment="1">
      <alignment horizontal="center"/>
    </xf>
    <xf numFmtId="9" fontId="14" fillId="0" borderId="40" xfId="14" applyFont="1" applyBorder="1" applyAlignment="1" applyProtection="1">
      <alignment horizontal="center"/>
    </xf>
    <xf numFmtId="3" fontId="51" fillId="0" borderId="12" xfId="10" applyNumberFormat="1" applyFont="1" applyBorder="1" applyProtection="1"/>
    <xf numFmtId="3" fontId="8" fillId="0" borderId="12" xfId="1" applyNumberFormat="1" applyFont="1" applyFill="1" applyBorder="1" applyAlignment="1" applyProtection="1">
      <alignment horizontal="center"/>
    </xf>
    <xf numFmtId="4" fontId="18" fillId="0" borderId="39" xfId="10" applyNumberFormat="1" applyFont="1" applyFill="1" applyBorder="1" applyAlignment="1" applyProtection="1">
      <protection locked="0"/>
    </xf>
    <xf numFmtId="170" fontId="5" fillId="2" borderId="21" xfId="10" applyNumberFormat="1" applyFont="1" applyFill="1" applyBorder="1" applyAlignment="1" applyProtection="1">
      <alignment horizontal="right"/>
    </xf>
    <xf numFmtId="231" fontId="95" fillId="2" borderId="19" xfId="0" applyNumberFormat="1" applyFont="1" applyFill="1" applyBorder="1" applyAlignment="1" applyProtection="1">
      <alignment horizontal="centerContinuous"/>
    </xf>
    <xf numFmtId="204" fontId="20" fillId="3" borderId="41" xfId="10" applyNumberFormat="1" applyFont="1" applyFill="1" applyBorder="1" applyAlignment="1" applyProtection="1">
      <alignment horizontal="right"/>
      <protection locked="0"/>
    </xf>
    <xf numFmtId="1" fontId="19" fillId="3" borderId="12" xfId="10" applyNumberFormat="1" applyFont="1" applyFill="1" applyBorder="1" applyAlignment="1" applyProtection="1">
      <alignment horizontal="center"/>
      <protection locked="0"/>
    </xf>
    <xf numFmtId="3" fontId="19" fillId="3" borderId="12" xfId="10" applyNumberFormat="1" applyFont="1" applyFill="1" applyBorder="1" applyAlignment="1" applyProtection="1">
      <alignment horizontal="center"/>
      <protection locked="0"/>
    </xf>
    <xf numFmtId="0" fontId="60" fillId="12" borderId="38" xfId="13" applyFont="1" applyFill="1" applyBorder="1" applyAlignment="1" applyProtection="1">
      <alignment horizontal="center" vertical="center" wrapText="1"/>
    </xf>
    <xf numFmtId="176" fontId="19" fillId="3" borderId="40" xfId="10" applyNumberFormat="1" applyFont="1" applyFill="1" applyBorder="1" applyAlignment="1" applyProtection="1">
      <alignment textRotation="90" wrapText="1"/>
    </xf>
    <xf numFmtId="3" fontId="19" fillId="3" borderId="40" xfId="10" applyNumberFormat="1" applyFont="1" applyFill="1" applyBorder="1" applyAlignment="1" applyProtection="1">
      <alignment textRotation="90" wrapText="1"/>
    </xf>
    <xf numFmtId="3" fontId="9" fillId="3" borderId="40" xfId="10" applyNumberFormat="1" applyFont="1" applyFill="1" applyBorder="1" applyAlignment="1" applyProtection="1">
      <alignment horizontal="center"/>
    </xf>
    <xf numFmtId="170" fontId="18" fillId="3" borderId="12" xfId="10" applyNumberFormat="1" applyFont="1" applyFill="1" applyBorder="1" applyAlignment="1" applyProtection="1">
      <alignment horizontal="center"/>
    </xf>
    <xf numFmtId="3" fontId="9" fillId="3" borderId="12" xfId="10" applyNumberFormat="1" applyFont="1" applyFill="1" applyBorder="1" applyAlignment="1" applyProtection="1">
      <alignment horizontal="center"/>
    </xf>
    <xf numFmtId="0" fontId="42" fillId="34" borderId="20" xfId="10" applyFont="1" applyFill="1" applyBorder="1" applyAlignment="1" applyProtection="1">
      <alignment horizontal="right"/>
    </xf>
    <xf numFmtId="0" fontId="13" fillId="34" borderId="35" xfId="10" applyFont="1" applyFill="1" applyBorder="1" applyAlignment="1" applyProtection="1"/>
    <xf numFmtId="0" fontId="42" fillId="34" borderId="21" xfId="10" applyFont="1" applyFill="1" applyBorder="1" applyAlignment="1" applyProtection="1">
      <alignment horizontal="right"/>
    </xf>
    <xf numFmtId="0" fontId="26" fillId="34" borderId="40" xfId="10" applyFont="1" applyFill="1" applyBorder="1" applyAlignment="1" applyProtection="1">
      <alignment horizontal="center"/>
    </xf>
    <xf numFmtId="3" fontId="26" fillId="34" borderId="0" xfId="10" applyNumberFormat="1" applyFont="1" applyFill="1" applyBorder="1" applyAlignment="1" applyProtection="1">
      <alignment horizontal="center"/>
    </xf>
    <xf numFmtId="3" fontId="133" fillId="34" borderId="0" xfId="10" applyNumberFormat="1" applyFont="1" applyFill="1" applyBorder="1" applyAlignment="1" applyProtection="1">
      <alignment horizontal="center"/>
    </xf>
    <xf numFmtId="170" fontId="42" fillId="34" borderId="0" xfId="10" applyNumberFormat="1" applyFont="1" applyFill="1" applyBorder="1" applyAlignment="1" applyProtection="1">
      <alignment horizontal="center"/>
    </xf>
    <xf numFmtId="3" fontId="94" fillId="34" borderId="0" xfId="10" applyNumberFormat="1" applyFont="1" applyFill="1" applyBorder="1" applyAlignment="1" applyProtection="1">
      <alignment horizontal="center"/>
    </xf>
    <xf numFmtId="3" fontId="68" fillId="34" borderId="0" xfId="10" applyNumberFormat="1" applyFont="1" applyFill="1" applyBorder="1" applyAlignment="1" applyProtection="1">
      <alignment horizontal="center"/>
    </xf>
    <xf numFmtId="183" fontId="71" fillId="34" borderId="0" xfId="10" applyNumberFormat="1" applyFont="1" applyFill="1" applyBorder="1" applyAlignment="1" applyProtection="1">
      <alignment horizontal="center"/>
    </xf>
    <xf numFmtId="0" fontId="71" fillId="34" borderId="0" xfId="10" applyFont="1" applyFill="1" applyBorder="1" applyProtection="1"/>
    <xf numFmtId="182" fontId="71" fillId="34" borderId="0" xfId="10" applyNumberFormat="1" applyFont="1" applyFill="1" applyBorder="1" applyAlignment="1" applyProtection="1">
      <alignment horizontal="left"/>
    </xf>
    <xf numFmtId="173" fontId="71" fillId="34" borderId="0" xfId="10" applyNumberFormat="1" applyFont="1" applyFill="1" applyBorder="1" applyAlignment="1" applyProtection="1">
      <alignment horizontal="center"/>
    </xf>
    <xf numFmtId="193" fontId="71" fillId="34" borderId="0" xfId="10" applyNumberFormat="1" applyFont="1" applyFill="1" applyBorder="1" applyAlignment="1" applyProtection="1">
      <alignment horizontal="center"/>
    </xf>
    <xf numFmtId="0" fontId="67" fillId="34" borderId="0" xfId="10" applyFont="1" applyFill="1" applyBorder="1" applyAlignment="1" applyProtection="1">
      <alignment horizontal="center"/>
    </xf>
    <xf numFmtId="2" fontId="135" fillId="34" borderId="0" xfId="10" applyNumberFormat="1" applyFont="1" applyFill="1" applyBorder="1" applyAlignment="1" applyProtection="1">
      <alignment horizontal="center"/>
    </xf>
    <xf numFmtId="9" fontId="14" fillId="34" borderId="0" xfId="14" applyFont="1" applyFill="1" applyBorder="1" applyAlignment="1" applyProtection="1">
      <alignment horizontal="center"/>
    </xf>
    <xf numFmtId="9" fontId="9" fillId="34" borderId="0" xfId="14" applyFont="1" applyFill="1" applyBorder="1" applyAlignment="1" applyProtection="1">
      <alignment horizontal="center"/>
    </xf>
    <xf numFmtId="3" fontId="26" fillId="34" borderId="20" xfId="10" applyNumberFormat="1" applyFont="1" applyFill="1" applyBorder="1" applyAlignment="1" applyProtection="1">
      <alignment horizontal="left"/>
      <protection locked="0"/>
    </xf>
    <xf numFmtId="168" fontId="137" fillId="34" borderId="16" xfId="10" applyNumberFormat="1" applyFont="1" applyFill="1" applyBorder="1" applyAlignment="1" applyProtection="1">
      <alignment horizontal="center"/>
      <protection locked="0"/>
    </xf>
    <xf numFmtId="0" fontId="137" fillId="34" borderId="16" xfId="10" applyNumberFormat="1" applyFont="1" applyFill="1" applyBorder="1" applyAlignment="1" applyProtection="1">
      <alignment horizontal="center"/>
      <protection locked="0"/>
    </xf>
    <xf numFmtId="0" fontId="137" fillId="34" borderId="0" xfId="10" applyNumberFormat="1" applyFont="1" applyFill="1" applyBorder="1" applyAlignment="1" applyProtection="1">
      <alignment horizontal="center"/>
      <protection locked="0"/>
    </xf>
    <xf numFmtId="195" fontId="137" fillId="34" borderId="16" xfId="10" applyNumberFormat="1" applyFont="1" applyFill="1" applyBorder="1" applyAlignment="1" applyProtection="1">
      <alignment horizontal="center"/>
      <protection locked="0"/>
    </xf>
    <xf numFmtId="174" fontId="137" fillId="34" borderId="19" xfId="10" applyNumberFormat="1" applyFont="1" applyFill="1" applyBorder="1" applyAlignment="1" applyProtection="1">
      <alignment horizontal="center"/>
      <protection locked="0"/>
    </xf>
    <xf numFmtId="0" fontId="132" fillId="34" borderId="0" xfId="10" applyFont="1" applyFill="1" applyBorder="1" applyProtection="1"/>
    <xf numFmtId="169" fontId="132" fillId="34" borderId="0" xfId="10" applyNumberFormat="1" applyFont="1" applyFill="1" applyBorder="1" applyAlignment="1" applyProtection="1">
      <alignment horizontal="center" vertical="center"/>
    </xf>
    <xf numFmtId="170" fontId="138" fillId="34" borderId="0" xfId="10" applyNumberFormat="1" applyFont="1" applyFill="1" applyBorder="1" applyAlignment="1" applyProtection="1">
      <alignment horizontal="center" vertical="center"/>
    </xf>
    <xf numFmtId="170" fontId="132" fillId="34" borderId="0" xfId="10" applyNumberFormat="1" applyFont="1" applyFill="1" applyBorder="1" applyAlignment="1" applyProtection="1">
      <alignment horizontal="center"/>
    </xf>
    <xf numFmtId="169" fontId="139" fillId="34" borderId="0" xfId="10" applyNumberFormat="1" applyFont="1" applyFill="1" applyBorder="1" applyProtection="1"/>
    <xf numFmtId="169" fontId="139" fillId="34" borderId="19" xfId="10" applyNumberFormat="1" applyFont="1" applyFill="1" applyBorder="1" applyProtection="1"/>
    <xf numFmtId="170" fontId="133" fillId="34" borderId="0" xfId="10" applyNumberFormat="1" applyFont="1" applyFill="1" applyBorder="1" applyAlignment="1" applyProtection="1">
      <alignment horizontal="center"/>
    </xf>
    <xf numFmtId="170" fontId="132" fillId="34" borderId="0" xfId="10" applyNumberFormat="1" applyFont="1" applyFill="1" applyBorder="1" applyProtection="1"/>
    <xf numFmtId="169" fontId="132" fillId="34" borderId="0" xfId="10" applyNumberFormat="1" applyFont="1" applyFill="1" applyBorder="1" applyProtection="1"/>
    <xf numFmtId="3" fontId="132" fillId="34" borderId="0" xfId="10" applyNumberFormat="1" applyFont="1" applyFill="1" applyBorder="1" applyAlignment="1" applyProtection="1">
      <alignment horizontal="center"/>
    </xf>
    <xf numFmtId="0" fontId="6" fillId="0" borderId="16" xfId="13" applyFont="1" applyBorder="1" applyAlignment="1" applyProtection="1">
      <alignment horizontal="center"/>
    </xf>
    <xf numFmtId="0" fontId="6" fillId="4" borderId="16" xfId="13" applyFont="1" applyFill="1" applyBorder="1" applyProtection="1"/>
    <xf numFmtId="0" fontId="6" fillId="7" borderId="66" xfId="13" applyFont="1" applyFill="1" applyBorder="1" applyAlignment="1" applyProtection="1">
      <alignment horizontal="center"/>
    </xf>
    <xf numFmtId="0" fontId="93" fillId="7" borderId="41" xfId="13" applyFont="1" applyFill="1" applyBorder="1" applyAlignment="1" applyProtection="1">
      <alignment horizontal="center"/>
    </xf>
    <xf numFmtId="208" fontId="130" fillId="19" borderId="41" xfId="13" applyNumberFormat="1" applyFont="1" applyFill="1" applyBorder="1" applyAlignment="1" applyProtection="1">
      <alignment horizontal="center"/>
    </xf>
    <xf numFmtId="0" fontId="16" fillId="19" borderId="35" xfId="13" applyFont="1" applyFill="1" applyBorder="1" applyAlignment="1" applyProtection="1">
      <alignment horizontal="centerContinuous"/>
    </xf>
    <xf numFmtId="0" fontId="16" fillId="19" borderId="36" xfId="13" applyFont="1" applyFill="1" applyBorder="1" applyAlignment="1" applyProtection="1">
      <alignment horizontal="centerContinuous"/>
    </xf>
    <xf numFmtId="170" fontId="103" fillId="4" borderId="12" xfId="13" applyNumberFormat="1" applyFont="1" applyFill="1" applyBorder="1" applyAlignment="1" applyProtection="1">
      <alignment horizontal="center"/>
    </xf>
    <xf numFmtId="0" fontId="7" fillId="0" borderId="0" xfId="2" applyAlignment="1" applyProtection="1"/>
    <xf numFmtId="0" fontId="7" fillId="3" borderId="36" xfId="2" applyFill="1" applyBorder="1" applyAlignment="1" applyProtection="1">
      <alignment horizontal="center"/>
    </xf>
    <xf numFmtId="187" fontId="4" fillId="4" borderId="0" xfId="10" applyNumberFormat="1" applyFont="1" applyFill="1" applyBorder="1" applyAlignment="1" applyProtection="1">
      <alignment horizontal="center"/>
      <protection locked="0"/>
    </xf>
    <xf numFmtId="0" fontId="4" fillId="4" borderId="0" xfId="10" applyFont="1" applyFill="1" applyBorder="1" applyAlignment="1" applyProtection="1">
      <alignment horizontal="center"/>
    </xf>
    <xf numFmtId="0" fontId="97" fillId="8" borderId="0" xfId="6" applyFont="1" applyFill="1" applyBorder="1" applyAlignment="1">
      <alignment horizontal="center"/>
    </xf>
    <xf numFmtId="0" fontId="19" fillId="8" borderId="0" xfId="6" applyFont="1" applyFill="1" applyBorder="1" applyAlignment="1">
      <alignment horizontal="centerContinuous"/>
    </xf>
    <xf numFmtId="0" fontId="15" fillId="0" borderId="21" xfId="6" applyFont="1" applyFill="1" applyBorder="1" applyAlignment="1">
      <alignment horizontal="left"/>
    </xf>
    <xf numFmtId="0" fontId="15" fillId="0" borderId="21" xfId="6" applyFont="1" applyBorder="1" applyAlignment="1">
      <alignment horizontal="left"/>
    </xf>
    <xf numFmtId="0" fontId="19" fillId="27" borderId="0" xfId="6" applyFont="1" applyFill="1" applyBorder="1" applyAlignment="1">
      <alignment horizontal="center"/>
    </xf>
    <xf numFmtId="218" fontId="19" fillId="4" borderId="16" xfId="6" applyNumberFormat="1" applyFont="1" applyFill="1" applyBorder="1" applyAlignment="1">
      <alignment horizontal="center"/>
    </xf>
    <xf numFmtId="168" fontId="19" fillId="4" borderId="16" xfId="6" applyNumberFormat="1" applyFont="1" applyFill="1" applyBorder="1" applyAlignment="1">
      <alignment horizontal="center"/>
    </xf>
    <xf numFmtId="0" fontId="19" fillId="22" borderId="16" xfId="6" applyFont="1" applyFill="1" applyBorder="1"/>
    <xf numFmtId="0" fontId="19" fillId="22" borderId="16" xfId="6" applyFont="1" applyFill="1" applyBorder="1" applyAlignment="1">
      <alignment horizontal="center"/>
    </xf>
    <xf numFmtId="217" fontId="19" fillId="0" borderId="16" xfId="6" applyNumberFormat="1" applyFont="1" applyBorder="1" applyAlignment="1">
      <alignment horizontal="center"/>
    </xf>
    <xf numFmtId="0" fontId="97" fillId="8" borderId="38" xfId="6" applyFont="1" applyFill="1" applyBorder="1"/>
    <xf numFmtId="0" fontId="19" fillId="23" borderId="16" xfId="6" applyFont="1" applyFill="1" applyBorder="1" applyAlignment="1"/>
    <xf numFmtId="0" fontId="19" fillId="0" borderId="16" xfId="6" applyFont="1" applyBorder="1" applyAlignment="1">
      <alignment horizontal="left"/>
    </xf>
    <xf numFmtId="217" fontId="19" fillId="0" borderId="16" xfId="6" applyNumberFormat="1" applyFont="1" applyBorder="1" applyAlignment="1">
      <alignment horizontal="left"/>
    </xf>
    <xf numFmtId="0" fontId="6" fillId="8" borderId="7" xfId="13" applyFont="1" applyFill="1" applyBorder="1" applyProtection="1"/>
    <xf numFmtId="0" fontId="97" fillId="8" borderId="6" xfId="13" applyFont="1" applyFill="1" applyBorder="1" applyAlignment="1" applyProtection="1">
      <alignment horizontal="centerContinuous"/>
    </xf>
    <xf numFmtId="0" fontId="97" fillId="8" borderId="10" xfId="13" applyFont="1" applyFill="1" applyBorder="1" applyAlignment="1" applyProtection="1">
      <alignment horizontal="centerContinuous"/>
    </xf>
    <xf numFmtId="0" fontId="99" fillId="8" borderId="34" xfId="6" applyFont="1" applyFill="1" applyBorder="1" applyAlignment="1">
      <alignment horizontal="center"/>
    </xf>
    <xf numFmtId="0" fontId="99" fillId="8" borderId="46" xfId="6" applyFont="1" applyFill="1" applyBorder="1" applyAlignment="1">
      <alignment horizontal="center"/>
    </xf>
    <xf numFmtId="0" fontId="19" fillId="0" borderId="34" xfId="6" applyFont="1" applyBorder="1" applyAlignment="1">
      <alignment horizontal="center"/>
    </xf>
    <xf numFmtId="0" fontId="19" fillId="0" borderId="17" xfId="6" applyFont="1" applyBorder="1" applyAlignment="1">
      <alignment horizontal="center"/>
    </xf>
    <xf numFmtId="0" fontId="19" fillId="0" borderId="29" xfId="6" applyFont="1" applyBorder="1" applyAlignment="1">
      <alignment horizontal="center"/>
    </xf>
    <xf numFmtId="0" fontId="19" fillId="0" borderId="18" xfId="6" applyFont="1" applyBorder="1" applyAlignment="1">
      <alignment horizontal="center"/>
    </xf>
    <xf numFmtId="0" fontId="97" fillId="8" borderId="7" xfId="6" applyFont="1" applyFill="1" applyBorder="1" applyAlignment="1">
      <alignment horizontal="centerContinuous"/>
    </xf>
    <xf numFmtId="0" fontId="97" fillId="8" borderId="6" xfId="6" applyFont="1" applyFill="1" applyBorder="1" applyAlignment="1">
      <alignment horizontal="centerContinuous"/>
    </xf>
    <xf numFmtId="0" fontId="97" fillId="8" borderId="10" xfId="6" applyFont="1" applyFill="1" applyBorder="1" applyAlignment="1">
      <alignment horizontal="centerContinuous"/>
    </xf>
    <xf numFmtId="0" fontId="97" fillId="8" borderId="5" xfId="6" applyFont="1" applyFill="1" applyBorder="1" applyAlignment="1">
      <alignment horizontal="centerContinuous"/>
    </xf>
    <xf numFmtId="167" fontId="97" fillId="8" borderId="4" xfId="6" applyNumberFormat="1" applyFont="1" applyFill="1" applyBorder="1" applyAlignment="1">
      <alignment horizontal="right"/>
    </xf>
    <xf numFmtId="2" fontId="19" fillId="0" borderId="17" xfId="6" applyNumberFormat="1" applyFont="1" applyBorder="1" applyAlignment="1">
      <alignment horizontal="center"/>
    </xf>
    <xf numFmtId="0" fontId="19" fillId="0" borderId="49" xfId="6" applyFont="1" applyBorder="1" applyAlignment="1">
      <alignment horizontal="center"/>
    </xf>
    <xf numFmtId="9" fontId="19" fillId="0" borderId="42" xfId="14" applyFont="1" applyBorder="1" applyAlignment="1">
      <alignment horizontal="center"/>
    </xf>
    <xf numFmtId="0" fontId="97" fillId="8" borderId="73" xfId="6" applyFont="1" applyFill="1" applyBorder="1" applyAlignment="1">
      <alignment horizontal="center"/>
    </xf>
    <xf numFmtId="217" fontId="19" fillId="0" borderId="46" xfId="14" applyNumberFormat="1" applyFont="1" applyBorder="1" applyAlignment="1">
      <alignment horizontal="center"/>
    </xf>
    <xf numFmtId="0" fontId="4" fillId="0" borderId="0" xfId="0" applyFont="1"/>
    <xf numFmtId="0" fontId="19" fillId="0" borderId="0" xfId="6" applyFont="1" applyFill="1" applyBorder="1" applyAlignment="1">
      <alignment horizontal="left"/>
    </xf>
    <xf numFmtId="0" fontId="19" fillId="22" borderId="0" xfId="0" applyFont="1" applyFill="1" applyBorder="1"/>
    <xf numFmtId="0" fontId="19" fillId="0" borderId="16" xfId="0" applyFont="1" applyBorder="1" applyAlignment="1">
      <alignment horizontal="center"/>
    </xf>
    <xf numFmtId="0" fontId="19" fillId="22" borderId="19" xfId="0" applyFont="1" applyFill="1" applyBorder="1"/>
    <xf numFmtId="168" fontId="19" fillId="0" borderId="16" xfId="0" applyNumberFormat="1" applyFont="1" applyBorder="1" applyAlignment="1">
      <alignment horizontal="center"/>
    </xf>
    <xf numFmtId="0" fontId="19" fillId="0" borderId="16" xfId="0" applyFont="1" applyFill="1" applyBorder="1" applyAlignment="1">
      <alignment horizontal="center"/>
    </xf>
    <xf numFmtId="0" fontId="19" fillId="22" borderId="12" xfId="0" applyFont="1" applyFill="1" applyBorder="1"/>
    <xf numFmtId="0" fontId="19" fillId="0" borderId="12" xfId="0" applyFont="1" applyFill="1" applyBorder="1" applyAlignment="1">
      <alignment horizontal="center"/>
    </xf>
    <xf numFmtId="0" fontId="19" fillId="22" borderId="37" xfId="0" applyFont="1" applyFill="1" applyBorder="1"/>
    <xf numFmtId="0" fontId="19" fillId="0" borderId="0" xfId="6" applyFont="1" applyFill="1" applyBorder="1" applyAlignment="1"/>
    <xf numFmtId="0" fontId="19" fillId="22" borderId="21" xfId="0" applyFont="1" applyFill="1" applyBorder="1"/>
    <xf numFmtId="0" fontId="117" fillId="0" borderId="0" xfId="6" applyFont="1" applyFill="1" applyBorder="1" applyAlignment="1"/>
    <xf numFmtId="0" fontId="19" fillId="3" borderId="16" xfId="0" applyFont="1" applyFill="1" applyBorder="1"/>
    <xf numFmtId="218" fontId="4" fillId="0" borderId="0" xfId="0" applyNumberFormat="1" applyFont="1"/>
    <xf numFmtId="0" fontId="19" fillId="16" borderId="16" xfId="6" applyFont="1" applyFill="1" applyBorder="1"/>
    <xf numFmtId="0" fontId="19" fillId="16" borderId="22" xfId="6" applyFont="1" applyFill="1" applyBorder="1" applyAlignment="1">
      <alignment horizontal="left"/>
    </xf>
    <xf numFmtId="0" fontId="19" fillId="16" borderId="24" xfId="6" applyFont="1" applyFill="1" applyBorder="1" applyAlignment="1">
      <alignment horizontal="left"/>
    </xf>
    <xf numFmtId="0" fontId="19" fillId="16" borderId="23" xfId="6" applyFont="1" applyFill="1" applyBorder="1" applyAlignment="1">
      <alignment horizontal="left"/>
    </xf>
    <xf numFmtId="194" fontId="66" fillId="2" borderId="0" xfId="6" applyNumberFormat="1" applyFont="1" applyFill="1" applyBorder="1"/>
    <xf numFmtId="0" fontId="19" fillId="0" borderId="0" xfId="6" applyFont="1" applyAlignment="1">
      <alignment horizontal="left"/>
    </xf>
    <xf numFmtId="0" fontId="97" fillId="18" borderId="35" xfId="6" applyFont="1" applyFill="1" applyBorder="1" applyAlignment="1">
      <alignment horizontal="right"/>
    </xf>
    <xf numFmtId="168" fontId="19" fillId="4" borderId="16" xfId="0" applyNumberFormat="1" applyFont="1" applyFill="1" applyBorder="1" applyAlignment="1">
      <alignment horizontal="center"/>
    </xf>
    <xf numFmtId="0" fontId="19" fillId="4" borderId="22" xfId="6" applyFont="1" applyFill="1" applyBorder="1" applyAlignment="1">
      <alignment horizontal="left"/>
    </xf>
    <xf numFmtId="0" fontId="19" fillId="4" borderId="23" xfId="0" applyFont="1" applyFill="1" applyBorder="1"/>
    <xf numFmtId="0" fontId="19" fillId="3" borderId="38" xfId="0" applyFont="1" applyFill="1" applyBorder="1"/>
    <xf numFmtId="0" fontId="41" fillId="0" borderId="38" xfId="0" applyFont="1" applyBorder="1" applyAlignment="1">
      <alignment horizontal="center"/>
    </xf>
    <xf numFmtId="218" fontId="19" fillId="4" borderId="23" xfId="0" applyNumberFormat="1" applyFont="1" applyFill="1" applyBorder="1" applyAlignment="1">
      <alignment horizontal="center"/>
    </xf>
    <xf numFmtId="218" fontId="19" fillId="4" borderId="16" xfId="0" applyNumberFormat="1" applyFont="1" applyFill="1" applyBorder="1" applyAlignment="1">
      <alignment horizontal="center"/>
    </xf>
    <xf numFmtId="167" fontId="19" fillId="22" borderId="0" xfId="0" applyNumberFormat="1" applyFont="1" applyFill="1" applyBorder="1"/>
    <xf numFmtId="167" fontId="19" fillId="0" borderId="16" xfId="0" applyNumberFormat="1" applyFont="1" applyBorder="1" applyAlignment="1">
      <alignment horizontal="center"/>
    </xf>
    <xf numFmtId="167" fontId="19" fillId="0" borderId="22" xfId="0" applyNumberFormat="1" applyFont="1" applyBorder="1" applyAlignment="1">
      <alignment horizontal="center"/>
    </xf>
    <xf numFmtId="167" fontId="19" fillId="0" borderId="23" xfId="0" applyNumberFormat="1" applyFont="1" applyBorder="1" applyAlignment="1">
      <alignment horizontal="center"/>
    </xf>
    <xf numFmtId="167" fontId="19" fillId="22" borderId="19" xfId="0" applyNumberFormat="1" applyFont="1" applyFill="1" applyBorder="1"/>
    <xf numFmtId="3" fontId="30" fillId="16" borderId="16" xfId="10" applyNumberFormat="1" applyFont="1" applyFill="1" applyBorder="1" applyAlignment="1" applyProtection="1">
      <alignment horizontal="center"/>
    </xf>
    <xf numFmtId="3" fontId="80" fillId="19" borderId="0" xfId="10" applyNumberFormat="1" applyFont="1" applyFill="1" applyBorder="1" applyAlignment="1" applyProtection="1">
      <alignment horizontal="center"/>
    </xf>
    <xf numFmtId="168" fontId="96" fillId="0" borderId="0" xfId="0" applyNumberFormat="1" applyFont="1"/>
    <xf numFmtId="168" fontId="0" fillId="0" borderId="0" xfId="0" applyNumberFormat="1"/>
    <xf numFmtId="183" fontId="19" fillId="0" borderId="0" xfId="14" applyNumberFormat="1" applyFont="1" applyFill="1" applyBorder="1" applyAlignment="1">
      <alignment horizontal="center"/>
    </xf>
    <xf numFmtId="3" fontId="66" fillId="3" borderId="38" xfId="10" applyNumberFormat="1" applyFont="1" applyFill="1" applyBorder="1" applyAlignment="1" applyProtection="1">
      <alignment horizontal="center" wrapText="1"/>
    </xf>
    <xf numFmtId="3" fontId="66" fillId="3" borderId="36" xfId="10" applyNumberFormat="1" applyFont="1" applyFill="1" applyBorder="1" applyAlignment="1" applyProtection="1">
      <alignment horizontal="center" wrapText="1"/>
    </xf>
    <xf numFmtId="168" fontId="19" fillId="38" borderId="0" xfId="6" applyNumberFormat="1" applyFont="1" applyFill="1" applyBorder="1" applyAlignment="1">
      <alignment horizontal="center"/>
    </xf>
    <xf numFmtId="0" fontId="15" fillId="0" borderId="35" xfId="6" applyFont="1" applyFill="1" applyBorder="1" applyAlignment="1">
      <alignment horizontal="left"/>
    </xf>
    <xf numFmtId="218" fontId="19" fillId="0" borderId="40" xfId="6" applyNumberFormat="1" applyFont="1" applyFill="1" applyBorder="1" applyAlignment="1">
      <alignment horizontal="center"/>
    </xf>
    <xf numFmtId="168" fontId="19" fillId="0" borderId="40" xfId="6" applyNumberFormat="1" applyFont="1" applyFill="1" applyBorder="1" applyAlignment="1">
      <alignment horizontal="center"/>
    </xf>
    <xf numFmtId="168" fontId="19" fillId="10" borderId="40" xfId="6" applyNumberFormat="1" applyFont="1" applyFill="1" applyBorder="1" applyAlignment="1">
      <alignment horizontal="center"/>
    </xf>
    <xf numFmtId="0" fontId="15" fillId="0" borderId="41" xfId="6" applyFont="1" applyBorder="1" applyAlignment="1">
      <alignment horizontal="left"/>
    </xf>
    <xf numFmtId="218" fontId="19" fillId="0" borderId="12" xfId="6" applyNumberFormat="1" applyFont="1" applyBorder="1" applyAlignment="1">
      <alignment horizontal="center"/>
    </xf>
    <xf numFmtId="168" fontId="19" fillId="38" borderId="12" xfId="6" applyNumberFormat="1" applyFont="1" applyFill="1" applyBorder="1" applyAlignment="1">
      <alignment horizontal="center"/>
    </xf>
    <xf numFmtId="168" fontId="19" fillId="0" borderId="12" xfId="6" applyNumberFormat="1" applyFont="1" applyBorder="1" applyAlignment="1">
      <alignment horizontal="center"/>
    </xf>
    <xf numFmtId="168" fontId="19" fillId="10" borderId="12" xfId="6" applyNumberFormat="1" applyFont="1" applyFill="1" applyBorder="1" applyAlignment="1">
      <alignment horizontal="center"/>
    </xf>
    <xf numFmtId="168" fontId="19" fillId="38" borderId="40" xfId="6" applyNumberFormat="1" applyFont="1" applyFill="1" applyBorder="1" applyAlignment="1">
      <alignment horizontal="center"/>
    </xf>
    <xf numFmtId="0" fontId="19" fillId="3" borderId="0" xfId="0" applyFont="1" applyFill="1" applyBorder="1" applyAlignment="1" applyProtection="1">
      <alignment horizontal="center"/>
    </xf>
    <xf numFmtId="0" fontId="143" fillId="0" borderId="34" xfId="6" applyFont="1" applyBorder="1" applyAlignment="1">
      <alignment horizontal="center"/>
    </xf>
    <xf numFmtId="0" fontId="143" fillId="0" borderId="16" xfId="6" applyFont="1" applyBorder="1" applyAlignment="1">
      <alignment horizontal="center"/>
    </xf>
    <xf numFmtId="0" fontId="143" fillId="0" borderId="17" xfId="6" applyFont="1" applyBorder="1" applyAlignment="1">
      <alignment horizontal="center"/>
    </xf>
    <xf numFmtId="0" fontId="19" fillId="3" borderId="40" xfId="0" applyFont="1" applyFill="1" applyBorder="1" applyAlignment="1" applyProtection="1">
      <alignment horizontal="center"/>
    </xf>
    <xf numFmtId="37" fontId="19" fillId="3" borderId="40" xfId="0" applyNumberFormat="1" applyFont="1" applyFill="1" applyBorder="1" applyAlignment="1" applyProtection="1">
      <alignment horizontal="center"/>
    </xf>
    <xf numFmtId="168" fontId="19" fillId="3" borderId="0" xfId="0" applyNumberFormat="1" applyFont="1" applyFill="1" applyBorder="1" applyProtection="1"/>
    <xf numFmtId="168" fontId="19" fillId="0" borderId="0" xfId="0" applyNumberFormat="1" applyFont="1" applyProtection="1"/>
    <xf numFmtId="1" fontId="122" fillId="3" borderId="16" xfId="14" applyNumberFormat="1" applyFont="1" applyFill="1" applyBorder="1" applyAlignment="1" applyProtection="1">
      <alignment horizontal="center"/>
    </xf>
    <xf numFmtId="0" fontId="144" fillId="0" borderId="0" xfId="3" applyFont="1"/>
    <xf numFmtId="0" fontId="144" fillId="0" borderId="0" xfId="13" applyFont="1" applyProtection="1"/>
    <xf numFmtId="167" fontId="113" fillId="0" borderId="0" xfId="0" applyNumberFormat="1" applyFont="1"/>
    <xf numFmtId="3" fontId="19" fillId="40" borderId="0" xfId="6" applyNumberFormat="1" applyFont="1" applyFill="1" applyBorder="1" applyAlignment="1">
      <alignment horizontal="center"/>
    </xf>
    <xf numFmtId="0" fontId="18" fillId="3" borderId="16" xfId="10" applyNumberFormat="1" applyFont="1" applyFill="1" applyBorder="1" applyAlignment="1" applyProtection="1">
      <alignment horizontal="center"/>
    </xf>
    <xf numFmtId="9" fontId="18" fillId="3" borderId="16" xfId="14" applyFont="1" applyFill="1" applyBorder="1" applyAlignment="1">
      <alignment horizontal="center"/>
    </xf>
    <xf numFmtId="9" fontId="18" fillId="3" borderId="16" xfId="14" applyFont="1" applyFill="1" applyBorder="1" applyAlignment="1" applyProtection="1">
      <alignment horizontal="center"/>
    </xf>
    <xf numFmtId="2" fontId="19" fillId="0" borderId="0" xfId="6" applyNumberFormat="1" applyFont="1" applyBorder="1" applyAlignment="1">
      <alignment horizontal="center"/>
    </xf>
    <xf numFmtId="0" fontId="145" fillId="41" borderId="41" xfId="8" applyFont="1" applyFill="1" applyBorder="1"/>
    <xf numFmtId="2" fontId="19" fillId="0" borderId="0" xfId="6" applyNumberFormat="1" applyFont="1" applyFill="1" applyBorder="1" applyAlignment="1">
      <alignment horizontal="center"/>
    </xf>
    <xf numFmtId="9" fontId="19" fillId="0" borderId="75" xfId="14" applyFont="1" applyBorder="1" applyAlignment="1">
      <alignment horizontal="center"/>
    </xf>
    <xf numFmtId="0" fontId="97" fillId="8" borderId="76" xfId="6" applyFont="1" applyFill="1" applyBorder="1" applyAlignment="1">
      <alignment horizontal="center"/>
    </xf>
    <xf numFmtId="0" fontId="19" fillId="10" borderId="19" xfId="6" applyFont="1" applyFill="1" applyBorder="1" applyAlignment="1">
      <alignment horizontal="center"/>
    </xf>
    <xf numFmtId="2" fontId="19" fillId="0" borderId="0" xfId="13" applyNumberFormat="1" applyFont="1" applyFill="1" applyBorder="1" applyAlignment="1" applyProtection="1">
      <alignment horizontal="center"/>
    </xf>
    <xf numFmtId="2" fontId="19" fillId="0" borderId="12" xfId="13" applyNumberFormat="1" applyFont="1" applyFill="1" applyBorder="1" applyAlignment="1" applyProtection="1">
      <alignment horizontal="center"/>
    </xf>
    <xf numFmtId="1" fontId="18" fillId="11" borderId="35" xfId="13" applyNumberFormat="1" applyFont="1" applyFill="1" applyBorder="1" applyAlignment="1" applyProtection="1">
      <alignment horizontal="center"/>
    </xf>
    <xf numFmtId="0" fontId="18" fillId="11" borderId="40" xfId="13" applyFont="1" applyFill="1" applyBorder="1" applyAlignment="1" applyProtection="1">
      <alignment horizontal="center"/>
    </xf>
    <xf numFmtId="0" fontId="18" fillId="11" borderId="36" xfId="13" applyFont="1" applyFill="1" applyBorder="1" applyAlignment="1" applyProtection="1">
      <alignment horizontal="center"/>
    </xf>
    <xf numFmtId="0" fontId="100" fillId="2" borderId="36" xfId="6" applyFont="1" applyFill="1" applyBorder="1" applyAlignment="1">
      <alignment horizontal="centerContinuous"/>
    </xf>
    <xf numFmtId="0" fontId="19" fillId="2" borderId="19" xfId="6" applyFont="1" applyFill="1" applyBorder="1" applyAlignment="1">
      <alignment horizontal="left"/>
    </xf>
    <xf numFmtId="182" fontId="129" fillId="2" borderId="16" xfId="6" applyNumberFormat="1" applyFont="1" applyFill="1" applyBorder="1" applyAlignment="1">
      <alignment horizontal="left"/>
    </xf>
    <xf numFmtId="1" fontId="19" fillId="0" borderId="16" xfId="0" applyNumberFormat="1" applyFont="1" applyFill="1" applyBorder="1" applyAlignment="1">
      <alignment horizontal="center"/>
    </xf>
    <xf numFmtId="3" fontId="16" fillId="42" borderId="45" xfId="11" applyNumberFormat="1" applyFont="1" applyFill="1" applyBorder="1" applyAlignment="1" applyProtection="1">
      <alignment horizontal="left"/>
    </xf>
    <xf numFmtId="222" fontId="19" fillId="42" borderId="40" xfId="6" applyNumberFormat="1" applyFont="1" applyFill="1" applyBorder="1" applyAlignment="1">
      <alignment horizontal="right"/>
    </xf>
    <xf numFmtId="0" fontId="19" fillId="42" borderId="35" xfId="6" applyFont="1" applyFill="1" applyBorder="1" applyAlignment="1">
      <alignment horizontal="right"/>
    </xf>
    <xf numFmtId="9" fontId="19" fillId="42" borderId="35" xfId="14" applyFont="1" applyFill="1" applyBorder="1" applyAlignment="1">
      <alignment horizontal="center"/>
    </xf>
    <xf numFmtId="220" fontId="19" fillId="42" borderId="23" xfId="6" applyNumberFormat="1" applyFont="1" applyFill="1" applyBorder="1" applyAlignment="1">
      <alignment horizontal="center"/>
    </xf>
    <xf numFmtId="168" fontId="19" fillId="42" borderId="16" xfId="6" applyNumberFormat="1" applyFont="1" applyFill="1" applyBorder="1" applyAlignment="1">
      <alignment horizontal="center"/>
    </xf>
    <xf numFmtId="2" fontId="19" fillId="42" borderId="16" xfId="6" applyNumberFormat="1" applyFont="1" applyFill="1" applyBorder="1" applyAlignment="1">
      <alignment horizontal="center"/>
    </xf>
    <xf numFmtId="0" fontId="19" fillId="42" borderId="19" xfId="6" applyFont="1" applyFill="1" applyBorder="1" applyAlignment="1">
      <alignment horizontal="center" vertical="center" textRotation="90"/>
    </xf>
    <xf numFmtId="3" fontId="16" fillId="42" borderId="20" xfId="10" applyNumberFormat="1" applyFont="1" applyFill="1" applyBorder="1" applyAlignment="1" applyProtection="1">
      <alignment horizontal="left"/>
    </xf>
    <xf numFmtId="1" fontId="18" fillId="42" borderId="19" xfId="13" applyNumberFormat="1" applyFont="1" applyFill="1" applyBorder="1" applyAlignment="1" applyProtection="1">
      <alignment horizontal="center" vertical="center"/>
    </xf>
    <xf numFmtId="3" fontId="18" fillId="42" borderId="19" xfId="10" applyNumberFormat="1" applyFont="1" applyFill="1" applyBorder="1" applyAlignment="1" applyProtection="1">
      <alignment horizontal="center"/>
    </xf>
    <xf numFmtId="3" fontId="28" fillId="42" borderId="0" xfId="11" applyNumberFormat="1" applyFont="1" applyFill="1" applyBorder="1" applyAlignment="1" applyProtection="1">
      <alignment horizontal="center"/>
    </xf>
    <xf numFmtId="1" fontId="18" fillId="42" borderId="20" xfId="13" applyNumberFormat="1" applyFont="1" applyFill="1" applyBorder="1" applyAlignment="1" applyProtection="1">
      <alignment horizontal="center" vertical="center"/>
    </xf>
    <xf numFmtId="1" fontId="28" fillId="42" borderId="19" xfId="13" applyNumberFormat="1" applyFont="1" applyFill="1" applyBorder="1" applyAlignment="1" applyProtection="1">
      <alignment horizontal="center" vertical="center"/>
    </xf>
    <xf numFmtId="170" fontId="18" fillId="42" borderId="19" xfId="13" applyNumberFormat="1" applyFont="1" applyFill="1" applyBorder="1" applyAlignment="1" applyProtection="1">
      <alignment horizontal="center"/>
    </xf>
    <xf numFmtId="0" fontId="6" fillId="42" borderId="0" xfId="13" applyFont="1" applyFill="1" applyProtection="1"/>
    <xf numFmtId="3" fontId="28" fillId="42" borderId="0" xfId="10" applyNumberFormat="1" applyFont="1" applyFill="1" applyBorder="1" applyAlignment="1" applyProtection="1">
      <alignment horizontal="center"/>
    </xf>
    <xf numFmtId="3" fontId="16" fillId="42" borderId="21" xfId="13" applyNumberFormat="1" applyFont="1" applyFill="1" applyBorder="1" applyProtection="1"/>
    <xf numFmtId="0" fontId="6" fillId="42" borderId="0" xfId="13" applyFont="1" applyFill="1" applyBorder="1" applyProtection="1"/>
    <xf numFmtId="168" fontId="60" fillId="42" borderId="0" xfId="13" applyNumberFormat="1" applyFont="1" applyFill="1" applyProtection="1"/>
    <xf numFmtId="3" fontId="32" fillId="42" borderId="0" xfId="10" applyNumberFormat="1" applyFont="1" applyFill="1" applyBorder="1" applyAlignment="1" applyProtection="1">
      <alignment horizontal="centerContinuous"/>
      <protection locked="0"/>
    </xf>
    <xf numFmtId="199" fontId="30" fillId="42" borderId="0" xfId="10" applyNumberFormat="1" applyFont="1" applyFill="1" applyBorder="1" applyAlignment="1" applyProtection="1">
      <alignment horizontal="left"/>
    </xf>
    <xf numFmtId="200" fontId="30" fillId="42" borderId="19" xfId="0" applyNumberFormat="1" applyFont="1" applyFill="1" applyBorder="1" applyAlignment="1" applyProtection="1">
      <alignment horizontal="centerContinuous"/>
    </xf>
    <xf numFmtId="231" fontId="95" fillId="42" borderId="19" xfId="0" applyNumberFormat="1" applyFont="1" applyFill="1" applyBorder="1" applyAlignment="1" applyProtection="1">
      <alignment horizontal="centerContinuous"/>
    </xf>
    <xf numFmtId="0" fontId="33" fillId="42" borderId="0" xfId="10" applyFont="1" applyFill="1" applyBorder="1" applyAlignment="1" applyProtection="1">
      <alignment horizontal="centerContinuous"/>
      <protection locked="0"/>
    </xf>
    <xf numFmtId="186" fontId="30" fillId="42" borderId="19" xfId="0" applyNumberFormat="1" applyFont="1" applyFill="1" applyBorder="1" applyAlignment="1" applyProtection="1">
      <alignment horizontal="centerContinuous"/>
    </xf>
    <xf numFmtId="201" fontId="30" fillId="42" borderId="19" xfId="0" applyNumberFormat="1" applyFont="1" applyFill="1" applyBorder="1" applyAlignment="1" applyProtection="1">
      <alignment horizontal="centerContinuous"/>
    </xf>
    <xf numFmtId="9" fontId="61" fillId="42" borderId="19" xfId="14" applyFont="1" applyFill="1" applyBorder="1" applyAlignment="1" applyProtection="1">
      <alignment horizontal="center"/>
    </xf>
    <xf numFmtId="168" fontId="19" fillId="42" borderId="21" xfId="10" applyNumberFormat="1" applyFont="1" applyFill="1" applyBorder="1" applyAlignment="1" applyProtection="1">
      <alignment horizontal="center"/>
    </xf>
    <xf numFmtId="168" fontId="19" fillId="42" borderId="0" xfId="10" applyNumberFormat="1" applyFont="1" applyFill="1" applyBorder="1" applyAlignment="1" applyProtection="1">
      <alignment horizontal="center"/>
    </xf>
    <xf numFmtId="170" fontId="18" fillId="42" borderId="0" xfId="10" applyNumberFormat="1" applyFont="1" applyFill="1" applyBorder="1" applyAlignment="1" applyProtection="1">
      <alignment horizontal="center"/>
    </xf>
    <xf numFmtId="0" fontId="18" fillId="42" borderId="0" xfId="10" applyNumberFormat="1" applyFont="1" applyFill="1" applyBorder="1" applyAlignment="1" applyProtection="1">
      <alignment horizontal="center"/>
    </xf>
    <xf numFmtId="187" fontId="19" fillId="42" borderId="21" xfId="10" applyNumberFormat="1" applyFont="1" applyFill="1" applyBorder="1" applyAlignment="1" applyProtection="1">
      <alignment horizontal="center"/>
    </xf>
    <xf numFmtId="224" fontId="19" fillId="42" borderId="20" xfId="10" applyNumberFormat="1" applyFont="1" applyFill="1" applyBorder="1" applyProtection="1"/>
    <xf numFmtId="223" fontId="109" fillId="42" borderId="20" xfId="10" applyNumberFormat="1" applyFont="1" applyFill="1" applyBorder="1" applyAlignment="1" applyProtection="1">
      <alignment horizontal="center"/>
    </xf>
    <xf numFmtId="0" fontId="5" fillId="42" borderId="19" xfId="10" applyFont="1" applyFill="1" applyBorder="1" applyAlignment="1" applyProtection="1">
      <alignment horizontal="center"/>
    </xf>
    <xf numFmtId="3" fontId="9" fillId="42" borderId="19" xfId="10" applyNumberFormat="1" applyFont="1" applyFill="1" applyBorder="1" applyAlignment="1" applyProtection="1">
      <alignment horizontal="center"/>
    </xf>
    <xf numFmtId="183" fontId="5" fillId="42" borderId="0" xfId="14" applyNumberFormat="1" applyFont="1" applyFill="1" applyBorder="1" applyAlignment="1" applyProtection="1">
      <alignment horizontal="center"/>
    </xf>
    <xf numFmtId="0" fontId="5" fillId="42" borderId="0" xfId="10" applyFont="1" applyFill="1" applyBorder="1" applyAlignment="1" applyProtection="1">
      <alignment horizontal="center"/>
    </xf>
    <xf numFmtId="187" fontId="5" fillId="42" borderId="21" xfId="10" applyNumberFormat="1" applyFont="1" applyFill="1" applyBorder="1" applyAlignment="1" applyProtection="1">
      <alignment horizontal="center"/>
    </xf>
    <xf numFmtId="183" fontId="38" fillId="42" borderId="21" xfId="14" applyNumberFormat="1" applyFont="1" applyFill="1" applyBorder="1" applyAlignment="1" applyProtection="1">
      <alignment horizontal="center"/>
    </xf>
    <xf numFmtId="170" fontId="32" fillId="42" borderId="0" xfId="10" applyNumberFormat="1" applyFont="1" applyFill="1" applyBorder="1" applyAlignment="1" applyProtection="1">
      <alignment horizontal="centerContinuous"/>
    </xf>
    <xf numFmtId="1" fontId="30" fillId="42" borderId="21" xfId="10" applyNumberFormat="1" applyFont="1" applyFill="1" applyBorder="1" applyProtection="1"/>
    <xf numFmtId="0" fontId="30" fillId="42" borderId="20" xfId="10" applyFont="1" applyFill="1" applyBorder="1" applyProtection="1"/>
    <xf numFmtId="1" fontId="109" fillId="42" borderId="20" xfId="10" applyNumberFormat="1" applyFont="1" applyFill="1" applyBorder="1" applyProtection="1"/>
    <xf numFmtId="9" fontId="5" fillId="42" borderId="20" xfId="14" applyFont="1" applyFill="1" applyBorder="1" applyAlignment="1" applyProtection="1">
      <alignment horizontal="center"/>
    </xf>
    <xf numFmtId="3" fontId="18" fillId="42" borderId="0" xfId="10" applyNumberFormat="1" applyFont="1" applyFill="1" applyBorder="1" applyAlignment="1" applyProtection="1">
      <alignment horizontal="center"/>
    </xf>
    <xf numFmtId="183" fontId="46" fillId="42" borderId="21" xfId="10" applyNumberFormat="1" applyFont="1" applyFill="1" applyBorder="1" applyAlignment="1" applyProtection="1">
      <alignment horizontal="center"/>
    </xf>
    <xf numFmtId="169" fontId="5" fillId="42" borderId="0" xfId="10" applyNumberFormat="1" applyFont="1" applyFill="1" applyBorder="1" applyProtection="1"/>
    <xf numFmtId="169" fontId="24" fillId="42" borderId="21" xfId="10" applyNumberFormat="1" applyFont="1" applyFill="1" applyBorder="1" applyAlignment="1" applyProtection="1">
      <alignment horizontal="center"/>
    </xf>
    <xf numFmtId="169" fontId="24" fillId="42" borderId="0" xfId="10" applyNumberFormat="1" applyFont="1" applyFill="1" applyBorder="1" applyAlignment="1" applyProtection="1">
      <alignment horizontal="center"/>
    </xf>
    <xf numFmtId="169" fontId="24" fillId="42" borderId="19" xfId="10" applyNumberFormat="1" applyFont="1" applyFill="1" applyBorder="1" applyAlignment="1" applyProtection="1">
      <alignment horizontal="center"/>
    </xf>
    <xf numFmtId="169" fontId="24" fillId="42" borderId="5" xfId="10" applyNumberFormat="1" applyFont="1" applyFill="1" applyBorder="1" applyAlignment="1" applyProtection="1">
      <alignment horizontal="center"/>
    </xf>
    <xf numFmtId="169" fontId="24" fillId="42" borderId="4" xfId="10" applyNumberFormat="1" applyFont="1" applyFill="1" applyBorder="1" applyAlignment="1" applyProtection="1">
      <alignment horizontal="center"/>
    </xf>
    <xf numFmtId="169" fontId="24" fillId="42" borderId="33" xfId="10" applyNumberFormat="1" applyFont="1" applyFill="1" applyBorder="1" applyAlignment="1" applyProtection="1">
      <alignment horizontal="center"/>
    </xf>
    <xf numFmtId="169" fontId="19" fillId="42" borderId="21" xfId="10" applyNumberFormat="1" applyFont="1" applyFill="1" applyBorder="1" applyAlignment="1" applyProtection="1">
      <alignment horizontal="center"/>
    </xf>
    <xf numFmtId="169" fontId="19" fillId="42" borderId="0" xfId="10" applyNumberFormat="1" applyFont="1" applyFill="1" applyBorder="1" applyAlignment="1" applyProtection="1">
      <alignment horizontal="center"/>
    </xf>
    <xf numFmtId="170" fontId="19" fillId="42" borderId="0" xfId="10" applyNumberFormat="1" applyFont="1" applyFill="1" applyBorder="1" applyAlignment="1" applyProtection="1">
      <alignment horizontal="center"/>
    </xf>
    <xf numFmtId="169" fontId="19" fillId="42" borderId="19" xfId="10" applyNumberFormat="1" applyFont="1" applyFill="1" applyBorder="1" applyAlignment="1" applyProtection="1">
      <alignment horizontal="center"/>
    </xf>
    <xf numFmtId="3" fontId="26" fillId="44" borderId="20" xfId="10" applyNumberFormat="1" applyFont="1" applyFill="1" applyBorder="1" applyAlignment="1" applyProtection="1">
      <alignment horizontal="center"/>
    </xf>
    <xf numFmtId="169" fontId="10" fillId="44" borderId="0" xfId="10" applyNumberFormat="1" applyFont="1" applyFill="1" applyBorder="1" applyAlignment="1" applyProtection="1">
      <alignment horizontal="center"/>
    </xf>
    <xf numFmtId="170" fontId="19" fillId="39" borderId="19" xfId="13" applyNumberFormat="1" applyFont="1" applyFill="1" applyBorder="1" applyAlignment="1" applyProtection="1">
      <alignment horizontal="center"/>
    </xf>
    <xf numFmtId="168" fontId="19" fillId="39" borderId="21" xfId="11" applyNumberFormat="1" applyFont="1" applyFill="1" applyBorder="1" applyAlignment="1" applyProtection="1">
      <alignment horizontal="center"/>
      <protection locked="0"/>
    </xf>
    <xf numFmtId="168" fontId="19" fillId="39" borderId="0" xfId="11" applyNumberFormat="1" applyFont="1" applyFill="1" applyBorder="1" applyAlignment="1" applyProtection="1">
      <alignment horizontal="center"/>
      <protection locked="0"/>
    </xf>
    <xf numFmtId="187" fontId="15" fillId="39" borderId="20" xfId="13" applyNumberFormat="1" applyFont="1" applyFill="1" applyBorder="1" applyAlignment="1" applyProtection="1">
      <alignment horizontal="center"/>
    </xf>
    <xf numFmtId="178" fontId="6" fillId="39" borderId="21" xfId="13" applyNumberFormat="1" applyFont="1" applyFill="1" applyBorder="1" applyProtection="1"/>
    <xf numFmtId="178" fontId="6" fillId="45" borderId="20" xfId="13" applyNumberFormat="1" applyFont="1" applyFill="1" applyBorder="1" applyProtection="1">
      <protection locked="0"/>
    </xf>
    <xf numFmtId="1" fontId="15" fillId="45" borderId="19" xfId="13" applyNumberFormat="1" applyFont="1" applyFill="1" applyBorder="1" applyAlignment="1" applyProtection="1">
      <alignment horizontal="center"/>
    </xf>
    <xf numFmtId="168" fontId="35" fillId="45" borderId="0" xfId="11" applyNumberFormat="1" applyFont="1" applyFill="1" applyBorder="1" applyAlignment="1" applyProtection="1">
      <alignment horizontal="center"/>
      <protection locked="0"/>
    </xf>
    <xf numFmtId="168" fontId="19" fillId="45" borderId="21" xfId="11" applyNumberFormat="1" applyFont="1" applyFill="1" applyBorder="1" applyAlignment="1" applyProtection="1">
      <alignment horizontal="center"/>
      <protection locked="0"/>
    </xf>
    <xf numFmtId="168" fontId="19" fillId="45" borderId="0" xfId="11" applyNumberFormat="1" applyFont="1" applyFill="1" applyBorder="1" applyAlignment="1" applyProtection="1">
      <alignment horizontal="center"/>
      <protection locked="0"/>
    </xf>
    <xf numFmtId="187" fontId="15" fillId="45" borderId="20" xfId="13" applyNumberFormat="1" applyFont="1" applyFill="1" applyBorder="1" applyAlignment="1" applyProtection="1">
      <alignment horizontal="center"/>
    </xf>
    <xf numFmtId="187" fontId="15" fillId="45" borderId="19" xfId="13" applyNumberFormat="1" applyFont="1" applyFill="1" applyBorder="1" applyAlignment="1" applyProtection="1">
      <alignment horizontal="center"/>
    </xf>
    <xf numFmtId="168" fontId="19" fillId="45" borderId="0" xfId="11" applyNumberFormat="1" applyFont="1" applyFill="1" applyBorder="1" applyAlignment="1" applyProtection="1">
      <alignment horizontal="center"/>
    </xf>
    <xf numFmtId="0" fontId="11" fillId="0" borderId="21" xfId="0" applyFont="1" applyFill="1" applyBorder="1" applyAlignment="1">
      <alignment horizontal="left" indent="1"/>
    </xf>
    <xf numFmtId="0" fontId="110" fillId="3" borderId="29" xfId="6" applyFont="1" applyFill="1" applyBorder="1" applyAlignment="1" applyProtection="1">
      <alignment horizontal="center"/>
      <protection locked="0"/>
    </xf>
    <xf numFmtId="0" fontId="114" fillId="46" borderId="6" xfId="6" applyFont="1" applyFill="1" applyBorder="1" applyAlignment="1">
      <alignment horizontal="centerContinuous"/>
    </xf>
    <xf numFmtId="0" fontId="114" fillId="46" borderId="10" xfId="6" applyFont="1" applyFill="1" applyBorder="1" applyAlignment="1">
      <alignment horizontal="centerContinuous"/>
    </xf>
    <xf numFmtId="0" fontId="146" fillId="46" borderId="7" xfId="6" applyFont="1" applyFill="1" applyBorder="1" applyAlignment="1">
      <alignment horizontal="centerContinuous"/>
    </xf>
    <xf numFmtId="4" fontId="19" fillId="0" borderId="0" xfId="0" applyNumberFormat="1" applyFont="1" applyAlignment="1" applyProtection="1">
      <alignment horizontal="right"/>
    </xf>
    <xf numFmtId="0" fontId="19" fillId="0" borderId="0" xfId="0" applyFont="1" applyFill="1" applyBorder="1" applyProtection="1"/>
    <xf numFmtId="3" fontId="19" fillId="0" borderId="0" xfId="0" applyNumberFormat="1" applyFont="1" applyBorder="1" applyProtection="1"/>
    <xf numFmtId="3" fontId="19" fillId="0" borderId="0" xfId="0" applyNumberFormat="1" applyFont="1" applyBorder="1" applyAlignment="1" applyProtection="1">
      <alignment horizontal="center"/>
    </xf>
    <xf numFmtId="0" fontId="19" fillId="0" borderId="0" xfId="0" applyFont="1" applyBorder="1" applyProtection="1"/>
    <xf numFmtId="3" fontId="19" fillId="0" borderId="12" xfId="0" applyNumberFormat="1" applyFont="1" applyBorder="1" applyProtection="1"/>
    <xf numFmtId="3" fontId="19" fillId="0" borderId="12" xfId="0" applyNumberFormat="1" applyFont="1" applyBorder="1" applyAlignment="1" applyProtection="1">
      <alignment horizontal="center"/>
    </xf>
    <xf numFmtId="0" fontId="19" fillId="0" borderId="37" xfId="0" applyFont="1" applyBorder="1" applyAlignment="1" applyProtection="1">
      <alignment horizontal="center"/>
    </xf>
    <xf numFmtId="0" fontId="18" fillId="0" borderId="12" xfId="0" applyFont="1" applyBorder="1" applyAlignment="1" applyProtection="1">
      <alignment horizontal="center"/>
    </xf>
    <xf numFmtId="0" fontId="18" fillId="0" borderId="37" xfId="0" applyFont="1" applyBorder="1" applyAlignment="1" applyProtection="1">
      <alignment horizontal="center"/>
    </xf>
    <xf numFmtId="0" fontId="19" fillId="27" borderId="35" xfId="6" applyFont="1" applyFill="1" applyBorder="1" applyAlignment="1">
      <alignment horizontal="center"/>
    </xf>
    <xf numFmtId="0" fontId="19" fillId="27" borderId="40" xfId="6" applyFont="1" applyFill="1" applyBorder="1" applyAlignment="1">
      <alignment horizontal="center"/>
    </xf>
    <xf numFmtId="0" fontId="19" fillId="27" borderId="36" xfId="6" applyFont="1" applyFill="1" applyBorder="1" applyAlignment="1">
      <alignment horizontal="center"/>
    </xf>
    <xf numFmtId="0" fontId="19" fillId="27" borderId="21" xfId="6" applyFont="1" applyFill="1" applyBorder="1" applyAlignment="1">
      <alignment horizontal="center"/>
    </xf>
    <xf numFmtId="0" fontId="19" fillId="27" borderId="19" xfId="6" applyFont="1" applyFill="1" applyBorder="1" applyAlignment="1">
      <alignment horizontal="center"/>
    </xf>
    <xf numFmtId="0" fontId="103" fillId="27" borderId="19" xfId="6" applyFont="1" applyFill="1" applyBorder="1" applyAlignment="1">
      <alignment horizontal="center"/>
    </xf>
    <xf numFmtId="0" fontId="19" fillId="27" borderId="37" xfId="6" applyFont="1" applyFill="1" applyBorder="1" applyAlignment="1">
      <alignment horizontal="center"/>
    </xf>
    <xf numFmtId="0" fontId="19" fillId="3" borderId="16" xfId="14" applyNumberFormat="1" applyFont="1" applyFill="1" applyBorder="1" applyAlignment="1">
      <alignment horizontal="center"/>
    </xf>
    <xf numFmtId="0" fontId="4" fillId="0" borderId="21" xfId="0" applyFont="1" applyFill="1" applyBorder="1" applyAlignment="1">
      <alignment horizontal="left" indent="1"/>
    </xf>
    <xf numFmtId="0" fontId="6" fillId="0" borderId="21" xfId="13" applyFont="1" applyBorder="1" applyAlignment="1" applyProtection="1">
      <alignment horizontal="left" indent="1"/>
    </xf>
    <xf numFmtId="3" fontId="6" fillId="4" borderId="21" xfId="13" applyNumberFormat="1" applyFont="1" applyFill="1" applyBorder="1" applyAlignment="1" applyProtection="1">
      <alignment horizontal="left"/>
    </xf>
    <xf numFmtId="167" fontId="19" fillId="0" borderId="0" xfId="6" applyNumberFormat="1" applyFont="1" applyBorder="1" applyAlignment="1">
      <alignment horizontal="center"/>
    </xf>
    <xf numFmtId="167" fontId="19" fillId="0" borderId="12" xfId="6" applyNumberFormat="1" applyFont="1" applyBorder="1" applyAlignment="1">
      <alignment horizontal="center"/>
    </xf>
    <xf numFmtId="0" fontId="19" fillId="14" borderId="0" xfId="6" applyFont="1" applyFill="1" applyBorder="1" applyAlignment="1">
      <alignment horizontal="left"/>
    </xf>
    <xf numFmtId="0" fontId="145" fillId="41" borderId="0" xfId="8" applyFont="1" applyFill="1" applyBorder="1"/>
    <xf numFmtId="178" fontId="11" fillId="0" borderId="21" xfId="0" applyNumberFormat="1" applyFont="1" applyFill="1" applyBorder="1" applyAlignment="1">
      <alignment horizontal="left" indent="1"/>
    </xf>
    <xf numFmtId="0" fontId="145" fillId="0" borderId="0" xfId="13" applyFont="1" applyProtection="1"/>
    <xf numFmtId="170" fontId="30" fillId="0" borderId="0" xfId="10" applyNumberFormat="1" applyFont="1" applyFill="1" applyBorder="1" applyAlignment="1" applyProtection="1">
      <alignment horizontal="center"/>
    </xf>
    <xf numFmtId="170" fontId="30" fillId="2" borderId="0" xfId="10" applyNumberFormat="1" applyFont="1" applyFill="1" applyBorder="1" applyAlignment="1" applyProtection="1">
      <alignment horizontal="center"/>
    </xf>
    <xf numFmtId="0" fontId="18" fillId="47" borderId="40" xfId="10" applyFont="1" applyFill="1" applyBorder="1" applyAlignment="1" applyProtection="1">
      <alignment horizontal="right"/>
    </xf>
    <xf numFmtId="0" fontId="9" fillId="48" borderId="40" xfId="10" applyFont="1" applyFill="1" applyBorder="1" applyAlignment="1" applyProtection="1">
      <alignment horizontal="left"/>
      <protection locked="0"/>
    </xf>
    <xf numFmtId="169" fontId="148" fillId="49" borderId="0" xfId="10" applyNumberFormat="1" applyFont="1" applyFill="1" applyBorder="1" applyAlignment="1" applyProtection="1">
      <alignment horizontal="centerContinuous"/>
    </xf>
    <xf numFmtId="169" fontId="148" fillId="49" borderId="0" xfId="10" applyNumberFormat="1" applyFont="1" applyFill="1" applyBorder="1" applyAlignment="1" applyProtection="1">
      <alignment horizontal="center"/>
    </xf>
    <xf numFmtId="193" fontId="148" fillId="50" borderId="0" xfId="10" applyNumberFormat="1" applyFont="1" applyFill="1" applyBorder="1" applyAlignment="1" applyProtection="1">
      <alignment horizontal="center"/>
    </xf>
    <xf numFmtId="189" fontId="19" fillId="39" borderId="37" xfId="10" applyNumberFormat="1" applyFont="1" applyFill="1" applyBorder="1" applyAlignment="1" applyProtection="1">
      <alignment horizontal="center"/>
    </xf>
    <xf numFmtId="3" fontId="9" fillId="47" borderId="24" xfId="10" applyNumberFormat="1" applyFont="1" applyFill="1" applyBorder="1" applyAlignment="1" applyProtection="1"/>
    <xf numFmtId="3" fontId="66" fillId="38" borderId="22" xfId="10" applyNumberFormat="1" applyFont="1" applyFill="1" applyBorder="1" applyAlignment="1" applyProtection="1">
      <alignment horizontal="center"/>
    </xf>
    <xf numFmtId="203" fontId="17" fillId="47" borderId="19" xfId="14" applyNumberFormat="1" applyFont="1" applyFill="1" applyBorder="1" applyAlignment="1" applyProtection="1">
      <alignment horizontal="center"/>
    </xf>
    <xf numFmtId="0" fontId="4" fillId="0" borderId="0" xfId="10" applyFont="1" applyFill="1" applyBorder="1" applyAlignment="1" applyProtection="1">
      <alignment horizontal="center"/>
    </xf>
    <xf numFmtId="188" fontId="30" fillId="4" borderId="0" xfId="0" applyNumberFormat="1" applyFont="1" applyFill="1" applyBorder="1" applyAlignment="1">
      <alignment horizontal="center"/>
    </xf>
    <xf numFmtId="169" fontId="9" fillId="47" borderId="24" xfId="10" applyNumberFormat="1" applyFont="1" applyFill="1" applyBorder="1" applyAlignment="1" applyProtection="1"/>
    <xf numFmtId="168" fontId="35" fillId="11" borderId="0" xfId="10" applyNumberFormat="1" applyFont="1" applyFill="1" applyBorder="1" applyAlignment="1" applyProtection="1">
      <alignment horizontal="center"/>
    </xf>
    <xf numFmtId="170" fontId="19" fillId="13" borderId="21" xfId="10" applyNumberFormat="1" applyFont="1" applyFill="1" applyBorder="1" applyAlignment="1" applyProtection="1">
      <alignment horizontal="center"/>
    </xf>
    <xf numFmtId="3" fontId="63" fillId="12" borderId="20" xfId="10" applyNumberFormat="1" applyFont="1" applyFill="1" applyBorder="1" applyAlignment="1" applyProtection="1">
      <alignment horizontal="center"/>
    </xf>
    <xf numFmtId="168" fontId="19" fillId="45" borderId="20" xfId="11" applyNumberFormat="1" applyFont="1" applyFill="1" applyBorder="1" applyAlignment="1" applyProtection="1">
      <alignment horizontal="center"/>
      <protection locked="0"/>
    </xf>
    <xf numFmtId="168" fontId="35" fillId="45" borderId="20" xfId="11" applyNumberFormat="1" applyFont="1" applyFill="1" applyBorder="1" applyAlignment="1" applyProtection="1">
      <alignment horizontal="center"/>
      <protection locked="0"/>
    </xf>
    <xf numFmtId="178" fontId="123" fillId="52" borderId="20" xfId="13" applyNumberFormat="1" applyFont="1" applyFill="1" applyBorder="1" applyAlignment="1" applyProtection="1">
      <alignment horizontal="left" indent="1"/>
    </xf>
    <xf numFmtId="1" fontId="15" fillId="52" borderId="19" xfId="13" applyNumberFormat="1" applyFont="1" applyFill="1" applyBorder="1" applyAlignment="1" applyProtection="1">
      <alignment horizontal="center"/>
    </xf>
    <xf numFmtId="168" fontId="35" fillId="52" borderId="0" xfId="10" applyNumberFormat="1" applyFont="1" applyFill="1" applyBorder="1" applyAlignment="1" applyProtection="1">
      <alignment horizontal="center"/>
    </xf>
    <xf numFmtId="170" fontId="19" fillId="52" borderId="21" xfId="10" applyNumberFormat="1" applyFont="1" applyFill="1" applyBorder="1" applyAlignment="1" applyProtection="1">
      <alignment horizontal="center"/>
    </xf>
    <xf numFmtId="170" fontId="19" fillId="52" borderId="0" xfId="10" applyNumberFormat="1" applyFont="1" applyFill="1" applyBorder="1" applyAlignment="1" applyProtection="1">
      <alignment horizontal="center"/>
    </xf>
    <xf numFmtId="168" fontId="35" fillId="52" borderId="20" xfId="10" applyNumberFormat="1" applyFont="1" applyFill="1" applyBorder="1" applyAlignment="1" applyProtection="1">
      <alignment horizontal="center"/>
    </xf>
    <xf numFmtId="187" fontId="15" fillId="52" borderId="20" xfId="13" applyNumberFormat="1" applyFont="1" applyFill="1" applyBorder="1" applyAlignment="1" applyProtection="1">
      <alignment horizontal="center"/>
    </xf>
    <xf numFmtId="187" fontId="15" fillId="52" borderId="19" xfId="13" applyNumberFormat="1" applyFont="1" applyFill="1" applyBorder="1" applyAlignment="1" applyProtection="1">
      <alignment horizontal="center"/>
    </xf>
    <xf numFmtId="170" fontId="19" fillId="52" borderId="19" xfId="13" applyNumberFormat="1" applyFont="1" applyFill="1" applyBorder="1" applyAlignment="1" applyProtection="1">
      <alignment horizontal="center"/>
    </xf>
    <xf numFmtId="0" fontId="30" fillId="3" borderId="16" xfId="6" applyNumberFormat="1" applyFont="1" applyFill="1" applyBorder="1" applyAlignment="1">
      <alignment horizontal="center"/>
    </xf>
    <xf numFmtId="0" fontId="19" fillId="3" borderId="16" xfId="6" applyNumberFormat="1" applyFont="1" applyFill="1" applyBorder="1" applyAlignment="1">
      <alignment horizontal="center"/>
    </xf>
    <xf numFmtId="0" fontId="96" fillId="0" borderId="0" xfId="0" applyFont="1"/>
    <xf numFmtId="0" fontId="26" fillId="8" borderId="12" xfId="10" applyFont="1" applyFill="1" applyBorder="1" applyAlignment="1" applyProtection="1">
      <alignment horizontal="centerContinuous"/>
    </xf>
    <xf numFmtId="0" fontId="26" fillId="8" borderId="37" xfId="10" applyFont="1" applyFill="1" applyBorder="1" applyAlignment="1" applyProtection="1">
      <alignment horizontal="centerContinuous"/>
    </xf>
    <xf numFmtId="167" fontId="19" fillId="0" borderId="0" xfId="13" applyNumberFormat="1" applyFont="1" applyFill="1" applyBorder="1" applyAlignment="1" applyProtection="1">
      <alignment horizontal="center"/>
    </xf>
    <xf numFmtId="167" fontId="19" fillId="0" borderId="19" xfId="13" applyNumberFormat="1" applyFont="1" applyBorder="1" applyAlignment="1" applyProtection="1">
      <alignment horizontal="center"/>
    </xf>
    <xf numFmtId="167" fontId="19" fillId="0" borderId="19" xfId="13" applyNumberFormat="1" applyFont="1" applyFill="1" applyBorder="1" applyAlignment="1" applyProtection="1">
      <alignment horizontal="center"/>
    </xf>
    <xf numFmtId="167" fontId="19" fillId="0" borderId="0" xfId="13" applyNumberFormat="1" applyFont="1" applyBorder="1" applyAlignment="1" applyProtection="1">
      <alignment horizontal="center"/>
    </xf>
    <xf numFmtId="167" fontId="19" fillId="0" borderId="12" xfId="13" applyNumberFormat="1" applyFont="1" applyBorder="1" applyAlignment="1" applyProtection="1">
      <alignment horizontal="center"/>
    </xf>
    <xf numFmtId="0" fontId="18" fillId="41" borderId="40" xfId="6" applyFont="1" applyFill="1" applyBorder="1" applyAlignment="1">
      <alignment horizontal="left"/>
    </xf>
    <xf numFmtId="167" fontId="18" fillId="41" borderId="40" xfId="13" applyNumberFormat="1" applyFont="1" applyFill="1" applyBorder="1" applyAlignment="1" applyProtection="1">
      <alignment horizontal="center"/>
    </xf>
    <xf numFmtId="2" fontId="6" fillId="42" borderId="0" xfId="13" applyNumberFormat="1" applyFont="1" applyFill="1" applyProtection="1"/>
    <xf numFmtId="0" fontId="19" fillId="39" borderId="0" xfId="0" applyFont="1" applyFill="1" applyBorder="1" applyProtection="1"/>
    <xf numFmtId="0" fontId="19" fillId="39" borderId="0" xfId="0" applyFont="1" applyFill="1" applyProtection="1"/>
    <xf numFmtId="2" fontId="19" fillId="39" borderId="0" xfId="0" applyNumberFormat="1" applyFont="1" applyFill="1" applyAlignment="1">
      <alignment horizontal="center"/>
    </xf>
    <xf numFmtId="0" fontId="19" fillId="55" borderId="0" xfId="0" applyFont="1" applyFill="1" applyProtection="1"/>
    <xf numFmtId="0" fontId="19" fillId="55" borderId="21" xfId="0" applyFont="1" applyFill="1" applyBorder="1" applyProtection="1"/>
    <xf numFmtId="0" fontId="19" fillId="55" borderId="0" xfId="6" applyFont="1" applyFill="1" applyBorder="1" applyAlignment="1">
      <alignment horizontal="right"/>
    </xf>
    <xf numFmtId="3" fontId="19" fillId="55" borderId="0" xfId="6" applyNumberFormat="1" applyFont="1" applyFill="1" applyBorder="1" applyAlignment="1">
      <alignment horizontal="center"/>
    </xf>
    <xf numFmtId="37" fontId="19" fillId="55" borderId="0" xfId="1" applyNumberFormat="1" applyFont="1" applyFill="1" applyBorder="1" applyAlignment="1">
      <alignment horizontal="center"/>
    </xf>
    <xf numFmtId="0" fontId="19" fillId="55" borderId="0" xfId="0" applyFont="1" applyFill="1" applyBorder="1" applyProtection="1"/>
    <xf numFmtId="0" fontId="4" fillId="0" borderId="0" xfId="0" applyFont="1" applyFill="1"/>
    <xf numFmtId="0" fontId="97" fillId="8" borderId="16" xfId="6" applyFont="1" applyFill="1" applyBorder="1" applyAlignment="1">
      <alignment horizontal="centerContinuous"/>
    </xf>
    <xf numFmtId="169" fontId="19" fillId="0" borderId="16" xfId="6" applyNumberFormat="1" applyFont="1" applyBorder="1" applyAlignment="1">
      <alignment horizontal="center"/>
    </xf>
    <xf numFmtId="0" fontId="97" fillId="8" borderId="24" xfId="6" applyFont="1" applyFill="1" applyBorder="1" applyAlignment="1">
      <alignment horizontal="centerContinuous"/>
    </xf>
    <xf numFmtId="168" fontId="19" fillId="4" borderId="38" xfId="0" applyNumberFormat="1" applyFont="1" applyFill="1" applyBorder="1" applyAlignment="1">
      <alignment horizontal="center"/>
    </xf>
    <xf numFmtId="0" fontId="117" fillId="11" borderId="22" xfId="6" applyFont="1" applyFill="1" applyBorder="1" applyAlignment="1"/>
    <xf numFmtId="0" fontId="117" fillId="11" borderId="24" xfId="6" applyFont="1" applyFill="1" applyBorder="1" applyAlignment="1"/>
    <xf numFmtId="0" fontId="117" fillId="11" borderId="23" xfId="6" applyFont="1" applyFill="1" applyBorder="1" applyAlignment="1"/>
    <xf numFmtId="170" fontId="6" fillId="42" borderId="0" xfId="13" applyNumberFormat="1" applyFont="1" applyFill="1" applyProtection="1"/>
    <xf numFmtId="0" fontId="19" fillId="39" borderId="16" xfId="0" applyFont="1" applyFill="1" applyBorder="1" applyProtection="1"/>
    <xf numFmtId="0" fontId="66" fillId="0" borderId="16" xfId="0" applyFont="1" applyBorder="1"/>
    <xf numFmtId="0" fontId="19" fillId="55" borderId="16" xfId="0" applyFont="1" applyFill="1" applyBorder="1" applyProtection="1"/>
    <xf numFmtId="0" fontId="19" fillId="46" borderId="0" xfId="6" applyFont="1" applyFill="1" applyBorder="1" applyAlignment="1">
      <alignment horizontal="centerContinuous"/>
    </xf>
    <xf numFmtId="0" fontId="114" fillId="2" borderId="40" xfId="6" applyFont="1" applyFill="1" applyBorder="1" applyAlignment="1">
      <alignment horizontal="centerContinuous"/>
    </xf>
    <xf numFmtId="173" fontId="129" fillId="0" borderId="23" xfId="6" applyNumberFormat="1" applyFont="1" applyFill="1" applyBorder="1" applyAlignment="1" applyProtection="1">
      <alignment horizontal="right"/>
      <protection locked="0"/>
    </xf>
    <xf numFmtId="0" fontId="19" fillId="3" borderId="23" xfId="14" applyNumberFormat="1" applyFont="1" applyFill="1" applyBorder="1" applyAlignment="1">
      <alignment horizontal="center"/>
    </xf>
    <xf numFmtId="0" fontId="144" fillId="3" borderId="12" xfId="6" applyNumberFormat="1" applyFont="1" applyFill="1" applyBorder="1" applyAlignment="1">
      <alignment horizontal="center"/>
    </xf>
    <xf numFmtId="0" fontId="18" fillId="3" borderId="19" xfId="6" applyFont="1" applyFill="1" applyBorder="1" applyAlignment="1">
      <alignment horizontal="centerContinuous"/>
    </xf>
    <xf numFmtId="0" fontId="19" fillId="10" borderId="19" xfId="6" quotePrefix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235" fontId="31" fillId="0" borderId="21" xfId="10" applyNumberFormat="1" applyFont="1" applyFill="1" applyBorder="1" applyAlignment="1" applyProtection="1">
      <alignment horizontal="center"/>
      <protection locked="0"/>
    </xf>
    <xf numFmtId="0" fontId="66" fillId="4" borderId="16" xfId="10" applyFont="1" applyFill="1" applyBorder="1" applyAlignment="1" applyProtection="1">
      <alignment horizontal="center"/>
    </xf>
    <xf numFmtId="209" fontId="153" fillId="4" borderId="38" xfId="10" applyNumberFormat="1" applyFont="1" applyFill="1" applyBorder="1" applyAlignment="1" applyProtection="1">
      <alignment horizontal="center"/>
    </xf>
    <xf numFmtId="4" fontId="66" fillId="0" borderId="39" xfId="10" applyNumberFormat="1" applyFont="1" applyFill="1" applyBorder="1" applyAlignment="1" applyProtection="1">
      <alignment horizontal="center"/>
    </xf>
    <xf numFmtId="4" fontId="32" fillId="3" borderId="0" xfId="10" applyNumberFormat="1" applyFont="1" applyFill="1" applyBorder="1" applyAlignment="1" applyProtection="1">
      <alignment horizontal="centerContinuous"/>
    </xf>
    <xf numFmtId="168" fontId="19" fillId="11" borderId="40" xfId="13" applyNumberFormat="1" applyFont="1" applyFill="1" applyBorder="1" applyAlignment="1" applyProtection="1">
      <alignment horizontal="center"/>
    </xf>
    <xf numFmtId="0" fontId="93" fillId="0" borderId="0" xfId="13" applyFont="1" applyProtection="1"/>
    <xf numFmtId="0" fontId="30" fillId="0" borderId="0" xfId="0" applyFont="1" applyFill="1" applyBorder="1"/>
    <xf numFmtId="168" fontId="19" fillId="0" borderId="0" xfId="6" applyNumberFormat="1" applyFont="1" applyFill="1" applyBorder="1"/>
    <xf numFmtId="0" fontId="18" fillId="0" borderId="0" xfId="6" applyFont="1" applyFill="1" applyBorder="1"/>
    <xf numFmtId="0" fontId="151" fillId="0" borderId="0" xfId="8" applyFont="1" applyFill="1" applyBorder="1" applyAlignment="1">
      <alignment horizontal="right"/>
    </xf>
    <xf numFmtId="4" fontId="155" fillId="56" borderId="35" xfId="10" applyNumberFormat="1" applyFont="1" applyFill="1" applyBorder="1" applyAlignment="1" applyProtection="1">
      <alignment horizontal="centerContinuous" vertical="center"/>
    </xf>
    <xf numFmtId="4" fontId="155" fillId="56" borderId="40" xfId="10" applyNumberFormat="1" applyFont="1" applyFill="1" applyBorder="1" applyAlignment="1" applyProtection="1">
      <alignment horizontal="centerContinuous" vertical="center"/>
    </xf>
    <xf numFmtId="4" fontId="155" fillId="56" borderId="36" xfId="10" applyNumberFormat="1" applyFont="1" applyFill="1" applyBorder="1" applyAlignment="1" applyProtection="1">
      <alignment horizontal="centerContinuous" vertical="center"/>
    </xf>
    <xf numFmtId="0" fontId="154" fillId="56" borderId="40" xfId="13" applyFont="1" applyFill="1" applyBorder="1" applyAlignment="1" applyProtection="1">
      <alignment horizontal="centerContinuous" vertical="center"/>
    </xf>
    <xf numFmtId="4" fontId="148" fillId="56" borderId="40" xfId="10" applyNumberFormat="1" applyFont="1" applyFill="1" applyBorder="1" applyAlignment="1" applyProtection="1">
      <alignment horizontal="centerContinuous" vertical="center"/>
    </xf>
    <xf numFmtId="169" fontId="150" fillId="56" borderId="35" xfId="10" applyNumberFormat="1" applyFont="1" applyFill="1" applyBorder="1" applyAlignment="1" applyProtection="1">
      <alignment horizontal="center"/>
    </xf>
    <xf numFmtId="169" fontId="150" fillId="56" borderId="36" xfId="10" applyNumberFormat="1" applyFont="1" applyFill="1" applyBorder="1" applyAlignment="1" applyProtection="1">
      <alignment horizontal="center"/>
    </xf>
    <xf numFmtId="0" fontId="12" fillId="3" borderId="0" xfId="10" applyNumberFormat="1" applyFont="1" applyFill="1" applyBorder="1" applyAlignment="1" applyProtection="1"/>
    <xf numFmtId="0" fontId="156" fillId="56" borderId="35" xfId="10" applyFont="1" applyFill="1" applyBorder="1" applyAlignment="1" applyProtection="1">
      <alignment horizontal="centerContinuous" vertical="center"/>
    </xf>
    <xf numFmtId="0" fontId="157" fillId="56" borderId="40" xfId="13" applyFont="1" applyFill="1" applyBorder="1" applyAlignment="1" applyProtection="1">
      <alignment horizontal="centerContinuous" vertical="center"/>
    </xf>
    <xf numFmtId="0" fontId="150" fillId="56" borderId="36" xfId="13" applyFont="1" applyFill="1" applyBorder="1" applyAlignment="1" applyProtection="1">
      <alignment horizontal="centerContinuous" vertical="center" wrapText="1"/>
    </xf>
    <xf numFmtId="0" fontId="21" fillId="3" borderId="38" xfId="13" applyFont="1" applyFill="1" applyBorder="1" applyAlignment="1" applyProtection="1">
      <alignment horizontal="centerContinuous" vertical="center"/>
    </xf>
    <xf numFmtId="3" fontId="18" fillId="3" borderId="20" xfId="10" applyNumberFormat="1" applyFont="1" applyFill="1" applyBorder="1" applyAlignment="1" applyProtection="1">
      <alignment horizontal="center"/>
    </xf>
    <xf numFmtId="3" fontId="18" fillId="42" borderId="20" xfId="10" applyNumberFormat="1" applyFont="1" applyFill="1" applyBorder="1" applyAlignment="1" applyProtection="1">
      <alignment horizontal="center"/>
    </xf>
    <xf numFmtId="3" fontId="18" fillId="4" borderId="20" xfId="10" applyNumberFormat="1" applyFont="1" applyFill="1" applyBorder="1" applyAlignment="1" applyProtection="1">
      <alignment horizontal="center"/>
    </xf>
    <xf numFmtId="168" fontId="56" fillId="12" borderId="21" xfId="10" applyNumberFormat="1" applyFont="1" applyFill="1" applyBorder="1" applyAlignment="1" applyProtection="1">
      <alignment horizontal="center"/>
    </xf>
    <xf numFmtId="168" fontId="35" fillId="39" borderId="21" xfId="11" applyNumberFormat="1" applyFont="1" applyFill="1" applyBorder="1" applyAlignment="1" applyProtection="1">
      <alignment horizontal="center"/>
      <protection locked="0"/>
    </xf>
    <xf numFmtId="0" fontId="6" fillId="0" borderId="21" xfId="13" applyFont="1" applyBorder="1" applyProtection="1"/>
    <xf numFmtId="4" fontId="18" fillId="0" borderId="4" xfId="6" applyNumberFormat="1" applyFont="1" applyBorder="1" applyAlignment="1">
      <alignment horizontal="left"/>
    </xf>
    <xf numFmtId="0" fontId="19" fillId="3" borderId="0" xfId="6" applyFont="1" applyFill="1" applyBorder="1" applyAlignment="1">
      <alignment horizontal="left"/>
    </xf>
    <xf numFmtId="0" fontId="99" fillId="32" borderId="22" xfId="6" applyFont="1" applyFill="1" applyBorder="1" applyAlignment="1"/>
    <xf numFmtId="0" fontId="99" fillId="32" borderId="23" xfId="6" applyFont="1" applyFill="1" applyBorder="1" applyAlignment="1"/>
    <xf numFmtId="236" fontId="142" fillId="39" borderId="16" xfId="0" applyNumberFormat="1" applyFont="1" applyFill="1" applyBorder="1" applyAlignment="1" applyProtection="1">
      <alignment horizontal="center"/>
    </xf>
    <xf numFmtId="0" fontId="159" fillId="56" borderId="0" xfId="0" applyFont="1" applyFill="1" applyAlignment="1" applyProtection="1">
      <alignment horizontal="center"/>
    </xf>
    <xf numFmtId="4" fontId="158" fillId="0" borderId="38" xfId="10" applyNumberFormat="1" applyFont="1" applyFill="1" applyBorder="1" applyAlignment="1" applyProtection="1">
      <protection locked="0"/>
    </xf>
    <xf numFmtId="1" fontId="18" fillId="3" borderId="38" xfId="10" applyNumberFormat="1" applyFont="1" applyFill="1" applyBorder="1" applyAlignment="1" applyProtection="1">
      <alignment horizontal="center"/>
    </xf>
    <xf numFmtId="0" fontId="19" fillId="54" borderId="22" xfId="0" applyFont="1" applyFill="1" applyBorder="1" applyProtection="1"/>
    <xf numFmtId="0" fontId="6" fillId="54" borderId="24" xfId="13" applyFont="1" applyFill="1" applyBorder="1" applyAlignment="1" applyProtection="1">
      <alignment horizontal="center"/>
    </xf>
    <xf numFmtId="0" fontId="19" fillId="54" borderId="24" xfId="0" applyFont="1" applyFill="1" applyBorder="1" applyProtection="1"/>
    <xf numFmtId="0" fontId="19" fillId="54" borderId="23" xfId="0" applyFont="1" applyFill="1" applyBorder="1" applyProtection="1"/>
    <xf numFmtId="0" fontId="19" fillId="38" borderId="24" xfId="0" applyFont="1" applyFill="1" applyBorder="1" applyProtection="1"/>
    <xf numFmtId="0" fontId="19" fillId="38" borderId="23" xfId="0" applyFont="1" applyFill="1" applyBorder="1" applyProtection="1"/>
    <xf numFmtId="49" fontId="160" fillId="38" borderId="22" xfId="0" applyNumberFormat="1" applyFont="1" applyFill="1" applyBorder="1" applyProtection="1"/>
    <xf numFmtId="0" fontId="160" fillId="38" borderId="24" xfId="13" applyFont="1" applyFill="1" applyBorder="1" applyAlignment="1" applyProtection="1">
      <alignment horizontal="center"/>
    </xf>
    <xf numFmtId="0" fontId="6" fillId="0" borderId="0" xfId="13" applyFont="1" applyBorder="1" applyAlignment="1" applyProtection="1">
      <alignment horizontal="left"/>
    </xf>
    <xf numFmtId="1" fontId="19" fillId="0" borderId="0" xfId="13" applyNumberFormat="1" applyFont="1" applyFill="1" applyBorder="1" applyAlignment="1" applyProtection="1">
      <alignment horizontal="center"/>
    </xf>
    <xf numFmtId="1" fontId="19" fillId="0" borderId="0" xfId="13" applyNumberFormat="1" applyFont="1" applyBorder="1" applyAlignment="1" applyProtection="1">
      <alignment horizontal="center"/>
    </xf>
    <xf numFmtId="0" fontId="6" fillId="0" borderId="0" xfId="13" applyFont="1" applyBorder="1" applyAlignment="1" applyProtection="1">
      <alignment horizontal="center"/>
    </xf>
    <xf numFmtId="0" fontId="6" fillId="0" borderId="19" xfId="13" applyFont="1" applyBorder="1" applyProtection="1"/>
    <xf numFmtId="0" fontId="18" fillId="47" borderId="0" xfId="10" applyFont="1" applyFill="1" applyBorder="1" applyAlignment="1" applyProtection="1">
      <alignment horizontal="centerContinuous"/>
    </xf>
    <xf numFmtId="170" fontId="16" fillId="19" borderId="19" xfId="13" applyNumberFormat="1" applyFont="1" applyFill="1" applyBorder="1" applyAlignment="1" applyProtection="1">
      <alignment horizontal="center"/>
    </xf>
    <xf numFmtId="183" fontId="6" fillId="0" borderId="0" xfId="13" applyNumberFormat="1" applyFont="1" applyProtection="1"/>
    <xf numFmtId="0" fontId="19" fillId="3" borderId="40" xfId="6" applyFont="1" applyFill="1" applyBorder="1" applyAlignment="1">
      <alignment horizontal="center"/>
    </xf>
    <xf numFmtId="0" fontId="19" fillId="3" borderId="40" xfId="6" applyFont="1" applyFill="1" applyBorder="1" applyAlignment="1">
      <alignment horizontal="centerContinuous"/>
    </xf>
    <xf numFmtId="9" fontId="19" fillId="3" borderId="40" xfId="14" applyFont="1" applyFill="1" applyBorder="1" applyAlignment="1">
      <alignment horizontal="centerContinuous"/>
    </xf>
    <xf numFmtId="0" fontId="19" fillId="39" borderId="19" xfId="0" applyFont="1" applyFill="1" applyBorder="1" applyProtection="1"/>
    <xf numFmtId="0" fontId="66" fillId="39" borderId="19" xfId="0" applyFont="1" applyFill="1" applyBorder="1" applyProtection="1"/>
    <xf numFmtId="0" fontId="19" fillId="39" borderId="37" xfId="0" applyFont="1" applyFill="1" applyBorder="1" applyProtection="1"/>
    <xf numFmtId="164" fontId="19" fillId="0" borderId="0" xfId="4" applyNumberFormat="1" applyFont="1" applyProtection="1"/>
    <xf numFmtId="166" fontId="19" fillId="0" borderId="0" xfId="4" applyNumberFormat="1" applyFont="1" applyProtection="1"/>
    <xf numFmtId="0" fontId="19" fillId="39" borderId="20" xfId="0" applyFont="1" applyFill="1" applyBorder="1" applyProtection="1"/>
    <xf numFmtId="0" fontId="19" fillId="39" borderId="39" xfId="0" applyFont="1" applyFill="1" applyBorder="1" applyProtection="1"/>
    <xf numFmtId="0" fontId="161" fillId="0" borderId="0" xfId="0" applyFont="1" applyProtection="1"/>
    <xf numFmtId="4" fontId="32" fillId="0" borderId="22" xfId="10" applyNumberFormat="1" applyFont="1" applyFill="1" applyBorder="1" applyAlignment="1" applyProtection="1">
      <protection locked="0"/>
    </xf>
    <xf numFmtId="0" fontId="162" fillId="0" borderId="0" xfId="0" applyFont="1" applyProtection="1"/>
    <xf numFmtId="10" fontId="19" fillId="0" borderId="0" xfId="6" applyNumberFormat="1" applyFont="1"/>
    <xf numFmtId="0" fontId="6" fillId="0" borderId="0" xfId="13" applyFont="1" applyFill="1" applyProtection="1"/>
    <xf numFmtId="168" fontId="104" fillId="0" borderId="0" xfId="13" applyNumberFormat="1" applyFont="1" applyFill="1" applyBorder="1" applyAlignment="1" applyProtection="1">
      <alignment horizontal="center"/>
    </xf>
    <xf numFmtId="1" fontId="104" fillId="0" borderId="0" xfId="13" applyNumberFormat="1" applyFont="1" applyFill="1" applyBorder="1" applyAlignment="1" applyProtection="1">
      <alignment horizontal="center"/>
    </xf>
    <xf numFmtId="1" fontId="104" fillId="0" borderId="19" xfId="13" applyNumberFormat="1" applyFont="1" applyFill="1" applyBorder="1" applyAlignment="1" applyProtection="1">
      <alignment horizontal="center"/>
    </xf>
    <xf numFmtId="0" fontId="6" fillId="39" borderId="24" xfId="13" applyFont="1" applyFill="1" applyBorder="1" applyAlignment="1" applyProtection="1">
      <alignment horizontal="center"/>
    </xf>
    <xf numFmtId="0" fontId="16" fillId="3" borderId="38" xfId="13" applyFont="1" applyFill="1" applyBorder="1" applyAlignment="1" applyProtection="1">
      <alignment horizontal="center" vertical="center"/>
    </xf>
    <xf numFmtId="0" fontId="16" fillId="3" borderId="38" xfId="13" applyFont="1" applyFill="1" applyBorder="1" applyAlignment="1" applyProtection="1">
      <alignment vertical="center" textRotation="90" wrapText="1"/>
    </xf>
    <xf numFmtId="0" fontId="16" fillId="3" borderId="36" xfId="13" applyFont="1" applyFill="1" applyBorder="1" applyAlignment="1" applyProtection="1">
      <alignment horizontal="centerContinuous" vertical="center"/>
    </xf>
    <xf numFmtId="0" fontId="16" fillId="3" borderId="40" xfId="13" applyFont="1" applyFill="1" applyBorder="1" applyAlignment="1" applyProtection="1">
      <alignment horizontal="centerContinuous" vertical="center"/>
    </xf>
    <xf numFmtId="183" fontId="19" fillId="0" borderId="0" xfId="13" applyNumberFormat="1" applyFont="1" applyAlignment="1" applyProtection="1">
      <alignment horizontal="center"/>
    </xf>
    <xf numFmtId="0" fontId="21" fillId="3" borderId="6" xfId="13" applyFont="1" applyFill="1" applyBorder="1" applyAlignment="1" applyProtection="1">
      <alignment horizontal="centerContinuous" vertical="center"/>
    </xf>
    <xf numFmtId="183" fontId="21" fillId="3" borderId="6" xfId="13" applyNumberFormat="1" applyFont="1" applyFill="1" applyBorder="1" applyAlignment="1" applyProtection="1">
      <alignment horizontal="centerContinuous" vertical="center"/>
    </xf>
    <xf numFmtId="183" fontId="21" fillId="3" borderId="0" xfId="13" applyNumberFormat="1" applyFont="1" applyFill="1" applyBorder="1" applyAlignment="1" applyProtection="1">
      <alignment horizontal="centerContinuous" vertical="center"/>
    </xf>
    <xf numFmtId="183" fontId="16" fillId="3" borderId="0" xfId="13" applyNumberFormat="1" applyFont="1" applyFill="1" applyBorder="1" applyAlignment="1" applyProtection="1">
      <alignment horizontal="centerContinuous" vertical="center"/>
    </xf>
    <xf numFmtId="3" fontId="16" fillId="3" borderId="0" xfId="13" applyNumberFormat="1" applyFont="1" applyFill="1" applyBorder="1" applyAlignment="1" applyProtection="1">
      <alignment horizontal="centerContinuous" vertical="center"/>
    </xf>
    <xf numFmtId="3" fontId="18" fillId="3" borderId="2" xfId="10" applyNumberFormat="1" applyFont="1" applyFill="1" applyBorder="1" applyAlignment="1" applyProtection="1">
      <alignment horizontal="centerContinuous"/>
    </xf>
    <xf numFmtId="183" fontId="18" fillId="3" borderId="2" xfId="10" applyNumberFormat="1" applyFont="1" applyFill="1" applyBorder="1" applyAlignment="1" applyProtection="1">
      <alignment horizontal="centerContinuous"/>
    </xf>
    <xf numFmtId="3" fontId="28" fillId="42" borderId="7" xfId="10" applyNumberFormat="1" applyFont="1" applyFill="1" applyBorder="1" applyAlignment="1" applyProtection="1">
      <alignment horizontal="center"/>
    </xf>
    <xf numFmtId="3" fontId="28" fillId="42" borderId="6" xfId="10" applyNumberFormat="1" applyFont="1" applyFill="1" applyBorder="1" applyAlignment="1" applyProtection="1">
      <alignment horizontal="center"/>
    </xf>
    <xf numFmtId="183" fontId="28" fillId="42" borderId="6" xfId="10" applyNumberFormat="1" applyFont="1" applyFill="1" applyBorder="1" applyAlignment="1" applyProtection="1">
      <alignment horizontal="center"/>
    </xf>
    <xf numFmtId="3" fontId="25" fillId="42" borderId="6" xfId="10" applyNumberFormat="1" applyFont="1" applyFill="1" applyBorder="1" applyAlignment="1" applyProtection="1">
      <alignment horizontal="left"/>
    </xf>
    <xf numFmtId="3" fontId="28" fillId="42" borderId="10" xfId="10" applyNumberFormat="1" applyFont="1" applyFill="1" applyBorder="1" applyAlignment="1" applyProtection="1">
      <alignment horizontal="center"/>
    </xf>
    <xf numFmtId="3" fontId="28" fillId="42" borderId="5" xfId="10" applyNumberFormat="1" applyFont="1" applyFill="1" applyBorder="1" applyAlignment="1" applyProtection="1">
      <alignment horizontal="center"/>
    </xf>
    <xf numFmtId="183" fontId="28" fillId="42" borderId="0" xfId="10" applyNumberFormat="1" applyFont="1" applyFill="1" applyBorder="1" applyAlignment="1" applyProtection="1">
      <alignment horizontal="center"/>
    </xf>
    <xf numFmtId="3" fontId="25" fillId="42" borderId="0" xfId="10" applyNumberFormat="1" applyFont="1" applyFill="1" applyBorder="1" applyAlignment="1" applyProtection="1">
      <alignment horizontal="left"/>
    </xf>
    <xf numFmtId="3" fontId="28" fillId="42" borderId="4" xfId="10" applyNumberFormat="1" applyFont="1" applyFill="1" applyBorder="1" applyAlignment="1" applyProtection="1">
      <alignment horizontal="center"/>
    </xf>
    <xf numFmtId="3" fontId="28" fillId="4" borderId="5" xfId="10" applyNumberFormat="1" applyFont="1" applyFill="1" applyBorder="1" applyAlignment="1" applyProtection="1">
      <alignment horizontal="center"/>
    </xf>
    <xf numFmtId="3" fontId="28" fillId="4" borderId="0" xfId="10" applyNumberFormat="1" applyFont="1" applyFill="1" applyBorder="1" applyAlignment="1" applyProtection="1">
      <alignment horizontal="center"/>
    </xf>
    <xf numFmtId="183" fontId="28" fillId="4" borderId="0" xfId="10" applyNumberFormat="1" applyFont="1" applyFill="1" applyBorder="1" applyAlignment="1" applyProtection="1">
      <alignment horizontal="center"/>
    </xf>
    <xf numFmtId="3" fontId="25" fillId="4" borderId="0" xfId="10" applyNumberFormat="1" applyFont="1" applyFill="1" applyBorder="1" applyAlignment="1" applyProtection="1">
      <alignment horizontal="left"/>
    </xf>
    <xf numFmtId="3" fontId="28" fillId="4" borderId="4" xfId="10" applyNumberFormat="1" applyFont="1" applyFill="1" applyBorder="1" applyAlignment="1" applyProtection="1">
      <alignment horizontal="center"/>
    </xf>
    <xf numFmtId="9" fontId="19" fillId="13" borderId="34" xfId="14" applyFont="1" applyFill="1" applyBorder="1" applyAlignment="1" applyProtection="1">
      <alignment horizontal="center"/>
    </xf>
    <xf numFmtId="9" fontId="19" fillId="5" borderId="16" xfId="14" applyFont="1" applyFill="1" applyBorder="1" applyAlignment="1" applyProtection="1">
      <alignment horizontal="center"/>
    </xf>
    <xf numFmtId="9" fontId="19" fillId="14" borderId="16" xfId="14" applyFont="1" applyFill="1" applyBorder="1" applyAlignment="1" applyProtection="1">
      <alignment horizontal="center"/>
    </xf>
    <xf numFmtId="9" fontId="19" fillId="2" borderId="16" xfId="14" applyFont="1" applyFill="1" applyBorder="1" applyAlignment="1" applyProtection="1">
      <alignment horizontal="center"/>
    </xf>
    <xf numFmtId="9" fontId="19" fillId="2" borderId="17" xfId="14" applyFont="1" applyFill="1" applyBorder="1" applyAlignment="1" applyProtection="1">
      <alignment horizontal="center"/>
    </xf>
    <xf numFmtId="3" fontId="63" fillId="12" borderId="82" xfId="10" applyNumberFormat="1" applyFont="1" applyFill="1" applyBorder="1" applyAlignment="1" applyProtection="1">
      <alignment horizontal="center"/>
    </xf>
    <xf numFmtId="3" fontId="63" fillId="12" borderId="40" xfId="10" applyNumberFormat="1" applyFont="1" applyFill="1" applyBorder="1" applyAlignment="1" applyProtection="1">
      <alignment horizontal="center"/>
    </xf>
    <xf numFmtId="3" fontId="64" fillId="12" borderId="40" xfId="10" applyNumberFormat="1" applyFont="1" applyFill="1" applyBorder="1" applyAlignment="1" applyProtection="1">
      <alignment horizontal="left"/>
    </xf>
    <xf numFmtId="3" fontId="63" fillId="12" borderId="83" xfId="10" applyNumberFormat="1" applyFont="1" applyFill="1" applyBorder="1" applyAlignment="1" applyProtection="1">
      <alignment horizontal="center"/>
    </xf>
    <xf numFmtId="0" fontId="6" fillId="13" borderId="74" xfId="13" applyFont="1" applyFill="1" applyBorder="1" applyAlignment="1" applyProtection="1">
      <alignment horizontal="center"/>
    </xf>
    <xf numFmtId="0" fontId="6" fillId="13" borderId="46" xfId="13" applyFont="1" applyFill="1" applyBorder="1" applyAlignment="1" applyProtection="1">
      <alignment horizontal="center"/>
    </xf>
    <xf numFmtId="183" fontId="6" fillId="3" borderId="24" xfId="13" applyNumberFormat="1" applyFont="1" applyFill="1" applyBorder="1" applyProtection="1"/>
    <xf numFmtId="2" fontId="19" fillId="0" borderId="0" xfId="6" applyNumberFormat="1" applyFont="1" applyFill="1" applyBorder="1"/>
    <xf numFmtId="0" fontId="42" fillId="18" borderId="22" xfId="10" applyFont="1" applyFill="1" applyBorder="1" applyAlignment="1" applyProtection="1">
      <alignment horizontal="centerContinuous"/>
    </xf>
    <xf numFmtId="0" fontId="13" fillId="18" borderId="16" xfId="10" applyFont="1" applyFill="1" applyBorder="1" applyAlignment="1" applyProtection="1">
      <alignment horizontal="centerContinuous"/>
    </xf>
    <xf numFmtId="0" fontId="19" fillId="0" borderId="41" xfId="6" applyFont="1" applyBorder="1" applyAlignment="1">
      <alignment horizontal="center"/>
    </xf>
    <xf numFmtId="0" fontId="6" fillId="57" borderId="0" xfId="13" applyFont="1" applyFill="1" applyAlignment="1" applyProtection="1">
      <alignment horizontal="center"/>
    </xf>
    <xf numFmtId="0" fontId="11" fillId="0" borderId="38" xfId="10" applyFont="1" applyFill="1" applyBorder="1" applyProtection="1"/>
    <xf numFmtId="0" fontId="11" fillId="0" borderId="20" xfId="10" applyFont="1" applyFill="1" applyBorder="1" applyProtection="1"/>
    <xf numFmtId="0" fontId="15" fillId="3" borderId="38" xfId="13" applyFont="1" applyFill="1" applyBorder="1" applyAlignment="1" applyProtection="1">
      <alignment horizontal="center" textRotation="90"/>
    </xf>
    <xf numFmtId="0" fontId="6" fillId="0" borderId="20" xfId="13" applyFont="1" applyBorder="1" applyAlignment="1" applyProtection="1">
      <alignment horizontal="center"/>
    </xf>
    <xf numFmtId="0" fontId="6" fillId="4" borderId="39" xfId="13" applyFont="1" applyFill="1" applyBorder="1" applyProtection="1"/>
    <xf numFmtId="0" fontId="15" fillId="3" borderId="20" xfId="13" applyFont="1" applyFill="1" applyBorder="1" applyAlignment="1" applyProtection="1">
      <alignment horizontal="center"/>
    </xf>
    <xf numFmtId="0" fontId="15" fillId="3" borderId="39" xfId="13" applyFont="1" applyFill="1" applyBorder="1" applyAlignment="1" applyProtection="1">
      <alignment horizontal="center"/>
    </xf>
    <xf numFmtId="0" fontId="6" fillId="13" borderId="16" xfId="13" applyFont="1" applyFill="1" applyBorder="1" applyAlignment="1" applyProtection="1">
      <alignment horizontal="center"/>
      <protection locked="0"/>
    </xf>
    <xf numFmtId="0" fontId="19" fillId="39" borderId="38" xfId="0" applyFont="1" applyFill="1" applyBorder="1" applyAlignment="1" applyProtection="1">
      <alignment horizontal="center"/>
    </xf>
    <xf numFmtId="0" fontId="19" fillId="39" borderId="39" xfId="0" applyFont="1" applyFill="1" applyBorder="1" applyAlignment="1" applyProtection="1">
      <alignment horizontal="center"/>
    </xf>
    <xf numFmtId="0" fontId="165" fillId="0" borderId="0" xfId="0" applyFont="1" applyProtection="1"/>
    <xf numFmtId="3" fontId="19" fillId="47" borderId="21" xfId="6" applyNumberFormat="1" applyFont="1" applyFill="1" applyBorder="1" applyAlignment="1">
      <alignment horizontal="center"/>
    </xf>
    <xf numFmtId="0" fontId="18" fillId="47" borderId="35" xfId="6" applyFont="1" applyFill="1" applyBorder="1" applyAlignment="1">
      <alignment horizontal="centerContinuous"/>
    </xf>
    <xf numFmtId="0" fontId="18" fillId="47" borderId="36" xfId="6" applyFont="1" applyFill="1" applyBorder="1" applyAlignment="1">
      <alignment horizontal="centerContinuous"/>
    </xf>
    <xf numFmtId="175" fontId="19" fillId="4" borderId="41" xfId="10" applyNumberFormat="1" applyFont="1" applyFill="1" applyBorder="1" applyAlignment="1" applyProtection="1">
      <alignment horizontal="center"/>
    </xf>
    <xf numFmtId="169" fontId="19" fillId="4" borderId="37" xfId="10" applyNumberFormat="1" applyFont="1" applyFill="1" applyBorder="1" applyAlignment="1" applyProtection="1">
      <alignment horizontal="center"/>
    </xf>
    <xf numFmtId="3" fontId="19" fillId="47" borderId="41" xfId="6" applyNumberFormat="1" applyFont="1" applyFill="1" applyBorder="1" applyAlignment="1">
      <alignment horizontal="center"/>
    </xf>
    <xf numFmtId="0" fontId="18" fillId="47" borderId="21" xfId="6" applyFont="1" applyFill="1" applyBorder="1" applyAlignment="1">
      <alignment horizontal="center"/>
    </xf>
    <xf numFmtId="0" fontId="19" fillId="0" borderId="0" xfId="0" applyFont="1" applyAlignment="1" applyProtection="1">
      <alignment horizontal="center"/>
    </xf>
    <xf numFmtId="2" fontId="109" fillId="4" borderId="16" xfId="6" applyNumberFormat="1" applyFont="1" applyFill="1" applyBorder="1" applyAlignment="1">
      <alignment horizontal="center"/>
    </xf>
    <xf numFmtId="0" fontId="19" fillId="39" borderId="41" xfId="6" applyFont="1" applyFill="1" applyBorder="1"/>
    <xf numFmtId="0" fontId="19" fillId="39" borderId="12" xfId="6" applyFont="1" applyFill="1" applyBorder="1"/>
    <xf numFmtId="0" fontId="19" fillId="39" borderId="37" xfId="6" applyFont="1" applyFill="1" applyBorder="1"/>
    <xf numFmtId="0" fontId="18" fillId="4" borderId="36" xfId="6" applyFont="1" applyFill="1" applyBorder="1" applyAlignment="1">
      <alignment horizontal="center"/>
    </xf>
    <xf numFmtId="168" fontId="109" fillId="4" borderId="41" xfId="6" applyNumberFormat="1" applyFont="1" applyFill="1" applyBorder="1" applyAlignment="1">
      <alignment horizontal="center"/>
    </xf>
    <xf numFmtId="168" fontId="19" fillId="4" borderId="37" xfId="6" applyNumberFormat="1" applyFont="1" applyFill="1" applyBorder="1" applyAlignment="1">
      <alignment horizontal="center"/>
    </xf>
    <xf numFmtId="0" fontId="18" fillId="4" borderId="0" xfId="6" applyFont="1" applyFill="1" applyBorder="1" applyAlignment="1"/>
    <xf numFmtId="209" fontId="19" fillId="4" borderId="0" xfId="10" applyNumberFormat="1" applyFont="1" applyFill="1" applyBorder="1" applyAlignment="1" applyProtection="1">
      <alignment horizontal="center"/>
    </xf>
    <xf numFmtId="183" fontId="19" fillId="4" borderId="12" xfId="14" applyNumberFormat="1" applyFont="1" applyFill="1" applyBorder="1" applyAlignment="1">
      <alignment horizontal="right" indent="1"/>
    </xf>
    <xf numFmtId="0" fontId="18" fillId="4" borderId="21" xfId="6" applyFont="1" applyFill="1" applyBorder="1" applyAlignment="1">
      <alignment horizontal="right"/>
    </xf>
    <xf numFmtId="0" fontId="18" fillId="4" borderId="19" xfId="6" applyFont="1" applyFill="1" applyBorder="1" applyAlignment="1"/>
    <xf numFmtId="0" fontId="18" fillId="4" borderId="35" xfId="6" applyFont="1" applyFill="1" applyBorder="1" applyAlignment="1">
      <alignment horizontal="centerContinuous"/>
    </xf>
    <xf numFmtId="0" fontId="18" fillId="4" borderId="36" xfId="6" applyFont="1" applyFill="1" applyBorder="1" applyAlignment="1">
      <alignment horizontal="centerContinuous"/>
    </xf>
    <xf numFmtId="172" fontId="19" fillId="4" borderId="37" xfId="6" applyNumberFormat="1" applyFont="1" applyFill="1" applyBorder="1" applyAlignment="1">
      <alignment horizontal="center"/>
    </xf>
    <xf numFmtId="168" fontId="18" fillId="4" borderId="19" xfId="6" applyNumberFormat="1" applyFont="1" applyFill="1" applyBorder="1" applyAlignment="1">
      <alignment horizontal="center"/>
    </xf>
    <xf numFmtId="0" fontId="19" fillId="3" borderId="38" xfId="6" applyNumberFormat="1" applyFont="1" applyFill="1" applyBorder="1" applyAlignment="1">
      <alignment horizontal="center"/>
    </xf>
    <xf numFmtId="168" fontId="18" fillId="4" borderId="21" xfId="6" applyNumberFormat="1" applyFont="1" applyFill="1" applyBorder="1" applyAlignment="1">
      <alignment horizontal="center"/>
    </xf>
    <xf numFmtId="168" fontId="19" fillId="4" borderId="21" xfId="6" applyNumberFormat="1" applyFont="1" applyFill="1" applyBorder="1" applyAlignment="1">
      <alignment horizontal="right"/>
    </xf>
    <xf numFmtId="168" fontId="19" fillId="4" borderId="41" xfId="6" applyNumberFormat="1" applyFont="1" applyFill="1" applyBorder="1" applyAlignment="1">
      <alignment horizontal="right"/>
    </xf>
    <xf numFmtId="216" fontId="19" fillId="17" borderId="23" xfId="6" applyNumberFormat="1" applyFont="1" applyFill="1" applyBorder="1" applyAlignment="1">
      <alignment horizontal="center"/>
    </xf>
    <xf numFmtId="208" fontId="19" fillId="4" borderId="19" xfId="6" applyNumberFormat="1" applyFont="1" applyFill="1" applyBorder="1" applyAlignment="1">
      <alignment horizontal="center" vertical="center"/>
    </xf>
    <xf numFmtId="208" fontId="19" fillId="4" borderId="37" xfId="6" applyNumberFormat="1" applyFont="1" applyFill="1" applyBorder="1" applyAlignment="1">
      <alignment horizontal="center" vertical="center"/>
    </xf>
    <xf numFmtId="168" fontId="19" fillId="47" borderId="16" xfId="6" applyNumberFormat="1" applyFont="1" applyFill="1" applyBorder="1" applyAlignment="1">
      <alignment horizontal="center"/>
    </xf>
    <xf numFmtId="0" fontId="70" fillId="3" borderId="38" xfId="10" applyFont="1" applyFill="1" applyBorder="1" applyAlignment="1" applyProtection="1">
      <alignment horizontal="center"/>
    </xf>
    <xf numFmtId="169" fontId="4" fillId="3" borderId="40" xfId="10" applyNumberFormat="1" applyFont="1" applyFill="1" applyBorder="1" applyProtection="1"/>
    <xf numFmtId="4" fontId="4" fillId="3" borderId="40" xfId="10" applyNumberFormat="1" applyFont="1" applyFill="1" applyBorder="1" applyAlignment="1" applyProtection="1">
      <alignment horizontal="center" vertical="center"/>
    </xf>
    <xf numFmtId="0" fontId="4" fillId="3" borderId="35" xfId="10" applyFont="1" applyFill="1" applyBorder="1" applyAlignment="1" applyProtection="1">
      <alignment horizontal="center"/>
    </xf>
    <xf numFmtId="0" fontId="4" fillId="3" borderId="40" xfId="10" applyFont="1" applyFill="1" applyBorder="1" applyAlignment="1" applyProtection="1">
      <alignment horizontal="center"/>
    </xf>
    <xf numFmtId="0" fontId="4" fillId="17" borderId="16" xfId="10" applyFont="1" applyFill="1" applyBorder="1" applyAlignment="1" applyProtection="1">
      <alignment horizontal="center"/>
    </xf>
    <xf numFmtId="3" fontId="4" fillId="3" borderId="40" xfId="10" applyNumberFormat="1" applyFont="1" applyFill="1" applyBorder="1" applyAlignment="1" applyProtection="1">
      <alignment horizontal="center"/>
    </xf>
    <xf numFmtId="0" fontId="4" fillId="3" borderId="40" xfId="10" applyFont="1" applyFill="1" applyBorder="1" applyAlignment="1" applyProtection="1"/>
    <xf numFmtId="0" fontId="4" fillId="3" borderId="40" xfId="10" applyFont="1" applyFill="1" applyBorder="1" applyProtection="1"/>
    <xf numFmtId="0" fontId="4" fillId="3" borderId="36" xfId="10" applyFont="1" applyFill="1" applyBorder="1" applyAlignment="1" applyProtection="1"/>
    <xf numFmtId="3" fontId="4" fillId="4" borderId="40" xfId="10" applyNumberFormat="1" applyFont="1" applyFill="1" applyBorder="1" applyAlignment="1" applyProtection="1">
      <alignment horizontal="center"/>
    </xf>
    <xf numFmtId="0" fontId="4" fillId="3" borderId="0" xfId="10" applyFont="1" applyFill="1" applyProtection="1"/>
    <xf numFmtId="0" fontId="4" fillId="0" borderId="0" xfId="10" applyFont="1" applyProtection="1"/>
    <xf numFmtId="4" fontId="16" fillId="3" borderId="12" xfId="20" applyNumberFormat="1" applyFont="1" applyFill="1" applyBorder="1" applyAlignment="1" applyProtection="1">
      <alignment horizontal="centerContinuous" vertical="center"/>
    </xf>
    <xf numFmtId="4" fontId="22" fillId="3" borderId="12" xfId="20" applyNumberFormat="1" applyFont="1" applyFill="1" applyBorder="1" applyAlignment="1" applyProtection="1">
      <alignment horizontal="centerContinuous" vertical="center"/>
    </xf>
    <xf numFmtId="0" fontId="4" fillId="3" borderId="0" xfId="10" applyFont="1" applyFill="1" applyBorder="1" applyAlignment="1" applyProtection="1">
      <alignment horizontal="centerContinuous"/>
    </xf>
    <xf numFmtId="0" fontId="4" fillId="3" borderId="19" xfId="10" applyFont="1" applyFill="1" applyBorder="1" applyAlignment="1" applyProtection="1">
      <alignment horizontal="centerContinuous"/>
    </xf>
    <xf numFmtId="0" fontId="70" fillId="3" borderId="20" xfId="10" applyFont="1" applyFill="1" applyBorder="1" applyAlignment="1" applyProtection="1">
      <alignment horizontal="center"/>
    </xf>
    <xf numFmtId="169" fontId="4" fillId="3" borderId="0" xfId="10" applyNumberFormat="1" applyFont="1" applyFill="1" applyBorder="1" applyProtection="1"/>
    <xf numFmtId="0" fontId="4" fillId="3" borderId="20" xfId="10" applyFont="1" applyFill="1" applyBorder="1" applyProtection="1"/>
    <xf numFmtId="0" fontId="4" fillId="19" borderId="41" xfId="10" applyFont="1" applyFill="1" applyBorder="1" applyAlignment="1" applyProtection="1">
      <alignment horizontal="center"/>
    </xf>
    <xf numFmtId="0" fontId="4" fillId="19" borderId="12" xfId="10" applyFont="1" applyFill="1" applyBorder="1" applyAlignment="1" applyProtection="1">
      <alignment horizontal="center"/>
    </xf>
    <xf numFmtId="0" fontId="4" fillId="3" borderId="0" xfId="10" applyFont="1" applyFill="1" applyBorder="1" applyProtection="1"/>
    <xf numFmtId="170" fontId="4" fillId="3" borderId="0" xfId="10" applyNumberFormat="1" applyFont="1" applyFill="1" applyBorder="1" applyAlignment="1" applyProtection="1">
      <alignment horizontal="center"/>
    </xf>
    <xf numFmtId="169" fontId="4" fillId="3" borderId="0" xfId="10" applyNumberFormat="1" applyFont="1" applyFill="1" applyBorder="1" applyAlignment="1" applyProtection="1">
      <alignment horizontal="centerContinuous"/>
    </xf>
    <xf numFmtId="169" fontId="4" fillId="3" borderId="19" xfId="10" applyNumberFormat="1" applyFont="1" applyFill="1" applyBorder="1" applyAlignment="1" applyProtection="1">
      <alignment horizontal="centerContinuous"/>
    </xf>
    <xf numFmtId="9" fontId="4" fillId="0" borderId="38" xfId="14" applyFont="1" applyBorder="1" applyAlignment="1" applyProtection="1">
      <alignment horizontal="center"/>
    </xf>
    <xf numFmtId="0" fontId="12" fillId="3" borderId="0" xfId="0" applyFont="1" applyFill="1" applyBorder="1" applyAlignment="1">
      <alignment horizontal="left"/>
    </xf>
    <xf numFmtId="9" fontId="4" fillId="3" borderId="0" xfId="14" applyFont="1" applyFill="1" applyBorder="1" applyAlignment="1">
      <alignment horizontal="center"/>
    </xf>
    <xf numFmtId="9" fontId="4" fillId="3" borderId="2" xfId="14" applyFont="1" applyFill="1" applyBorder="1" applyAlignment="1">
      <alignment horizontal="center"/>
    </xf>
    <xf numFmtId="0" fontId="4" fillId="0" borderId="16" xfId="10" applyNumberFormat="1" applyFont="1" applyBorder="1" applyAlignment="1" applyProtection="1">
      <alignment horizontal="center"/>
      <protection locked="0"/>
    </xf>
    <xf numFmtId="1" fontId="4" fillId="3" borderId="38" xfId="10" applyNumberFormat="1" applyFont="1" applyFill="1" applyBorder="1" applyAlignment="1" applyProtection="1">
      <alignment horizontal="center"/>
    </xf>
    <xf numFmtId="0" fontId="4" fillId="3" borderId="40" xfId="10" applyFont="1" applyFill="1" applyBorder="1" applyAlignment="1" applyProtection="1">
      <alignment horizontal="left"/>
    </xf>
    <xf numFmtId="1" fontId="4" fillId="3" borderId="40" xfId="10" applyNumberFormat="1" applyFont="1" applyFill="1" applyBorder="1" applyAlignment="1" applyProtection="1">
      <alignment horizontal="centerContinuous"/>
    </xf>
    <xf numFmtId="170" fontId="4" fillId="3" borderId="40" xfId="10" applyNumberFormat="1" applyFont="1" applyFill="1" applyBorder="1" applyAlignment="1" applyProtection="1">
      <alignment horizontal="center"/>
    </xf>
    <xf numFmtId="0" fontId="30" fillId="0" borderId="35" xfId="20" applyFont="1" applyFill="1" applyBorder="1" applyAlignment="1" applyProtection="1">
      <alignment horizontal="right"/>
    </xf>
    <xf numFmtId="3" fontId="42" fillId="26" borderId="35" xfId="10" applyNumberFormat="1" applyFont="1" applyFill="1" applyBorder="1" applyAlignment="1" applyProtection="1">
      <alignment horizontal="center"/>
    </xf>
    <xf numFmtId="3" fontId="42" fillId="12" borderId="40" xfId="10" applyNumberFormat="1" applyFont="1" applyFill="1" applyBorder="1" applyAlignment="1" applyProtection="1">
      <alignment horizontal="center"/>
    </xf>
    <xf numFmtId="3" fontId="42" fillId="9" borderId="38" xfId="10" applyNumberFormat="1" applyFont="1" applyFill="1" applyBorder="1" applyAlignment="1" applyProtection="1">
      <alignment horizontal="center"/>
    </xf>
    <xf numFmtId="0" fontId="19" fillId="3" borderId="36" xfId="20" applyFont="1" applyFill="1" applyBorder="1" applyAlignment="1" applyProtection="1">
      <alignment horizontal="center"/>
    </xf>
    <xf numFmtId="9" fontId="4" fillId="0" borderId="24" xfId="14" applyFont="1" applyBorder="1" applyAlignment="1" applyProtection="1">
      <alignment horizontal="center"/>
    </xf>
    <xf numFmtId="0" fontId="4" fillId="3" borderId="35" xfId="10" applyFont="1" applyFill="1" applyBorder="1" applyProtection="1"/>
    <xf numFmtId="0" fontId="46" fillId="10" borderId="35" xfId="10" applyFont="1" applyFill="1" applyBorder="1" applyAlignment="1" applyProtection="1">
      <alignment horizontal="centerContinuous"/>
    </xf>
    <xf numFmtId="3" fontId="18" fillId="3" borderId="24" xfId="20" applyNumberFormat="1" applyFont="1" applyFill="1" applyBorder="1" applyAlignment="1" applyProtection="1">
      <alignment horizontal="center"/>
    </xf>
    <xf numFmtId="3" fontId="18" fillId="3" borderId="23" xfId="20" applyNumberFormat="1" applyFont="1" applyFill="1" applyBorder="1" applyAlignment="1" applyProtection="1">
      <alignment horizontal="center"/>
    </xf>
    <xf numFmtId="3" fontId="18" fillId="3" borderId="37" xfId="20" applyNumberFormat="1" applyFont="1" applyFill="1" applyBorder="1" applyAlignment="1" applyProtection="1">
      <alignment horizontal="center"/>
    </xf>
    <xf numFmtId="0" fontId="132" fillId="34" borderId="19" xfId="10" applyFont="1" applyFill="1" applyBorder="1" applyProtection="1"/>
    <xf numFmtId="170" fontId="19" fillId="42" borderId="21" xfId="20" applyNumberFormat="1" applyFont="1" applyFill="1" applyBorder="1" applyAlignment="1" applyProtection="1">
      <alignment horizontal="right"/>
    </xf>
    <xf numFmtId="3" fontId="19" fillId="42" borderId="0" xfId="20" applyNumberFormat="1" applyFont="1" applyFill="1" applyBorder="1" applyAlignment="1" applyProtection="1">
      <alignment horizontal="centerContinuous"/>
    </xf>
    <xf numFmtId="3" fontId="19" fillId="42" borderId="0" xfId="20" applyNumberFormat="1" applyFont="1" applyFill="1" applyBorder="1" applyAlignment="1" applyProtection="1">
      <alignment horizontal="center"/>
    </xf>
    <xf numFmtId="0" fontId="4" fillId="42" borderId="21" xfId="10" applyFont="1" applyFill="1" applyBorder="1" applyProtection="1"/>
    <xf numFmtId="3" fontId="12" fillId="42" borderId="19" xfId="20" applyNumberFormat="1" applyFont="1" applyFill="1" applyBorder="1" applyAlignment="1" applyProtection="1">
      <alignment horizontal="center"/>
    </xf>
    <xf numFmtId="168" fontId="4" fillId="42" borderId="19" xfId="10" applyNumberFormat="1" applyFont="1" applyFill="1" applyBorder="1" applyAlignment="1" applyProtection="1">
      <alignment horizontal="right"/>
    </xf>
    <xf numFmtId="168" fontId="4" fillId="42" borderId="21" xfId="10" applyNumberFormat="1" applyFont="1" applyFill="1" applyBorder="1" applyAlignment="1" applyProtection="1">
      <alignment horizontal="right"/>
    </xf>
    <xf numFmtId="187" fontId="4" fillId="42" borderId="0" xfId="10" applyNumberFormat="1" applyFont="1" applyFill="1" applyBorder="1" applyAlignment="1" applyProtection="1">
      <alignment horizontal="center"/>
    </xf>
    <xf numFmtId="0" fontId="4" fillId="42" borderId="0" xfId="10" applyFont="1" applyFill="1" applyBorder="1" applyAlignment="1" applyProtection="1">
      <alignment horizontal="center"/>
    </xf>
    <xf numFmtId="0" fontId="4" fillId="42" borderId="0" xfId="10" applyNumberFormat="1" applyFont="1" applyFill="1" applyBorder="1" applyAlignment="1" applyProtection="1">
      <alignment horizontal="center"/>
    </xf>
    <xf numFmtId="169" fontId="4" fillId="42" borderId="0" xfId="10" applyNumberFormat="1" applyFont="1" applyFill="1" applyBorder="1" applyAlignment="1" applyProtection="1">
      <alignment horizontal="center"/>
    </xf>
    <xf numFmtId="0" fontId="4" fillId="42" borderId="19" xfId="10" applyFont="1" applyFill="1" applyBorder="1" applyAlignment="1" applyProtection="1">
      <alignment horizontal="center"/>
    </xf>
    <xf numFmtId="3" fontId="30" fillId="42" borderId="0" xfId="20" applyNumberFormat="1" applyFont="1" applyFill="1" applyBorder="1" applyAlignment="1" applyProtection="1">
      <alignment horizontal="center"/>
    </xf>
    <xf numFmtId="3" fontId="30" fillId="42" borderId="19" xfId="20" applyNumberFormat="1" applyFont="1" applyFill="1" applyBorder="1" applyAlignment="1" applyProtection="1">
      <alignment horizontal="center"/>
    </xf>
    <xf numFmtId="0" fontId="132" fillId="42" borderId="0" xfId="10" applyFont="1" applyFill="1" applyBorder="1" applyProtection="1"/>
    <xf numFmtId="0" fontId="132" fillId="42" borderId="19" xfId="10" applyFont="1" applyFill="1" applyBorder="1" applyProtection="1"/>
    <xf numFmtId="168" fontId="4" fillId="42" borderId="5" xfId="10" applyNumberFormat="1" applyFont="1" applyFill="1" applyBorder="1" applyProtection="1"/>
    <xf numFmtId="0" fontId="26" fillId="34" borderId="21" xfId="20" applyFont="1" applyFill="1" applyBorder="1" applyAlignment="1" applyProtection="1">
      <alignment horizontal="right"/>
      <protection locked="0"/>
    </xf>
    <xf numFmtId="3" fontId="19" fillId="0" borderId="16" xfId="20" applyNumberFormat="1" applyFont="1" applyFill="1" applyBorder="1" applyAlignment="1" applyProtection="1">
      <alignment horizontal="center"/>
      <protection locked="0"/>
    </xf>
    <xf numFmtId="3" fontId="4" fillId="0" borderId="16" xfId="20" applyNumberFormat="1" applyFont="1" applyBorder="1" applyAlignment="1" applyProtection="1">
      <alignment horizontal="center"/>
      <protection locked="0"/>
    </xf>
    <xf numFmtId="1" fontId="26" fillId="12" borderId="20" xfId="10" applyNumberFormat="1" applyFont="1" applyFill="1" applyBorder="1" applyAlignment="1" applyProtection="1">
      <alignment horizontal="center"/>
      <protection locked="0"/>
    </xf>
    <xf numFmtId="170" fontId="39" fillId="34" borderId="0" xfId="20" applyNumberFormat="1" applyFont="1" applyFill="1" applyBorder="1" applyAlignment="1" applyProtection="1">
      <alignment horizontal="center"/>
      <protection locked="0"/>
    </xf>
    <xf numFmtId="170" fontId="39" fillId="34" borderId="21" xfId="20" applyNumberFormat="1" applyFont="1" applyFill="1" applyBorder="1" applyAlignment="1" applyProtection="1">
      <alignment horizontal="center"/>
      <protection locked="0"/>
    </xf>
    <xf numFmtId="187" fontId="4" fillId="3" borderId="19" xfId="20" applyNumberFormat="1" applyFont="1" applyFill="1" applyBorder="1" applyAlignment="1" applyProtection="1">
      <alignment horizontal="center"/>
      <protection locked="0"/>
    </xf>
    <xf numFmtId="174" fontId="132" fillId="34" borderId="19" xfId="10" applyNumberFormat="1" applyFont="1" applyFill="1" applyBorder="1" applyAlignment="1" applyProtection="1">
      <alignment horizontal="center"/>
      <protection locked="0"/>
    </xf>
    <xf numFmtId="0" fontId="4" fillId="4" borderId="20" xfId="10" applyFont="1" applyFill="1" applyBorder="1" applyAlignment="1" applyProtection="1">
      <alignment horizontal="center"/>
      <protection locked="0"/>
    </xf>
    <xf numFmtId="168" fontId="42" fillId="15" borderId="0" xfId="10" applyNumberFormat="1" applyFont="1" applyFill="1" applyBorder="1" applyAlignment="1" applyProtection="1">
      <alignment horizontal="center"/>
      <protection locked="0"/>
    </xf>
    <xf numFmtId="0" fontId="4" fillId="4" borderId="0" xfId="10" applyFont="1" applyFill="1" applyBorder="1" applyAlignment="1" applyProtection="1">
      <alignment horizontal="center"/>
      <protection locked="0"/>
    </xf>
    <xf numFmtId="3" fontId="30" fillId="11" borderId="0" xfId="20" applyNumberFormat="1" applyFont="1" applyFill="1" applyBorder="1" applyAlignment="1" applyProtection="1">
      <alignment horizontal="center"/>
      <protection locked="0"/>
    </xf>
    <xf numFmtId="3" fontId="30" fillId="11" borderId="19" xfId="20" applyNumberFormat="1" applyFont="1" applyFill="1" applyBorder="1" applyAlignment="1" applyProtection="1">
      <alignment horizontal="center"/>
      <protection locked="0"/>
    </xf>
    <xf numFmtId="0" fontId="132" fillId="34" borderId="0" xfId="10" applyFont="1" applyFill="1" applyBorder="1" applyProtection="1">
      <protection locked="0"/>
    </xf>
    <xf numFmtId="0" fontId="132" fillId="34" borderId="19" xfId="10" applyFont="1" applyFill="1" applyBorder="1" applyProtection="1">
      <protection locked="0"/>
    </xf>
    <xf numFmtId="169" fontId="4" fillId="3" borderId="21" xfId="10" applyNumberFormat="1" applyFont="1" applyFill="1" applyBorder="1" applyAlignment="1" applyProtection="1">
      <alignment horizontal="center"/>
      <protection locked="0"/>
    </xf>
    <xf numFmtId="169" fontId="4" fillId="3" borderId="0" xfId="10" applyNumberFormat="1" applyFont="1" applyFill="1" applyBorder="1" applyAlignment="1" applyProtection="1">
      <alignment horizontal="center"/>
      <protection locked="0"/>
    </xf>
    <xf numFmtId="170" fontId="4" fillId="3" borderId="0" xfId="10" applyNumberFormat="1" applyFont="1" applyFill="1" applyBorder="1" applyAlignment="1" applyProtection="1">
      <alignment horizontal="center"/>
      <protection locked="0"/>
    </xf>
    <xf numFmtId="170" fontId="4" fillId="3" borderId="19" xfId="10" applyNumberFormat="1" applyFont="1" applyFill="1" applyBorder="1" applyAlignment="1" applyProtection="1">
      <alignment horizontal="center"/>
      <protection locked="0"/>
    </xf>
    <xf numFmtId="3" fontId="4" fillId="3" borderId="0" xfId="10" applyNumberFormat="1" applyFont="1" applyFill="1" applyBorder="1" applyAlignment="1" applyProtection="1">
      <alignment horizontal="center"/>
      <protection locked="0"/>
    </xf>
    <xf numFmtId="170" fontId="4" fillId="3" borderId="4" xfId="10" applyNumberFormat="1" applyFont="1" applyFill="1" applyBorder="1" applyAlignment="1" applyProtection="1">
      <alignment horizontal="center"/>
      <protection locked="0"/>
    </xf>
    <xf numFmtId="169" fontId="4" fillId="3" borderId="5" xfId="10" applyNumberFormat="1" applyFont="1" applyFill="1" applyBorder="1" applyAlignment="1" applyProtection="1">
      <alignment horizontal="center"/>
      <protection locked="0"/>
    </xf>
    <xf numFmtId="4" fontId="4" fillId="3" borderId="33" xfId="10" applyNumberFormat="1" applyFont="1" applyFill="1" applyBorder="1" applyAlignment="1" applyProtection="1">
      <alignment horizontal="center"/>
      <protection locked="0"/>
    </xf>
    <xf numFmtId="0" fontId="4" fillId="0" borderId="0" xfId="10" applyFont="1" applyProtection="1">
      <protection locked="0"/>
    </xf>
    <xf numFmtId="168" fontId="4" fillId="42" borderId="19" xfId="10" applyNumberFormat="1" applyFont="1" applyFill="1" applyBorder="1" applyAlignment="1" applyProtection="1">
      <alignment horizontal="center"/>
    </xf>
    <xf numFmtId="168" fontId="4" fillId="42" borderId="20" xfId="10" applyNumberFormat="1" applyFont="1" applyFill="1" applyBorder="1" applyAlignment="1" applyProtection="1">
      <alignment horizontal="center"/>
    </xf>
    <xf numFmtId="0" fontId="4" fillId="42" borderId="20" xfId="10" applyFont="1" applyFill="1" applyBorder="1" applyAlignment="1" applyProtection="1">
      <alignment horizontal="center"/>
    </xf>
    <xf numFmtId="168" fontId="4" fillId="42" borderId="0" xfId="10" applyNumberFormat="1" applyFont="1" applyFill="1" applyBorder="1" applyAlignment="1" applyProtection="1">
      <alignment horizontal="center"/>
    </xf>
    <xf numFmtId="169" fontId="4" fillId="42" borderId="21" xfId="10" applyNumberFormat="1" applyFont="1" applyFill="1" applyBorder="1" applyAlignment="1" applyProtection="1">
      <alignment horizontal="center"/>
    </xf>
    <xf numFmtId="170" fontId="4" fillId="42" borderId="0" xfId="10" applyNumberFormat="1" applyFont="1" applyFill="1" applyBorder="1" applyAlignment="1" applyProtection="1">
      <alignment horizontal="center"/>
    </xf>
    <xf numFmtId="169" fontId="4" fillId="42" borderId="19" xfId="10" applyNumberFormat="1" applyFont="1" applyFill="1" applyBorder="1" applyAlignment="1" applyProtection="1">
      <alignment horizontal="center"/>
    </xf>
    <xf numFmtId="169" fontId="4" fillId="42" borderId="4" xfId="10" applyNumberFormat="1" applyFont="1" applyFill="1" applyBorder="1" applyAlignment="1" applyProtection="1">
      <alignment horizontal="center"/>
    </xf>
    <xf numFmtId="169" fontId="4" fillId="42" borderId="5" xfId="10" applyNumberFormat="1" applyFont="1" applyFill="1" applyBorder="1" applyAlignment="1" applyProtection="1">
      <alignment horizontal="center"/>
    </xf>
    <xf numFmtId="4" fontId="4" fillId="42" borderId="33" xfId="10" applyNumberFormat="1" applyFont="1" applyFill="1" applyBorder="1" applyAlignment="1" applyProtection="1">
      <alignment horizontal="center"/>
    </xf>
    <xf numFmtId="168" fontId="4" fillId="2" borderId="21" xfId="10" applyNumberFormat="1" applyFont="1" applyFill="1" applyBorder="1" applyAlignment="1" applyProtection="1">
      <alignment horizontal="center"/>
    </xf>
    <xf numFmtId="168" fontId="4" fillId="2" borderId="0" xfId="10" applyNumberFormat="1" applyFont="1" applyFill="1" applyBorder="1" applyAlignment="1" applyProtection="1">
      <alignment horizontal="center"/>
    </xf>
    <xf numFmtId="168" fontId="4" fillId="2" borderId="19" xfId="10" applyNumberFormat="1" applyFont="1" applyFill="1" applyBorder="1" applyAlignment="1" applyProtection="1">
      <alignment horizontal="center"/>
    </xf>
    <xf numFmtId="0" fontId="4" fillId="2" borderId="37" xfId="10" applyFont="1" applyFill="1" applyBorder="1" applyAlignment="1" applyProtection="1">
      <alignment horizontal="center"/>
    </xf>
    <xf numFmtId="168" fontId="4" fillId="2" borderId="12" xfId="10" applyNumberFormat="1" applyFont="1" applyFill="1" applyBorder="1" applyAlignment="1" applyProtection="1">
      <alignment horizontal="center"/>
    </xf>
    <xf numFmtId="168" fontId="4" fillId="2" borderId="37" xfId="10" applyNumberFormat="1" applyFont="1" applyFill="1" applyBorder="1" applyAlignment="1" applyProtection="1">
      <alignment horizontal="center"/>
    </xf>
    <xf numFmtId="0" fontId="4" fillId="2" borderId="0" xfId="10" applyNumberFormat="1" applyFont="1" applyFill="1" applyBorder="1" applyAlignment="1" applyProtection="1">
      <alignment horizontal="center"/>
    </xf>
    <xf numFmtId="0" fontId="4" fillId="2" borderId="0" xfId="10" applyFont="1" applyFill="1" applyBorder="1" applyAlignment="1" applyProtection="1">
      <alignment horizontal="center"/>
    </xf>
    <xf numFmtId="187" fontId="4" fillId="4" borderId="20" xfId="10" applyNumberFormat="1" applyFont="1" applyFill="1" applyBorder="1" applyAlignment="1" applyProtection="1">
      <alignment horizontal="center"/>
    </xf>
    <xf numFmtId="187" fontId="4" fillId="2" borderId="41" xfId="10" applyNumberFormat="1" applyFont="1" applyFill="1" applyBorder="1" applyAlignment="1" applyProtection="1">
      <alignment horizontal="center"/>
    </xf>
    <xf numFmtId="169" fontId="4" fillId="2" borderId="37" xfId="10" applyNumberFormat="1" applyFont="1" applyFill="1" applyBorder="1" applyProtection="1"/>
    <xf numFmtId="3" fontId="30" fillId="2" borderId="0" xfId="20" applyNumberFormat="1" applyFont="1" applyFill="1" applyBorder="1" applyAlignment="1" applyProtection="1">
      <alignment horizontal="center"/>
    </xf>
    <xf numFmtId="3" fontId="30" fillId="2" borderId="19" xfId="20" applyNumberFormat="1" applyFont="1" applyFill="1" applyBorder="1" applyAlignment="1" applyProtection="1">
      <alignment horizontal="center"/>
    </xf>
    <xf numFmtId="169" fontId="4" fillId="2" borderId="21" xfId="10" applyNumberFormat="1" applyFont="1" applyFill="1" applyBorder="1" applyAlignment="1" applyProtection="1">
      <alignment horizontal="center"/>
    </xf>
    <xf numFmtId="169" fontId="4" fillId="2" borderId="0" xfId="10" applyNumberFormat="1" applyFont="1" applyFill="1" applyBorder="1" applyAlignment="1" applyProtection="1">
      <alignment horizontal="center"/>
    </xf>
    <xf numFmtId="170" fontId="4" fillId="2" borderId="0" xfId="10" applyNumberFormat="1" applyFont="1" applyFill="1" applyBorder="1" applyAlignment="1" applyProtection="1">
      <alignment horizontal="center"/>
    </xf>
    <xf numFmtId="169" fontId="4" fillId="2" borderId="19" xfId="10" applyNumberFormat="1" applyFont="1" applyFill="1" applyBorder="1" applyAlignment="1" applyProtection="1">
      <alignment horizontal="center"/>
    </xf>
    <xf numFmtId="169" fontId="4" fillId="2" borderId="5" xfId="10" applyNumberFormat="1" applyFont="1" applyFill="1" applyBorder="1" applyAlignment="1" applyProtection="1">
      <alignment horizontal="center"/>
    </xf>
    <xf numFmtId="169" fontId="4" fillId="2" borderId="4" xfId="10" applyNumberFormat="1" applyFont="1" applyFill="1" applyBorder="1" applyAlignment="1" applyProtection="1">
      <alignment horizontal="center"/>
    </xf>
    <xf numFmtId="3" fontId="4" fillId="2" borderId="0" xfId="10" applyNumberFormat="1" applyFont="1" applyFill="1" applyBorder="1" applyAlignment="1" applyProtection="1">
      <alignment horizontal="center"/>
    </xf>
    <xf numFmtId="4" fontId="4" fillId="2" borderId="33" xfId="10" applyNumberFormat="1" applyFont="1" applyFill="1" applyBorder="1" applyAlignment="1" applyProtection="1">
      <alignment horizontal="center"/>
    </xf>
    <xf numFmtId="0" fontId="4" fillId="2" borderId="5" xfId="10" applyFont="1" applyFill="1" applyBorder="1" applyProtection="1"/>
    <xf numFmtId="193" fontId="42" fillId="3" borderId="12" xfId="20" applyNumberFormat="1" applyFont="1" applyFill="1" applyBorder="1" applyAlignment="1" applyProtection="1">
      <alignment horizontal="centerContinuous"/>
    </xf>
    <xf numFmtId="0" fontId="4" fillId="3" borderId="39" xfId="10" applyFont="1" applyFill="1" applyBorder="1" applyAlignment="1" applyProtection="1">
      <alignment horizontal="center"/>
    </xf>
    <xf numFmtId="168" fontId="4" fillId="3" borderId="12" xfId="10" applyNumberFormat="1" applyFont="1" applyFill="1" applyBorder="1" applyAlignment="1" applyProtection="1">
      <alignment horizontal="center"/>
    </xf>
    <xf numFmtId="168" fontId="4" fillId="3" borderId="37" xfId="10" applyNumberFormat="1" applyFont="1" applyFill="1" applyBorder="1" applyAlignment="1" applyProtection="1">
      <alignment horizontal="center"/>
    </xf>
    <xf numFmtId="0" fontId="4" fillId="3" borderId="41" xfId="10" applyNumberFormat="1" applyFont="1" applyFill="1" applyBorder="1" applyAlignment="1" applyProtection="1">
      <alignment horizontal="center"/>
    </xf>
    <xf numFmtId="0" fontId="4" fillId="3" borderId="12" xfId="10" applyFont="1" applyFill="1" applyBorder="1" applyAlignment="1" applyProtection="1">
      <alignment horizontal="center"/>
    </xf>
    <xf numFmtId="187" fontId="4" fillId="3" borderId="12" xfId="10" applyNumberFormat="1" applyFont="1" applyFill="1" applyBorder="1" applyAlignment="1" applyProtection="1">
      <alignment horizontal="center"/>
    </xf>
    <xf numFmtId="3" fontId="30" fillId="3" borderId="12" xfId="20" applyNumberFormat="1" applyFont="1" applyFill="1" applyBorder="1" applyAlignment="1" applyProtection="1">
      <alignment horizontal="center"/>
    </xf>
    <xf numFmtId="3" fontId="30" fillId="3" borderId="37" xfId="20" applyNumberFormat="1" applyFont="1" applyFill="1" applyBorder="1" applyAlignment="1" applyProtection="1">
      <alignment horizontal="center"/>
    </xf>
    <xf numFmtId="169" fontId="4" fillId="3" borderId="0" xfId="10" applyNumberFormat="1" applyFont="1" applyFill="1" applyBorder="1" applyAlignment="1" applyProtection="1">
      <alignment horizontal="center"/>
    </xf>
    <xf numFmtId="169" fontId="4" fillId="3" borderId="19" xfId="10" applyNumberFormat="1" applyFont="1" applyFill="1" applyBorder="1" applyAlignment="1" applyProtection="1">
      <alignment horizontal="center"/>
    </xf>
    <xf numFmtId="169" fontId="4" fillId="3" borderId="5" xfId="10" applyNumberFormat="1" applyFont="1" applyFill="1" applyBorder="1" applyAlignment="1" applyProtection="1">
      <alignment horizontal="center"/>
    </xf>
    <xf numFmtId="169" fontId="4" fillId="3" borderId="4" xfId="10" applyNumberFormat="1" applyFont="1" applyFill="1" applyBorder="1" applyAlignment="1" applyProtection="1">
      <alignment horizontal="center"/>
    </xf>
    <xf numFmtId="3" fontId="4" fillId="3" borderId="0" xfId="10" applyNumberFormat="1" applyFont="1" applyFill="1" applyBorder="1" applyAlignment="1" applyProtection="1">
      <alignment horizontal="center"/>
    </xf>
    <xf numFmtId="4" fontId="4" fillId="3" borderId="33" xfId="10" applyNumberFormat="1" applyFont="1" applyFill="1" applyBorder="1" applyAlignment="1" applyProtection="1">
      <alignment horizontal="center"/>
    </xf>
    <xf numFmtId="0" fontId="4" fillId="3" borderId="5" xfId="10" applyFont="1" applyFill="1" applyBorder="1" applyProtection="1"/>
    <xf numFmtId="0" fontId="4" fillId="3" borderId="4" xfId="10" applyFont="1" applyFill="1" applyBorder="1" applyProtection="1"/>
    <xf numFmtId="0" fontId="12" fillId="33" borderId="0" xfId="10" applyFont="1" applyFill="1" applyBorder="1" applyProtection="1"/>
    <xf numFmtId="0" fontId="12" fillId="33" borderId="0" xfId="10" applyFont="1" applyFill="1" applyBorder="1" applyAlignment="1" applyProtection="1">
      <alignment horizontal="center"/>
    </xf>
    <xf numFmtId="231" fontId="30" fillId="43" borderId="0" xfId="10" applyNumberFormat="1" applyFont="1" applyFill="1" applyBorder="1" applyAlignment="1" applyProtection="1">
      <alignment horizontal="center"/>
    </xf>
    <xf numFmtId="4" fontId="30" fillId="33" borderId="0" xfId="10" applyNumberFormat="1" applyFont="1" applyFill="1" applyBorder="1" applyProtection="1"/>
    <xf numFmtId="0" fontId="30" fillId="33" borderId="0" xfId="10" applyFont="1" applyFill="1" applyBorder="1" applyProtection="1"/>
    <xf numFmtId="169" fontId="12" fillId="33" borderId="0" xfId="10" applyNumberFormat="1" applyFont="1" applyFill="1" applyBorder="1" applyProtection="1"/>
    <xf numFmtId="0" fontId="132" fillId="34" borderId="0" xfId="10" applyFont="1" applyFill="1" applyProtection="1"/>
    <xf numFmtId="0" fontId="12" fillId="42" borderId="21" xfId="10" applyFont="1" applyFill="1" applyBorder="1" applyProtection="1"/>
    <xf numFmtId="0" fontId="12" fillId="42" borderId="0" xfId="10" applyFont="1" applyFill="1" applyProtection="1"/>
    <xf numFmtId="0" fontId="12" fillId="42" borderId="0" xfId="10" applyFont="1" applyFill="1" applyBorder="1" applyAlignment="1" applyProtection="1">
      <alignment horizontal="left"/>
    </xf>
    <xf numFmtId="0" fontId="12" fillId="42" borderId="0" xfId="10" applyFont="1" applyFill="1" applyBorder="1" applyProtection="1"/>
    <xf numFmtId="169" fontId="12" fillId="42" borderId="0" xfId="10" applyNumberFormat="1" applyFont="1" applyFill="1" applyBorder="1" applyProtection="1"/>
    <xf numFmtId="169" fontId="12" fillId="42" borderId="0" xfId="10" applyNumberFormat="1" applyFont="1" applyFill="1" applyProtection="1"/>
    <xf numFmtId="0" fontId="12" fillId="42" borderId="19" xfId="10" applyFont="1" applyFill="1" applyBorder="1" applyProtection="1"/>
    <xf numFmtId="0" fontId="12" fillId="0" borderId="0" xfId="10" applyFont="1" applyProtection="1"/>
    <xf numFmtId="170" fontId="4" fillId="34" borderId="0" xfId="10" applyNumberFormat="1" applyFont="1" applyFill="1" applyBorder="1" applyAlignment="1" applyProtection="1">
      <alignment horizontal="center"/>
    </xf>
    <xf numFmtId="4" fontId="4" fillId="34" borderId="0" xfId="10" applyNumberFormat="1" applyFont="1" applyFill="1" applyBorder="1" applyAlignment="1" applyProtection="1">
      <alignment horizontal="center"/>
    </xf>
    <xf numFmtId="169" fontId="4" fillId="34" borderId="0" xfId="10" applyNumberFormat="1" applyFont="1" applyFill="1" applyBorder="1" applyAlignment="1" applyProtection="1">
      <alignment horizontal="center"/>
    </xf>
    <xf numFmtId="170" fontId="4" fillId="44" borderId="0" xfId="10" applyNumberFormat="1" applyFont="1" applyFill="1" applyBorder="1" applyAlignment="1" applyProtection="1">
      <alignment horizontal="center"/>
    </xf>
    <xf numFmtId="3" fontId="4" fillId="34" borderId="0" xfId="10" applyNumberFormat="1" applyFont="1" applyFill="1" applyBorder="1" applyAlignment="1" applyProtection="1">
      <alignment horizontal="center"/>
    </xf>
    <xf numFmtId="169" fontId="132" fillId="34" borderId="0" xfId="10" applyNumberFormat="1" applyFont="1" applyFill="1" applyBorder="1" applyAlignment="1" applyProtection="1">
      <alignment horizontal="center"/>
    </xf>
    <xf numFmtId="169" fontId="4" fillId="11" borderId="21" xfId="10" applyNumberFormat="1" applyFont="1" applyFill="1" applyBorder="1" applyAlignment="1" applyProtection="1">
      <alignment horizontal="center"/>
    </xf>
    <xf numFmtId="169" fontId="4" fillId="11" borderId="0" xfId="10" applyNumberFormat="1" applyFont="1" applyFill="1" applyBorder="1" applyAlignment="1" applyProtection="1">
      <alignment horizontal="center"/>
    </xf>
    <xf numFmtId="4" fontId="4" fillId="11" borderId="0" xfId="10" applyNumberFormat="1" applyFont="1" applyFill="1" applyBorder="1" applyAlignment="1" applyProtection="1">
      <alignment horizontal="center"/>
    </xf>
    <xf numFmtId="4" fontId="4" fillId="11" borderId="19" xfId="10" applyNumberFormat="1" applyFont="1" applyFill="1" applyBorder="1" applyAlignment="1" applyProtection="1">
      <alignment horizontal="center"/>
    </xf>
    <xf numFmtId="4" fontId="4" fillId="11" borderId="21" xfId="10" applyNumberFormat="1" applyFont="1" applyFill="1" applyBorder="1" applyAlignment="1" applyProtection="1">
      <alignment horizontal="center"/>
    </xf>
    <xf numFmtId="3" fontId="4" fillId="11" borderId="0" xfId="10" applyNumberFormat="1" applyFont="1" applyFill="1" applyBorder="1" applyAlignment="1" applyProtection="1">
      <alignment horizontal="center"/>
    </xf>
    <xf numFmtId="169" fontId="4" fillId="11" borderId="19" xfId="10" applyNumberFormat="1" applyFont="1" applyFill="1" applyBorder="1" applyAlignment="1" applyProtection="1">
      <alignment horizontal="center"/>
    </xf>
    <xf numFmtId="169" fontId="4" fillId="11" borderId="5" xfId="10" applyNumberFormat="1" applyFont="1" applyFill="1" applyBorder="1" applyAlignment="1" applyProtection="1">
      <alignment horizontal="center"/>
    </xf>
    <xf numFmtId="169" fontId="4" fillId="11" borderId="4" xfId="10" applyNumberFormat="1" applyFont="1" applyFill="1" applyBorder="1" applyAlignment="1" applyProtection="1">
      <alignment horizontal="center"/>
    </xf>
    <xf numFmtId="4" fontId="4" fillId="11" borderId="33" xfId="10" applyNumberFormat="1" applyFont="1" applyFill="1" applyBorder="1" applyAlignment="1" applyProtection="1">
      <alignment horizontal="center"/>
    </xf>
    <xf numFmtId="0" fontId="4" fillId="11" borderId="5" xfId="10" applyFont="1" applyFill="1" applyBorder="1" applyProtection="1"/>
    <xf numFmtId="0" fontId="4" fillId="11" borderId="4" xfId="10" applyFont="1" applyFill="1" applyBorder="1" applyProtection="1"/>
    <xf numFmtId="170" fontId="26" fillId="34" borderId="40" xfId="20" applyNumberFormat="1" applyFont="1" applyFill="1" applyBorder="1" applyAlignment="1" applyProtection="1">
      <alignment horizontal="right"/>
    </xf>
    <xf numFmtId="203" fontId="26" fillId="34" borderId="40" xfId="20" applyNumberFormat="1" applyFont="1" applyFill="1" applyBorder="1" applyAlignment="1" applyProtection="1">
      <alignment horizontal="left"/>
    </xf>
    <xf numFmtId="170" fontId="65" fillId="34" borderId="0" xfId="20" applyNumberFormat="1" applyFont="1" applyFill="1" applyBorder="1" applyAlignment="1" applyProtection="1"/>
    <xf numFmtId="1" fontId="10" fillId="34" borderId="0" xfId="10" applyNumberFormat="1" applyFont="1" applyFill="1" applyAlignment="1" applyProtection="1">
      <alignment horizontal="center"/>
    </xf>
    <xf numFmtId="0" fontId="13" fillId="34" borderId="0" xfId="10" applyFont="1" applyFill="1" applyAlignment="1" applyProtection="1">
      <alignment horizontal="centerContinuous"/>
    </xf>
    <xf numFmtId="0" fontId="10" fillId="34" borderId="0" xfId="10" applyFont="1" applyFill="1" applyProtection="1"/>
    <xf numFmtId="0" fontId="132" fillId="34" borderId="22" xfId="10" applyFont="1" applyFill="1" applyBorder="1" applyProtection="1"/>
    <xf numFmtId="169" fontId="132" fillId="34" borderId="24" xfId="10" applyNumberFormat="1" applyFont="1" applyFill="1" applyBorder="1" applyProtection="1"/>
    <xf numFmtId="170" fontId="132" fillId="34" borderId="24" xfId="10" applyNumberFormat="1" applyFont="1" applyFill="1" applyBorder="1" applyProtection="1"/>
    <xf numFmtId="169" fontId="138" fillId="34" borderId="24" xfId="10" applyNumberFormat="1" applyFont="1" applyFill="1" applyBorder="1" applyAlignment="1" applyProtection="1">
      <alignment horizontal="center" vertical="center"/>
    </xf>
    <xf numFmtId="0" fontId="132" fillId="34" borderId="24" xfId="10" applyFont="1" applyFill="1" applyBorder="1" applyProtection="1"/>
    <xf numFmtId="0" fontId="132" fillId="34" borderId="23" xfId="10" applyFont="1" applyFill="1" applyBorder="1" applyProtection="1"/>
    <xf numFmtId="0" fontId="4" fillId="4" borderId="36" xfId="10" applyFont="1" applyFill="1" applyBorder="1" applyAlignment="1" applyProtection="1">
      <alignment horizontal="centerContinuous"/>
    </xf>
    <xf numFmtId="191" fontId="30" fillId="0" borderId="16" xfId="14" applyNumberFormat="1" applyFont="1" applyFill="1" applyBorder="1" applyAlignment="1" applyProtection="1">
      <alignment horizontal="center"/>
    </xf>
    <xf numFmtId="216" fontId="4" fillId="4" borderId="40" xfId="10" applyNumberFormat="1" applyFont="1" applyFill="1" applyBorder="1" applyAlignment="1" applyProtection="1">
      <alignment horizontal="center"/>
    </xf>
    <xf numFmtId="0" fontId="4" fillId="0" borderId="16" xfId="10" applyFont="1" applyBorder="1" applyAlignment="1" applyProtection="1">
      <alignment horizontal="center"/>
    </xf>
    <xf numFmtId="9" fontId="4" fillId="0" borderId="40" xfId="14" applyFont="1" applyBorder="1" applyAlignment="1" applyProtection="1">
      <alignment horizontal="center"/>
    </xf>
    <xf numFmtId="0" fontId="4" fillId="0" borderId="0" xfId="10" applyFont="1" applyFill="1" applyBorder="1" applyProtection="1"/>
    <xf numFmtId="9" fontId="4" fillId="0" borderId="0" xfId="14" applyFont="1" applyBorder="1" applyAlignment="1" applyProtection="1">
      <alignment horizontal="center"/>
    </xf>
    <xf numFmtId="169" fontId="4" fillId="0" borderId="0" xfId="10" applyNumberFormat="1" applyFont="1" applyProtection="1"/>
    <xf numFmtId="3" fontId="4" fillId="0" borderId="0" xfId="10" applyNumberFormat="1" applyFont="1" applyFill="1" applyBorder="1" applyAlignment="1" applyProtection="1"/>
    <xf numFmtId="169" fontId="4" fillId="0" borderId="0" xfId="10" applyNumberFormat="1" applyFont="1" applyFill="1" applyBorder="1" applyProtection="1"/>
    <xf numFmtId="170" fontId="4" fillId="0" borderId="0" xfId="10" applyNumberFormat="1" applyFont="1" applyFill="1" applyBorder="1" applyAlignment="1" applyProtection="1">
      <alignment horizontal="center"/>
    </xf>
    <xf numFmtId="0" fontId="95" fillId="34" borderId="0" xfId="10" applyFont="1" applyFill="1" applyBorder="1" applyAlignment="1" applyProtection="1">
      <alignment horizontal="right"/>
    </xf>
    <xf numFmtId="169" fontId="4" fillId="0" borderId="0" xfId="10" applyNumberFormat="1" applyFont="1" applyBorder="1" applyProtection="1"/>
    <xf numFmtId="0" fontId="42" fillId="35" borderId="20" xfId="10" applyFont="1" applyFill="1" applyBorder="1" applyAlignment="1" applyProtection="1">
      <alignment horizontal="center"/>
    </xf>
    <xf numFmtId="167" fontId="12" fillId="10" borderId="21" xfId="10" applyNumberFormat="1" applyFont="1" applyFill="1" applyBorder="1" applyAlignment="1" applyProtection="1">
      <alignment horizontal="center"/>
    </xf>
    <xf numFmtId="0" fontId="4" fillId="0" borderId="0" xfId="10" applyFont="1" applyBorder="1" applyProtection="1"/>
    <xf numFmtId="0" fontId="4" fillId="0" borderId="0" xfId="10" applyFont="1" applyFill="1" applyBorder="1" applyAlignment="1" applyProtection="1"/>
    <xf numFmtId="170" fontId="4" fillId="0" borderId="0" xfId="10" applyNumberFormat="1" applyFont="1" applyFill="1" applyBorder="1" applyAlignment="1" applyProtection="1">
      <alignment horizontal="left"/>
    </xf>
    <xf numFmtId="168" fontId="4" fillId="0" borderId="0" xfId="10" applyNumberFormat="1" applyFont="1" applyFill="1" applyBorder="1" applyAlignment="1" applyProtection="1"/>
    <xf numFmtId="0" fontId="40" fillId="4" borderId="39" xfId="20" applyFont="1" applyFill="1" applyBorder="1" applyAlignment="1" applyProtection="1">
      <alignment horizontal="center"/>
    </xf>
    <xf numFmtId="193" fontId="19" fillId="3" borderId="41" xfId="20" applyNumberFormat="1" applyFont="1" applyFill="1" applyBorder="1" applyAlignment="1" applyProtection="1">
      <alignment horizontal="center"/>
    </xf>
    <xf numFmtId="9" fontId="4" fillId="0" borderId="12" xfId="14" applyFont="1" applyBorder="1" applyAlignment="1" applyProtection="1">
      <alignment horizontal="center"/>
    </xf>
    <xf numFmtId="0" fontId="4" fillId="0" borderId="12" xfId="14" applyNumberFormat="1" applyFont="1" applyBorder="1" applyAlignment="1" applyProtection="1">
      <alignment horizontal="center"/>
    </xf>
    <xf numFmtId="167" fontId="30" fillId="10" borderId="41" xfId="10" applyNumberFormat="1" applyFont="1" applyFill="1" applyBorder="1" applyAlignment="1" applyProtection="1">
      <alignment horizontal="center"/>
    </xf>
    <xf numFmtId="172" fontId="71" fillId="34" borderId="0" xfId="10" applyNumberFormat="1" applyFont="1" applyFill="1" applyBorder="1" applyAlignment="1" applyProtection="1">
      <alignment horizontal="center"/>
    </xf>
    <xf numFmtId="2" fontId="10" fillId="34" borderId="0" xfId="10" applyNumberFormat="1" applyFont="1" applyFill="1" applyBorder="1" applyAlignment="1" applyProtection="1">
      <alignment horizontal="center"/>
    </xf>
    <xf numFmtId="0" fontId="10" fillId="34" borderId="0" xfId="10" applyFont="1" applyFill="1" applyBorder="1" applyProtection="1"/>
    <xf numFmtId="9" fontId="10" fillId="34" borderId="0" xfId="14" applyFont="1" applyFill="1" applyBorder="1" applyAlignment="1" applyProtection="1">
      <alignment horizontal="center"/>
    </xf>
    <xf numFmtId="9" fontId="4" fillId="0" borderId="0" xfId="14" applyFont="1" applyFill="1" applyBorder="1" applyAlignment="1" applyProtection="1">
      <alignment horizontal="center"/>
    </xf>
    <xf numFmtId="168" fontId="4" fillId="0" borderId="0" xfId="10" applyNumberFormat="1" applyFont="1" applyFill="1" applyBorder="1" applyAlignment="1" applyProtection="1">
      <alignment horizontal="left"/>
    </xf>
    <xf numFmtId="0" fontId="4" fillId="0" borderId="40" xfId="10" applyFont="1" applyBorder="1" applyProtection="1"/>
    <xf numFmtId="167" fontId="30" fillId="10" borderId="35" xfId="10" applyNumberFormat="1" applyFont="1" applyFill="1" applyBorder="1" applyAlignment="1" applyProtection="1">
      <alignment horizontal="center"/>
    </xf>
    <xf numFmtId="0" fontId="42" fillId="20" borderId="20" xfId="10" applyFont="1" applyFill="1" applyBorder="1" applyAlignment="1" applyProtection="1">
      <alignment horizontal="center"/>
    </xf>
    <xf numFmtId="0" fontId="4" fillId="34" borderId="0" xfId="10" applyFont="1" applyFill="1" applyBorder="1" applyProtection="1"/>
    <xf numFmtId="9" fontId="4" fillId="34" borderId="0" xfId="14" applyFont="1" applyFill="1" applyBorder="1" applyAlignment="1" applyProtection="1">
      <alignment horizontal="center"/>
    </xf>
    <xf numFmtId="0" fontId="42" fillId="18" borderId="20" xfId="10" applyFont="1" applyFill="1" applyBorder="1" applyAlignment="1" applyProtection="1">
      <alignment horizontal="center"/>
    </xf>
    <xf numFmtId="0" fontId="42" fillId="36" borderId="20" xfId="10" applyFont="1" applyFill="1" applyBorder="1" applyAlignment="1" applyProtection="1">
      <alignment horizontal="center"/>
    </xf>
    <xf numFmtId="0" fontId="42" fillId="37" borderId="20" xfId="10" applyFont="1" applyFill="1" applyBorder="1" applyAlignment="1" applyProtection="1">
      <alignment horizontal="center"/>
    </xf>
    <xf numFmtId="0" fontId="42" fillId="30" borderId="20" xfId="10" applyFont="1" applyFill="1" applyBorder="1" applyAlignment="1" applyProtection="1">
      <alignment horizontal="center"/>
    </xf>
    <xf numFmtId="0" fontId="42" fillId="29" borderId="20" xfId="10" applyFont="1" applyFill="1" applyBorder="1" applyAlignment="1" applyProtection="1">
      <alignment horizontal="center"/>
    </xf>
    <xf numFmtId="0" fontId="42" fillId="24" borderId="20" xfId="10" applyFont="1" applyFill="1" applyBorder="1" applyAlignment="1" applyProtection="1">
      <alignment horizontal="center"/>
    </xf>
    <xf numFmtId="0" fontId="42" fillId="9" borderId="20" xfId="10" applyFont="1" applyFill="1" applyBorder="1" applyAlignment="1" applyProtection="1">
      <alignment horizontal="center"/>
    </xf>
    <xf numFmtId="0" fontId="42" fillId="23" borderId="20" xfId="10" applyFont="1" applyFill="1" applyBorder="1" applyAlignment="1" applyProtection="1">
      <alignment horizontal="center"/>
    </xf>
    <xf numFmtId="169" fontId="4" fillId="0" borderId="12" xfId="10" applyNumberFormat="1" applyFont="1" applyBorder="1" applyProtection="1"/>
    <xf numFmtId="0" fontId="4" fillId="0" borderId="12" xfId="10" applyFont="1" applyBorder="1" applyProtection="1"/>
    <xf numFmtId="0" fontId="4" fillId="0" borderId="0" xfId="10" applyFont="1" applyFill="1" applyBorder="1" applyAlignment="1" applyProtection="1">
      <alignment horizontal="left"/>
    </xf>
    <xf numFmtId="0" fontId="14" fillId="0" borderId="0" xfId="10" applyFont="1" applyFill="1" applyProtection="1"/>
    <xf numFmtId="9" fontId="10" fillId="8" borderId="36" xfId="14" applyFont="1" applyFill="1" applyBorder="1" applyAlignment="1" applyProtection="1">
      <alignment horizontal="left"/>
    </xf>
    <xf numFmtId="0" fontId="10" fillId="8" borderId="38" xfId="10" applyFont="1" applyFill="1" applyBorder="1" applyAlignment="1" applyProtection="1">
      <alignment horizontal="center"/>
    </xf>
    <xf numFmtId="3" fontId="26" fillId="8" borderId="38" xfId="10" applyNumberFormat="1" applyFont="1" applyFill="1" applyBorder="1" applyAlignment="1" applyProtection="1">
      <alignment horizontal="center"/>
    </xf>
    <xf numFmtId="9" fontId="10" fillId="8" borderId="0" xfId="14" applyFont="1" applyFill="1" applyAlignment="1" applyProtection="1">
      <alignment horizontal="left"/>
    </xf>
    <xf numFmtId="9" fontId="10" fillId="8" borderId="0" xfId="10" applyNumberFormat="1" applyFont="1" applyFill="1" applyAlignment="1" applyProtection="1">
      <alignment horizontal="left"/>
    </xf>
    <xf numFmtId="169" fontId="10" fillId="8" borderId="38" xfId="10" applyNumberFormat="1" applyFont="1" applyFill="1" applyBorder="1" applyAlignment="1" applyProtection="1">
      <alignment horizontal="center"/>
    </xf>
    <xf numFmtId="169" fontId="10" fillId="8" borderId="0" xfId="10" applyNumberFormat="1" applyFont="1" applyFill="1" applyAlignment="1" applyProtection="1">
      <alignment horizontal="left"/>
    </xf>
    <xf numFmtId="0" fontId="10" fillId="8" borderId="0" xfId="10" applyFont="1" applyFill="1" applyAlignment="1" applyProtection="1">
      <alignment horizontal="left"/>
    </xf>
    <xf numFmtId="0" fontId="4" fillId="0" borderId="0" xfId="10" applyFont="1" applyFill="1" applyAlignment="1" applyProtection="1">
      <alignment horizontal="left"/>
    </xf>
    <xf numFmtId="0" fontId="4" fillId="0" borderId="36" xfId="20" applyFont="1" applyFill="1" applyBorder="1" applyProtection="1"/>
    <xf numFmtId="0" fontId="4" fillId="0" borderId="16" xfId="10" applyFont="1" applyFill="1" applyBorder="1" applyAlignment="1" applyProtection="1">
      <alignment horizontal="center"/>
    </xf>
    <xf numFmtId="0" fontId="4" fillId="0" borderId="0" xfId="10" applyFont="1" applyAlignment="1" applyProtection="1">
      <alignment horizontal="centerContinuous"/>
    </xf>
    <xf numFmtId="169" fontId="4" fillId="0" borderId="0" xfId="10" applyNumberFormat="1" applyFont="1" applyFill="1" applyBorder="1" applyAlignment="1" applyProtection="1">
      <alignment horizontal="centerContinuous"/>
    </xf>
    <xf numFmtId="169" fontId="4" fillId="3" borderId="19" xfId="10" applyNumberFormat="1" applyFont="1" applyFill="1" applyBorder="1" applyAlignment="1" applyProtection="1">
      <alignment horizontal="left"/>
    </xf>
    <xf numFmtId="0" fontId="4" fillId="0" borderId="37" xfId="20" applyFont="1" applyFill="1" applyBorder="1" applyProtection="1"/>
    <xf numFmtId="0" fontId="10" fillId="8" borderId="36" xfId="10" applyFont="1" applyFill="1" applyBorder="1" applyAlignment="1" applyProtection="1">
      <alignment horizontal="center"/>
    </xf>
    <xf numFmtId="183" fontId="4" fillId="3" borderId="27" xfId="14" applyNumberFormat="1" applyFont="1" applyFill="1" applyBorder="1" applyProtection="1"/>
    <xf numFmtId="0" fontId="4" fillId="3" borderId="6" xfId="10" applyFont="1" applyFill="1" applyBorder="1" applyProtection="1"/>
    <xf numFmtId="9" fontId="10" fillId="3" borderId="6" xfId="14" applyFont="1" applyFill="1" applyBorder="1" applyAlignment="1" applyProtection="1">
      <alignment horizontal="left"/>
    </xf>
    <xf numFmtId="9" fontId="10" fillId="3" borderId="10" xfId="14" applyFont="1" applyFill="1" applyBorder="1" applyAlignment="1" applyProtection="1">
      <alignment horizontal="left"/>
    </xf>
    <xf numFmtId="9" fontId="10" fillId="3" borderId="5" xfId="14" applyFont="1" applyFill="1" applyBorder="1" applyAlignment="1" applyProtection="1">
      <alignment horizontal="left"/>
    </xf>
    <xf numFmtId="183" fontId="4" fillId="3" borderId="16" xfId="14" applyNumberFormat="1" applyFont="1" applyFill="1" applyBorder="1" applyProtection="1"/>
    <xf numFmtId="9" fontId="10" fillId="3" borderId="0" xfId="14" applyFont="1" applyFill="1" applyBorder="1" applyAlignment="1" applyProtection="1">
      <alignment horizontal="left"/>
    </xf>
    <xf numFmtId="9" fontId="10" fillId="3" borderId="4" xfId="14" applyFont="1" applyFill="1" applyBorder="1" applyAlignment="1" applyProtection="1">
      <alignment horizontal="left"/>
    </xf>
    <xf numFmtId="9" fontId="10" fillId="8" borderId="36" xfId="14" applyFont="1" applyFill="1" applyBorder="1" applyAlignment="1" applyProtection="1">
      <alignment horizontal="center"/>
    </xf>
    <xf numFmtId="169" fontId="5" fillId="3" borderId="36" xfId="20" applyNumberFormat="1" applyFont="1" applyFill="1" applyBorder="1" applyAlignment="1" applyProtection="1">
      <alignment horizontal="center"/>
    </xf>
    <xf numFmtId="169" fontId="5" fillId="3" borderId="37" xfId="20" applyNumberFormat="1" applyFont="1" applyFill="1" applyBorder="1" applyAlignment="1" applyProtection="1">
      <alignment horizontal="center"/>
    </xf>
    <xf numFmtId="0" fontId="4" fillId="3" borderId="0" xfId="10" applyFont="1" applyFill="1" applyBorder="1" applyAlignment="1" applyProtection="1">
      <alignment horizontal="left"/>
    </xf>
    <xf numFmtId="9" fontId="4" fillId="3" borderId="0" xfId="10" applyNumberFormat="1" applyFont="1" applyFill="1" applyBorder="1" applyAlignment="1" applyProtection="1">
      <alignment horizontal="center"/>
    </xf>
    <xf numFmtId="183" fontId="4" fillId="3" borderId="16" xfId="10" applyNumberFormat="1" applyFont="1" applyFill="1" applyBorder="1" applyAlignment="1" applyProtection="1">
      <alignment horizontal="center"/>
    </xf>
    <xf numFmtId="174" fontId="4" fillId="0" borderId="0" xfId="10" applyNumberFormat="1" applyFont="1" applyFill="1" applyAlignment="1" applyProtection="1">
      <alignment horizontal="center"/>
    </xf>
    <xf numFmtId="2" fontId="4" fillId="0" borderId="0" xfId="10" applyNumberFormat="1" applyFont="1" applyFill="1" applyAlignment="1" applyProtection="1">
      <alignment horizontal="center"/>
    </xf>
    <xf numFmtId="3" fontId="4" fillId="3" borderId="37" xfId="10" applyNumberFormat="1" applyFont="1" applyFill="1" applyBorder="1" applyAlignment="1" applyProtection="1">
      <alignment horizontal="left"/>
    </xf>
    <xf numFmtId="3" fontId="4" fillId="0" borderId="0" xfId="10" applyNumberFormat="1" applyFont="1" applyFill="1" applyBorder="1" applyAlignment="1" applyProtection="1">
      <alignment horizontal="left"/>
    </xf>
    <xf numFmtId="183" fontId="4" fillId="3" borderId="30" xfId="10" applyNumberFormat="1" applyFont="1" applyFill="1" applyBorder="1" applyAlignment="1" applyProtection="1">
      <alignment horizontal="center"/>
    </xf>
    <xf numFmtId="3" fontId="4" fillId="0" borderId="0" xfId="10" applyNumberFormat="1" applyFont="1" applyFill="1" applyAlignment="1" applyProtection="1">
      <alignment horizontal="center"/>
    </xf>
    <xf numFmtId="187" fontId="4" fillId="0" borderId="28" xfId="10" applyNumberFormat="1" applyFont="1" applyFill="1" applyBorder="1" applyAlignment="1" applyProtection="1">
      <alignment horizontal="center"/>
    </xf>
    <xf numFmtId="187" fontId="4" fillId="0" borderId="29" xfId="10" applyNumberFormat="1" applyFont="1" applyFill="1" applyBorder="1" applyAlignment="1" applyProtection="1">
      <alignment horizontal="center"/>
    </xf>
    <xf numFmtId="187" fontId="4" fillId="0" borderId="18" xfId="10" applyNumberFormat="1" applyFont="1" applyFill="1" applyBorder="1" applyAlignment="1" applyProtection="1">
      <alignment horizontal="center"/>
    </xf>
    <xf numFmtId="3" fontId="4" fillId="0" borderId="0" xfId="10" applyNumberFormat="1" applyFont="1" applyFill="1" applyBorder="1" applyAlignment="1" applyProtection="1">
      <alignment horizontal="center" wrapText="1"/>
    </xf>
    <xf numFmtId="174" fontId="4" fillId="0" borderId="0" xfId="10" applyNumberFormat="1" applyFont="1" applyFill="1" applyBorder="1" applyAlignment="1" applyProtection="1">
      <alignment horizontal="center"/>
    </xf>
    <xf numFmtId="3" fontId="69" fillId="0" borderId="0" xfId="20" applyNumberFormat="1" applyFont="1" applyFill="1" applyBorder="1" applyAlignment="1" applyProtection="1">
      <alignment horizontal="left"/>
    </xf>
    <xf numFmtId="9" fontId="10" fillId="0" borderId="0" xfId="16" applyFont="1" applyFill="1" applyBorder="1" applyAlignment="1" applyProtection="1">
      <alignment horizontal="left"/>
    </xf>
    <xf numFmtId="177" fontId="19" fillId="0" borderId="0" xfId="6" applyNumberFormat="1" applyFont="1"/>
    <xf numFmtId="9" fontId="19" fillId="0" borderId="0" xfId="14" applyFont="1"/>
    <xf numFmtId="216" fontId="19" fillId="0" borderId="19" xfId="6" applyNumberFormat="1" applyFont="1" applyFill="1" applyBorder="1"/>
    <xf numFmtId="216" fontId="19" fillId="0" borderId="37" xfId="6" applyNumberFormat="1" applyFont="1" applyFill="1" applyBorder="1"/>
    <xf numFmtId="3" fontId="19" fillId="0" borderId="12" xfId="6" applyNumberFormat="1" applyFont="1" applyFill="1" applyBorder="1"/>
    <xf numFmtId="168" fontId="19" fillId="58" borderId="0" xfId="6" applyNumberFormat="1" applyFont="1" applyFill="1" applyBorder="1" applyAlignment="1">
      <alignment horizontal="center"/>
    </xf>
    <xf numFmtId="0" fontId="96" fillId="0" borderId="0" xfId="0" applyFont="1" applyAlignment="1">
      <alignment vertical="center"/>
    </xf>
    <xf numFmtId="170" fontId="65" fillId="34" borderId="0" xfId="20" applyNumberFormat="1" applyFont="1" applyFill="1" applyBorder="1" applyAlignment="1" applyProtection="1">
      <alignment horizontal="right"/>
    </xf>
    <xf numFmtId="9" fontId="10" fillId="8" borderId="35" xfId="14" applyFont="1" applyFill="1" applyBorder="1" applyAlignment="1" applyProtection="1">
      <alignment horizontal="centerContinuous"/>
    </xf>
    <xf numFmtId="0" fontId="148" fillId="59" borderId="21" xfId="10" applyFont="1" applyFill="1" applyBorder="1" applyAlignment="1" applyProtection="1">
      <alignment horizontal="center"/>
    </xf>
    <xf numFmtId="3" fontId="148" fillId="34" borderId="35" xfId="10" applyNumberFormat="1" applyFont="1" applyFill="1" applyBorder="1" applyAlignment="1" applyProtection="1">
      <alignment horizontal="center"/>
    </xf>
    <xf numFmtId="3" fontId="149" fillId="34" borderId="40" xfId="10" applyNumberFormat="1" applyFont="1" applyFill="1" applyBorder="1" applyAlignment="1" applyProtection="1">
      <alignment horizontal="center"/>
    </xf>
    <xf numFmtId="170" fontId="138" fillId="34" borderId="40" xfId="10" applyNumberFormat="1" applyFont="1" applyFill="1" applyBorder="1" applyAlignment="1" applyProtection="1">
      <alignment horizontal="center" vertical="center"/>
    </xf>
    <xf numFmtId="170" fontId="132" fillId="34" borderId="36" xfId="10" applyNumberFormat="1" applyFont="1" applyFill="1" applyBorder="1" applyAlignment="1" applyProtection="1">
      <alignment horizontal="center"/>
    </xf>
    <xf numFmtId="199" fontId="4" fillId="47" borderId="21" xfId="10" applyNumberFormat="1" applyFont="1" applyFill="1" applyBorder="1" applyAlignment="1" applyProtection="1">
      <alignment horizontal="center"/>
    </xf>
    <xf numFmtId="0" fontId="4" fillId="48" borderId="0" xfId="10" applyFont="1" applyFill="1" applyBorder="1" applyProtection="1"/>
    <xf numFmtId="210" fontId="148" fillId="51" borderId="21" xfId="10" applyNumberFormat="1" applyFont="1" applyFill="1" applyBorder="1" applyAlignment="1" applyProtection="1">
      <alignment horizontal="center"/>
    </xf>
    <xf numFmtId="189" fontId="4" fillId="47" borderId="21" xfId="10" applyNumberFormat="1" applyFont="1" applyFill="1" applyBorder="1" applyAlignment="1" applyProtection="1">
      <alignment horizontal="center"/>
    </xf>
    <xf numFmtId="0" fontId="4" fillId="47" borderId="0" xfId="10" applyFont="1" applyFill="1" applyBorder="1" applyProtection="1"/>
    <xf numFmtId="0" fontId="148" fillId="49" borderId="41" xfId="10" applyFont="1" applyFill="1" applyBorder="1" applyProtection="1"/>
    <xf numFmtId="0" fontId="148" fillId="49" borderId="12" xfId="10" applyFont="1" applyFill="1" applyBorder="1" applyAlignment="1" applyProtection="1">
      <alignment horizontal="right"/>
    </xf>
    <xf numFmtId="193" fontId="148" fillId="50" borderId="12" xfId="10" applyNumberFormat="1" applyFont="1" applyFill="1" applyBorder="1" applyAlignment="1" applyProtection="1">
      <alignment horizontal="center"/>
    </xf>
    <xf numFmtId="189" fontId="11" fillId="47" borderId="21" xfId="10" applyNumberFormat="1" applyFont="1" applyFill="1" applyBorder="1" applyAlignment="1" applyProtection="1">
      <alignment horizontal="center"/>
    </xf>
    <xf numFmtId="0" fontId="11" fillId="47" borderId="0" xfId="10" applyFont="1" applyFill="1" applyBorder="1" applyProtection="1"/>
    <xf numFmtId="4" fontId="18" fillId="0" borderId="23" xfId="10" applyNumberFormat="1" applyFont="1" applyFill="1" applyBorder="1" applyAlignment="1" applyProtection="1">
      <alignment horizontal="center"/>
      <protection locked="0"/>
    </xf>
    <xf numFmtId="0" fontId="100" fillId="54" borderId="22" xfId="10" applyNumberFormat="1" applyFont="1" applyFill="1" applyBorder="1" applyAlignment="1" applyProtection="1">
      <alignment horizontal="left"/>
    </xf>
    <xf numFmtId="0" fontId="101" fillId="54" borderId="24" xfId="10" applyNumberFormat="1" applyFont="1" applyFill="1" applyBorder="1" applyAlignment="1" applyProtection="1">
      <alignment horizontal="left"/>
    </xf>
    <xf numFmtId="0" fontId="101" fillId="54" borderId="23" xfId="10" applyNumberFormat="1" applyFont="1" applyFill="1" applyBorder="1" applyAlignment="1" applyProtection="1">
      <alignment horizontal="left"/>
    </xf>
    <xf numFmtId="9" fontId="10" fillId="8" borderId="40" xfId="14" applyFont="1" applyFill="1" applyBorder="1" applyAlignment="1" applyProtection="1">
      <alignment horizontal="centerContinuous"/>
    </xf>
    <xf numFmtId="9" fontId="10" fillId="8" borderId="36" xfId="14" applyFont="1" applyFill="1" applyBorder="1" applyAlignment="1" applyProtection="1">
      <alignment horizontal="centerContinuous"/>
    </xf>
    <xf numFmtId="0" fontId="4" fillId="0" borderId="36" xfId="10" applyFont="1" applyFill="1" applyBorder="1" applyAlignment="1" applyProtection="1">
      <alignment horizontal="center"/>
    </xf>
    <xf numFmtId="169" fontId="4" fillId="44" borderId="0" xfId="10" applyNumberFormat="1" applyFont="1" applyFill="1" applyBorder="1" applyAlignment="1" applyProtection="1">
      <alignment horizontal="center"/>
    </xf>
    <xf numFmtId="0" fontId="167" fillId="44" borderId="24" xfId="10" applyFont="1" applyFill="1" applyBorder="1" applyAlignment="1" applyProtection="1">
      <alignment horizontal="center"/>
    </xf>
    <xf numFmtId="0" fontId="148" fillId="44" borderId="24" xfId="10" applyFont="1" applyFill="1" applyBorder="1" applyAlignment="1" applyProtection="1">
      <alignment horizontal="center"/>
    </xf>
    <xf numFmtId="0" fontId="148" fillId="44" borderId="24" xfId="10" applyFont="1" applyFill="1" applyBorder="1" applyAlignment="1" applyProtection="1">
      <alignment horizontal="centerContinuous"/>
    </xf>
    <xf numFmtId="0" fontId="167" fillId="44" borderId="24" xfId="10" applyFont="1" applyFill="1" applyBorder="1" applyAlignment="1" applyProtection="1">
      <alignment horizontal="right"/>
    </xf>
    <xf numFmtId="0" fontId="171" fillId="44" borderId="24" xfId="10" applyFont="1" applyFill="1" applyBorder="1" applyAlignment="1" applyProtection="1">
      <alignment horizontal="left"/>
    </xf>
    <xf numFmtId="0" fontId="4" fillId="44" borderId="24" xfId="10" applyFont="1" applyFill="1" applyBorder="1" applyProtection="1"/>
    <xf numFmtId="9" fontId="4" fillId="44" borderId="24" xfId="10" applyNumberFormat="1" applyFont="1" applyFill="1" applyBorder="1" applyProtection="1"/>
    <xf numFmtId="229" fontId="66" fillId="47" borderId="16" xfId="10" applyNumberFormat="1" applyFont="1" applyFill="1" applyBorder="1" applyAlignment="1" applyProtection="1">
      <alignment horizontal="center"/>
    </xf>
    <xf numFmtId="0" fontId="4" fillId="0" borderId="0" xfId="6" applyFont="1" applyFill="1" applyBorder="1" applyAlignment="1">
      <alignment horizontal="centerContinuous"/>
    </xf>
    <xf numFmtId="0" fontId="4" fillId="0" borderId="0" xfId="6" applyFont="1" applyFill="1" applyBorder="1" applyAlignment="1">
      <alignment horizontal="right"/>
    </xf>
    <xf numFmtId="0" fontId="4" fillId="0" borderId="0" xfId="6" applyFont="1" applyFill="1" applyBorder="1" applyAlignment="1">
      <alignment horizontal="center"/>
    </xf>
    <xf numFmtId="168" fontId="19" fillId="58" borderId="24" xfId="6" applyNumberFormat="1" applyFont="1" applyFill="1" applyBorder="1"/>
    <xf numFmtId="0" fontId="19" fillId="58" borderId="24" xfId="6" applyFont="1" applyFill="1" applyBorder="1"/>
    <xf numFmtId="0" fontId="19" fillId="58" borderId="23" xfId="6" applyFont="1" applyFill="1" applyBorder="1" applyAlignment="1">
      <alignment horizontal="center"/>
    </xf>
    <xf numFmtId="0" fontId="19" fillId="0" borderId="24" xfId="6" applyFont="1" applyBorder="1"/>
    <xf numFmtId="2" fontId="6" fillId="0" borderId="0" xfId="13" applyNumberFormat="1" applyFont="1" applyProtection="1"/>
    <xf numFmtId="190" fontId="56" fillId="15" borderId="0" xfId="14" applyNumberFormat="1" applyFont="1" applyFill="1" applyBorder="1" applyAlignment="1" applyProtection="1">
      <alignment horizontal="center"/>
    </xf>
    <xf numFmtId="193" fontId="174" fillId="0" borderId="0" xfId="14" applyNumberFormat="1" applyFont="1" applyBorder="1" applyAlignment="1" applyProtection="1">
      <alignment horizontal="center"/>
    </xf>
    <xf numFmtId="187" fontId="175" fillId="0" borderId="0" xfId="14" applyNumberFormat="1" applyFont="1" applyBorder="1" applyAlignment="1" applyProtection="1">
      <alignment horizontal="center"/>
    </xf>
    <xf numFmtId="9" fontId="176" fillId="0" borderId="0" xfId="14" applyFont="1" applyBorder="1" applyAlignment="1" applyProtection="1">
      <alignment horizontal="center"/>
    </xf>
    <xf numFmtId="176" fontId="30" fillId="15" borderId="12" xfId="10" applyNumberFormat="1" applyFont="1" applyFill="1" applyBorder="1" applyAlignment="1" applyProtection="1">
      <alignment horizontal="center"/>
    </xf>
    <xf numFmtId="192" fontId="29" fillId="15" borderId="12" xfId="10" applyNumberFormat="1" applyFont="1" applyFill="1" applyBorder="1" applyAlignment="1" applyProtection="1">
      <alignment horizontal="center"/>
    </xf>
    <xf numFmtId="189" fontId="19" fillId="15" borderId="12" xfId="10" applyNumberFormat="1" applyFont="1" applyFill="1" applyBorder="1" applyAlignment="1" applyProtection="1">
      <alignment horizontal="center"/>
    </xf>
    <xf numFmtId="193" fontId="19" fillId="15" borderId="12" xfId="10" applyNumberFormat="1" applyFont="1" applyFill="1" applyBorder="1" applyAlignment="1" applyProtection="1">
      <alignment horizontal="center"/>
    </xf>
    <xf numFmtId="3" fontId="31" fillId="15" borderId="12" xfId="10" applyNumberFormat="1" applyFont="1" applyFill="1" applyBorder="1" applyAlignment="1" applyProtection="1">
      <alignment horizontal="center"/>
      <protection locked="0"/>
    </xf>
    <xf numFmtId="3" fontId="31" fillId="15" borderId="37" xfId="10" applyNumberFormat="1" applyFont="1" applyFill="1" applyBorder="1" applyAlignment="1" applyProtection="1">
      <alignment horizontal="center"/>
      <protection locked="0"/>
    </xf>
    <xf numFmtId="3" fontId="31" fillId="15" borderId="41" xfId="10" applyNumberFormat="1" applyFont="1" applyFill="1" applyBorder="1" applyAlignment="1" applyProtection="1">
      <alignment horizontal="center"/>
      <protection locked="0"/>
    </xf>
    <xf numFmtId="168" fontId="96" fillId="38" borderId="40" xfId="0" applyNumberFormat="1" applyFont="1" applyFill="1" applyBorder="1" applyAlignment="1">
      <alignment horizontal="center" vertical="center"/>
    </xf>
    <xf numFmtId="3" fontId="66" fillId="38" borderId="24" xfId="10" applyNumberFormat="1" applyFont="1" applyFill="1" applyBorder="1" applyAlignment="1" applyProtection="1">
      <alignment horizontal="center"/>
    </xf>
    <xf numFmtId="229" fontId="68" fillId="34" borderId="0" xfId="10" applyNumberFormat="1" applyFont="1" applyFill="1" applyBorder="1" applyAlignment="1" applyProtection="1">
      <alignment horizontal="center"/>
    </xf>
    <xf numFmtId="168" fontId="173" fillId="44" borderId="0" xfId="0" applyNumberFormat="1" applyFont="1" applyFill="1" applyBorder="1" applyAlignment="1">
      <alignment horizontal="center" vertical="center"/>
    </xf>
    <xf numFmtId="0" fontId="134" fillId="34" borderId="0" xfId="0" applyFont="1" applyFill="1" applyBorder="1"/>
    <xf numFmtId="0" fontId="4" fillId="0" borderId="40" xfId="10" applyFont="1" applyBorder="1" applyAlignment="1" applyProtection="1">
      <alignment horizontal="center"/>
    </xf>
    <xf numFmtId="169" fontId="4" fillId="0" borderId="40" xfId="10" applyNumberFormat="1" applyFont="1" applyBorder="1" applyProtection="1"/>
    <xf numFmtId="3" fontId="148" fillId="44" borderId="24" xfId="10" applyNumberFormat="1" applyFont="1" applyFill="1" applyBorder="1" applyAlignment="1" applyProtection="1">
      <alignment horizontal="center"/>
    </xf>
    <xf numFmtId="169" fontId="4" fillId="44" borderId="24" xfId="10" applyNumberFormat="1" applyFont="1" applyFill="1" applyBorder="1" applyProtection="1"/>
    <xf numFmtId="9" fontId="4" fillId="44" borderId="24" xfId="14" applyFont="1" applyFill="1" applyBorder="1" applyAlignment="1" applyProtection="1">
      <alignment horizontal="center"/>
    </xf>
    <xf numFmtId="3" fontId="149" fillId="34" borderId="40" xfId="10" applyNumberFormat="1" applyFont="1" applyFill="1" applyBorder="1" applyAlignment="1" applyProtection="1">
      <alignment horizontal="left"/>
    </xf>
    <xf numFmtId="182" fontId="19" fillId="4" borderId="41" xfId="6" applyNumberFormat="1" applyFont="1" applyFill="1" applyBorder="1" applyAlignment="1">
      <alignment horizontal="center"/>
    </xf>
    <xf numFmtId="189" fontId="19" fillId="4" borderId="37" xfId="6" applyNumberFormat="1" applyFont="1" applyFill="1" applyBorder="1" applyAlignment="1">
      <alignment horizontal="center"/>
    </xf>
    <xf numFmtId="244" fontId="19" fillId="4" borderId="37" xfId="10" applyNumberFormat="1" applyFont="1" applyFill="1" applyBorder="1" applyAlignment="1" applyProtection="1">
      <alignment horizontal="center"/>
    </xf>
    <xf numFmtId="242" fontId="19" fillId="54" borderId="16" xfId="6" applyNumberFormat="1" applyFont="1" applyFill="1" applyBorder="1" applyAlignment="1">
      <alignment horizontal="center"/>
    </xf>
    <xf numFmtId="170" fontId="19" fillId="0" borderId="0" xfId="6" applyNumberFormat="1" applyFont="1" applyBorder="1" applyAlignment="1">
      <alignment horizontal="center"/>
    </xf>
    <xf numFmtId="1" fontId="19" fillId="0" borderId="0" xfId="6" applyNumberFormat="1" applyFont="1" applyBorder="1" applyAlignment="1">
      <alignment horizontal="center"/>
    </xf>
    <xf numFmtId="209" fontId="19" fillId="4" borderId="39" xfId="10" applyNumberFormat="1" applyFont="1" applyFill="1" applyBorder="1" applyAlignment="1" applyProtection="1">
      <alignment horizontal="center"/>
    </xf>
    <xf numFmtId="216" fontId="19" fillId="17" borderId="16" xfId="6" applyNumberFormat="1" applyFont="1" applyFill="1" applyBorder="1" applyAlignment="1">
      <alignment horizontal="center"/>
    </xf>
    <xf numFmtId="168" fontId="18" fillId="4" borderId="35" xfId="6" applyNumberFormat="1" applyFont="1" applyFill="1" applyBorder="1" applyAlignment="1">
      <alignment horizontal="center"/>
    </xf>
    <xf numFmtId="168" fontId="18" fillId="4" borderId="36" xfId="6" applyNumberFormat="1" applyFont="1" applyFill="1" applyBorder="1" applyAlignment="1">
      <alignment horizontal="center"/>
    </xf>
    <xf numFmtId="0" fontId="19" fillId="47" borderId="38" xfId="6" applyFont="1" applyFill="1" applyBorder="1" applyAlignment="1">
      <alignment horizontal="center"/>
    </xf>
    <xf numFmtId="173" fontId="19" fillId="47" borderId="39" xfId="6" applyNumberFormat="1" applyFont="1" applyFill="1" applyBorder="1" applyAlignment="1">
      <alignment horizontal="center"/>
    </xf>
    <xf numFmtId="0" fontId="18" fillId="4" borderId="22" xfId="6" applyFont="1" applyFill="1" applyBorder="1" applyAlignment="1">
      <alignment horizontal="centerContinuous"/>
    </xf>
    <xf numFmtId="0" fontId="18" fillId="4" borderId="23" xfId="6" applyFont="1" applyFill="1" applyBorder="1" applyAlignment="1">
      <alignment horizontal="centerContinuous"/>
    </xf>
    <xf numFmtId="0" fontId="18" fillId="47" borderId="22" xfId="6" applyFont="1" applyFill="1" applyBorder="1" applyAlignment="1">
      <alignment horizontal="centerContinuous"/>
    </xf>
    <xf numFmtId="0" fontId="18" fillId="0" borderId="0" xfId="4" applyFont="1" applyAlignment="1">
      <alignment horizontal="left"/>
    </xf>
    <xf numFmtId="0" fontId="4" fillId="39" borderId="41" xfId="10" applyFont="1" applyFill="1" applyBorder="1" applyAlignment="1" applyProtection="1">
      <alignment horizontal="center"/>
    </xf>
    <xf numFmtId="0" fontId="4" fillId="39" borderId="39" xfId="10" applyFont="1" applyFill="1" applyBorder="1" applyAlignment="1" applyProtection="1">
      <alignment horizontal="center"/>
    </xf>
    <xf numFmtId="0" fontId="11" fillId="39" borderId="20" xfId="10" applyFont="1" applyFill="1" applyBorder="1" applyAlignment="1" applyProtection="1">
      <alignment horizontal="center"/>
    </xf>
    <xf numFmtId="0" fontId="4" fillId="39" borderId="35" xfId="10" applyFont="1" applyFill="1" applyBorder="1" applyAlignment="1" applyProtection="1">
      <alignment horizontal="center"/>
    </xf>
    <xf numFmtId="0" fontId="4" fillId="39" borderId="21" xfId="10" applyFont="1" applyFill="1" applyBorder="1" applyAlignment="1" applyProtection="1">
      <alignment horizontal="center"/>
    </xf>
    <xf numFmtId="174" fontId="11" fillId="39" borderId="40" xfId="10" applyNumberFormat="1" applyFont="1" applyFill="1" applyBorder="1" applyAlignment="1" applyProtection="1">
      <alignment horizontal="center"/>
    </xf>
    <xf numFmtId="174" fontId="11" fillId="39" borderId="0" xfId="10" applyNumberFormat="1" applyFont="1" applyFill="1" applyBorder="1" applyAlignment="1" applyProtection="1">
      <alignment horizontal="center"/>
    </xf>
    <xf numFmtId="9" fontId="10" fillId="59" borderId="0" xfId="16" applyFont="1" applyFill="1" applyBorder="1" applyAlignment="1" applyProtection="1">
      <alignment horizontal="left"/>
    </xf>
    <xf numFmtId="0" fontId="4" fillId="41" borderId="38" xfId="10" applyFont="1" applyFill="1" applyBorder="1" applyAlignment="1" applyProtection="1">
      <alignment horizontal="center"/>
    </xf>
    <xf numFmtId="0" fontId="4" fillId="41" borderId="20" xfId="10" applyFont="1" applyFill="1" applyBorder="1" applyAlignment="1" applyProtection="1">
      <alignment horizontal="center"/>
    </xf>
    <xf numFmtId="0" fontId="4" fillId="41" borderId="39" xfId="10" applyFont="1" applyFill="1" applyBorder="1" applyAlignment="1" applyProtection="1">
      <alignment horizontal="center"/>
    </xf>
    <xf numFmtId="9" fontId="4" fillId="44" borderId="0" xfId="14" applyFont="1" applyFill="1" applyBorder="1" applyAlignment="1" applyProtection="1">
      <alignment horizontal="center"/>
    </xf>
    <xf numFmtId="9" fontId="178" fillId="34" borderId="0" xfId="14" applyFont="1" applyFill="1" applyBorder="1" applyAlignment="1" applyProtection="1">
      <alignment horizontal="center"/>
    </xf>
    <xf numFmtId="169" fontId="177" fillId="34" borderId="0" xfId="10" applyNumberFormat="1" applyFont="1" applyFill="1" applyBorder="1" applyAlignment="1" applyProtection="1">
      <alignment horizontal="center"/>
    </xf>
    <xf numFmtId="172" fontId="169" fillId="34" borderId="0" xfId="10" applyNumberFormat="1" applyFont="1" applyFill="1" applyBorder="1" applyAlignment="1" applyProtection="1">
      <alignment horizontal="center"/>
    </xf>
    <xf numFmtId="240" fontId="71" fillId="34" borderId="0" xfId="10" applyNumberFormat="1" applyFont="1" applyFill="1" applyBorder="1" applyAlignment="1" applyProtection="1">
      <alignment horizontal="center"/>
    </xf>
    <xf numFmtId="241" fontId="71" fillId="34" borderId="0" xfId="10" applyNumberFormat="1" applyFont="1" applyFill="1" applyBorder="1" applyAlignment="1" applyProtection="1">
      <alignment horizontal="center"/>
    </xf>
    <xf numFmtId="229" fontId="172" fillId="34" borderId="0" xfId="10" applyNumberFormat="1" applyFont="1" applyFill="1" applyBorder="1" applyAlignment="1" applyProtection="1">
      <alignment horizontal="center"/>
    </xf>
    <xf numFmtId="171" fontId="168" fillId="34" borderId="0" xfId="10" applyNumberFormat="1" applyFont="1" applyFill="1" applyBorder="1" applyAlignment="1" applyProtection="1"/>
    <xf numFmtId="168" fontId="11" fillId="34" borderId="0" xfId="10" applyNumberFormat="1" applyFont="1" applyFill="1" applyBorder="1" applyAlignment="1" applyProtection="1">
      <alignment horizontal="left"/>
    </xf>
    <xf numFmtId="0" fontId="11" fillId="34" borderId="0" xfId="10" applyFont="1" applyFill="1" applyBorder="1" applyProtection="1"/>
    <xf numFmtId="9" fontId="11" fillId="34" borderId="0" xfId="14" applyFont="1" applyFill="1" applyBorder="1" applyAlignment="1" applyProtection="1">
      <alignment horizontal="center"/>
    </xf>
    <xf numFmtId="3" fontId="136" fillId="34" borderId="0" xfId="10" applyNumberFormat="1" applyFont="1" applyFill="1" applyBorder="1" applyAlignment="1" applyProtection="1">
      <alignment horizontal="center"/>
    </xf>
    <xf numFmtId="241" fontId="71" fillId="44" borderId="0" xfId="10" applyNumberFormat="1" applyFont="1" applyFill="1" applyBorder="1" applyAlignment="1" applyProtection="1">
      <alignment horizontal="center"/>
    </xf>
    <xf numFmtId="169" fontId="11" fillId="34" borderId="0" xfId="10" applyNumberFormat="1" applyFont="1" applyFill="1" applyBorder="1" applyAlignment="1" applyProtection="1">
      <alignment horizontal="center"/>
    </xf>
    <xf numFmtId="210" fontId="27" fillId="4" borderId="35" xfId="14" applyNumberFormat="1" applyFont="1" applyFill="1" applyBorder="1" applyAlignment="1" applyProtection="1">
      <alignment horizontal="center"/>
    </xf>
    <xf numFmtId="172" fontId="19" fillId="4" borderId="40" xfId="10" applyNumberFormat="1" applyFont="1" applyFill="1" applyBorder="1" applyAlignment="1" applyProtection="1">
      <alignment horizontal="center"/>
    </xf>
    <xf numFmtId="243" fontId="19" fillId="4" borderId="40" xfId="10" applyNumberFormat="1" applyFont="1" applyFill="1" applyBorder="1" applyAlignment="1" applyProtection="1">
      <alignment horizontal="right"/>
    </xf>
    <xf numFmtId="242" fontId="19" fillId="54" borderId="40" xfId="10" applyNumberFormat="1" applyFont="1" applyFill="1" applyBorder="1" applyAlignment="1" applyProtection="1">
      <alignment horizontal="center"/>
    </xf>
    <xf numFmtId="175" fontId="19" fillId="4" borderId="40" xfId="10" applyNumberFormat="1" applyFont="1" applyFill="1" applyBorder="1" applyAlignment="1" applyProtection="1">
      <alignment horizontal="center"/>
    </xf>
    <xf numFmtId="169" fontId="19" fillId="4" borderId="36" xfId="10" applyNumberFormat="1" applyFont="1" applyFill="1" applyBorder="1" applyAlignment="1" applyProtection="1">
      <alignment horizontal="center"/>
    </xf>
    <xf numFmtId="191" fontId="55" fillId="0" borderId="16" xfId="14" applyNumberFormat="1" applyFont="1" applyFill="1" applyBorder="1" applyAlignment="1" applyProtection="1">
      <alignment horizontal="center"/>
    </xf>
    <xf numFmtId="0" fontId="11" fillId="0" borderId="40" xfId="10" applyFont="1" applyBorder="1" applyAlignment="1" applyProtection="1">
      <alignment horizontal="center"/>
    </xf>
    <xf numFmtId="0" fontId="64" fillId="47" borderId="35" xfId="0" applyFont="1" applyFill="1" applyBorder="1" applyAlignment="1">
      <alignment horizontal="center"/>
    </xf>
    <xf numFmtId="0" fontId="79" fillId="47" borderId="40" xfId="0" applyFont="1" applyFill="1" applyBorder="1" applyAlignment="1">
      <alignment horizontal="center"/>
    </xf>
    <xf numFmtId="0" fontId="64" fillId="47" borderId="40" xfId="0" applyFont="1" applyFill="1" applyBorder="1" applyAlignment="1">
      <alignment horizontal="center"/>
    </xf>
    <xf numFmtId="216" fontId="11" fillId="47" borderId="36" xfId="10" applyNumberFormat="1" applyFont="1" applyFill="1" applyBorder="1" applyAlignment="1" applyProtection="1">
      <alignment horizontal="center"/>
    </xf>
    <xf numFmtId="0" fontId="140" fillId="24" borderId="38" xfId="10" applyFont="1" applyFill="1" applyBorder="1" applyAlignment="1" applyProtection="1">
      <alignment horizontal="center"/>
    </xf>
    <xf numFmtId="0" fontId="96" fillId="4" borderId="40" xfId="0" applyFont="1" applyFill="1" applyBorder="1" applyAlignment="1">
      <alignment horizontal="center"/>
    </xf>
    <xf numFmtId="189" fontId="81" fillId="4" borderId="41" xfId="10" applyNumberFormat="1" applyFont="1" applyFill="1" applyBorder="1" applyAlignment="1" applyProtection="1">
      <alignment horizontal="center"/>
    </xf>
    <xf numFmtId="238" fontId="29" fillId="2" borderId="12" xfId="10" applyNumberFormat="1" applyFont="1" applyFill="1" applyBorder="1" applyAlignment="1" applyProtection="1">
      <alignment horizontal="center"/>
    </xf>
    <xf numFmtId="238" fontId="19" fillId="3" borderId="12" xfId="10" applyNumberFormat="1" applyFont="1" applyFill="1" applyBorder="1" applyAlignment="1" applyProtection="1">
      <alignment horizontal="center"/>
    </xf>
    <xf numFmtId="238" fontId="19" fillId="3" borderId="37" xfId="10" applyNumberFormat="1" applyFont="1" applyFill="1" applyBorder="1" applyAlignment="1" applyProtection="1">
      <alignment horizontal="center"/>
    </xf>
    <xf numFmtId="0" fontId="40" fillId="4" borderId="39" xfId="11" applyFont="1" applyFill="1" applyBorder="1" applyAlignment="1" applyProtection="1">
      <alignment horizontal="center"/>
    </xf>
    <xf numFmtId="193" fontId="19" fillId="3" borderId="41" xfId="11" applyNumberFormat="1" applyFont="1" applyFill="1" applyBorder="1" applyAlignment="1" applyProtection="1">
      <alignment horizontal="center"/>
    </xf>
    <xf numFmtId="0" fontId="64" fillId="47" borderId="41" xfId="0" applyFont="1" applyFill="1" applyBorder="1" applyAlignment="1">
      <alignment horizontal="center"/>
    </xf>
    <xf numFmtId="0" fontId="64" fillId="47" borderId="12" xfId="0" applyFont="1" applyFill="1" applyBorder="1" applyAlignment="1">
      <alignment horizontal="center"/>
    </xf>
    <xf numFmtId="211" fontId="89" fillId="47" borderId="12" xfId="10" applyNumberFormat="1" applyFont="1" applyFill="1" applyBorder="1" applyAlignment="1" applyProtection="1">
      <alignment horizontal="center"/>
    </xf>
    <xf numFmtId="216" fontId="4" fillId="47" borderId="37" xfId="10" applyNumberFormat="1" applyFont="1" applyFill="1" applyBorder="1" applyAlignment="1" applyProtection="1">
      <alignment horizontal="center"/>
    </xf>
    <xf numFmtId="188" fontId="30" fillId="4" borderId="12" xfId="0" applyNumberFormat="1" applyFont="1" applyFill="1" applyBorder="1" applyAlignment="1">
      <alignment horizontal="center"/>
    </xf>
    <xf numFmtId="9" fontId="11" fillId="0" borderId="12" xfId="14" applyFont="1" applyBorder="1" applyAlignment="1" applyProtection="1">
      <alignment horizontal="center"/>
    </xf>
    <xf numFmtId="0" fontId="140" fillId="9" borderId="38" xfId="10" applyFont="1" applyFill="1" applyBorder="1" applyAlignment="1" applyProtection="1">
      <alignment horizontal="center"/>
    </xf>
    <xf numFmtId="169" fontId="11" fillId="0" borderId="40" xfId="10" applyNumberFormat="1" applyFont="1" applyBorder="1" applyProtection="1"/>
    <xf numFmtId="0" fontId="11" fillId="0" borderId="40" xfId="10" applyFont="1" applyBorder="1" applyProtection="1"/>
    <xf numFmtId="0" fontId="140" fillId="23" borderId="38" xfId="10" applyFont="1" applyFill="1" applyBorder="1" applyAlignment="1" applyProtection="1">
      <alignment horizontal="center"/>
    </xf>
    <xf numFmtId="0" fontId="66" fillId="4" borderId="23" xfId="10" applyFont="1" applyFill="1" applyBorder="1" applyAlignment="1" applyProtection="1">
      <alignment horizontal="center"/>
    </xf>
    <xf numFmtId="169" fontId="11" fillId="0" borderId="12" xfId="10" applyNumberFormat="1" applyFont="1" applyBorder="1" applyProtection="1"/>
    <xf numFmtId="0" fontId="11" fillId="0" borderId="12" xfId="10" applyFont="1" applyBorder="1" applyProtection="1"/>
    <xf numFmtId="169" fontId="150" fillId="44" borderId="0" xfId="10" applyNumberFormat="1" applyFont="1" applyFill="1" applyBorder="1" applyAlignment="1" applyProtection="1"/>
    <xf numFmtId="175" fontId="148" fillId="44" borderId="0" xfId="14" applyNumberFormat="1" applyFont="1" applyFill="1" applyBorder="1" applyAlignment="1" applyProtection="1">
      <alignment horizontal="center"/>
    </xf>
    <xf numFmtId="170" fontId="11" fillId="0" borderId="0" xfId="10" applyNumberFormat="1" applyFont="1" applyFill="1" applyBorder="1" applyAlignment="1" applyProtection="1">
      <alignment horizontal="center"/>
    </xf>
    <xf numFmtId="183" fontId="19" fillId="0" borderId="85" xfId="14" applyNumberFormat="1" applyFont="1" applyBorder="1" applyAlignment="1" applyProtection="1">
      <alignment horizontal="center"/>
    </xf>
    <xf numFmtId="183" fontId="19" fillId="0" borderId="86" xfId="14" applyNumberFormat="1" applyFont="1" applyBorder="1" applyAlignment="1" applyProtection="1">
      <alignment horizontal="center"/>
    </xf>
    <xf numFmtId="183" fontId="19" fillId="0" borderId="87" xfId="14" applyNumberFormat="1" applyFont="1" applyBorder="1" applyAlignment="1" applyProtection="1">
      <alignment horizontal="center"/>
    </xf>
    <xf numFmtId="193" fontId="4" fillId="39" borderId="36" xfId="14" applyNumberFormat="1" applyFont="1" applyFill="1" applyBorder="1" applyAlignment="1" applyProtection="1">
      <alignment horizontal="center"/>
    </xf>
    <xf numFmtId="0" fontId="19" fillId="0" borderId="84" xfId="10" applyFont="1" applyBorder="1" applyAlignment="1" applyProtection="1">
      <alignment horizontal="center"/>
    </xf>
    <xf numFmtId="0" fontId="4" fillId="0" borderId="88" xfId="14" applyNumberFormat="1" applyFont="1" applyBorder="1" applyAlignment="1" applyProtection="1">
      <alignment horizontal="center"/>
    </xf>
    <xf numFmtId="0" fontId="4" fillId="0" borderId="89" xfId="14" applyNumberFormat="1" applyFont="1" applyBorder="1" applyAlignment="1" applyProtection="1">
      <alignment horizontal="center"/>
    </xf>
    <xf numFmtId="210" fontId="148" fillId="50" borderId="37" xfId="14" applyNumberFormat="1" applyFont="1" applyFill="1" applyBorder="1" applyAlignment="1" applyProtection="1">
      <alignment horizontal="center"/>
    </xf>
    <xf numFmtId="242" fontId="19" fillId="54" borderId="16" xfId="10" applyNumberFormat="1" applyFont="1" applyFill="1" applyBorder="1" applyAlignment="1" applyProtection="1">
      <alignment horizontal="center"/>
    </xf>
    <xf numFmtId="167" fontId="55" fillId="10" borderId="35" xfId="10" applyNumberFormat="1" applyFont="1" applyFill="1" applyBorder="1" applyAlignment="1" applyProtection="1">
      <alignment horizontal="center"/>
    </xf>
    <xf numFmtId="167" fontId="52" fillId="10" borderId="16" xfId="10" applyNumberFormat="1" applyFont="1" applyFill="1" applyBorder="1" applyAlignment="1" applyProtection="1">
      <alignment horizontal="center"/>
    </xf>
    <xf numFmtId="0" fontId="148" fillId="59" borderId="0" xfId="10" applyFont="1" applyFill="1" applyBorder="1" applyAlignment="1" applyProtection="1">
      <alignment horizontal="center"/>
    </xf>
    <xf numFmtId="0" fontId="19" fillId="38" borderId="38" xfId="10" applyFont="1" applyFill="1" applyBorder="1" applyAlignment="1" applyProtection="1">
      <alignment horizontal="center"/>
    </xf>
    <xf numFmtId="0" fontId="19" fillId="38" borderId="20" xfId="10" applyFont="1" applyFill="1" applyBorder="1" applyAlignment="1" applyProtection="1">
      <alignment horizontal="center"/>
    </xf>
    <xf numFmtId="0" fontId="19" fillId="38" borderId="39" xfId="10" applyFont="1" applyFill="1" applyBorder="1" applyAlignment="1" applyProtection="1">
      <alignment horizontal="center"/>
    </xf>
    <xf numFmtId="0" fontId="4" fillId="61" borderId="35" xfId="10" applyFont="1" applyFill="1" applyBorder="1" applyAlignment="1" applyProtection="1">
      <alignment horizontal="center"/>
    </xf>
    <xf numFmtId="9" fontId="4" fillId="61" borderId="38" xfId="14" applyFont="1" applyFill="1" applyBorder="1" applyAlignment="1" applyProtection="1">
      <alignment horizontal="center"/>
    </xf>
    <xf numFmtId="9" fontId="4" fillId="61" borderId="39" xfId="14" applyFont="1" applyFill="1" applyBorder="1" applyAlignment="1" applyProtection="1">
      <alignment horizontal="center"/>
    </xf>
    <xf numFmtId="0" fontId="10" fillId="8" borderId="38" xfId="10" applyFont="1" applyFill="1" applyBorder="1" applyAlignment="1" applyProtection="1">
      <alignment horizontal="centerContinuous"/>
    </xf>
    <xf numFmtId="2" fontId="4" fillId="41" borderId="20" xfId="10" applyNumberFormat="1" applyFont="1" applyFill="1" applyBorder="1" applyAlignment="1" applyProtection="1">
      <alignment horizontal="center"/>
    </xf>
    <xf numFmtId="2" fontId="4" fillId="41" borderId="39" xfId="10" applyNumberFormat="1" applyFont="1" applyFill="1" applyBorder="1" applyAlignment="1" applyProtection="1">
      <alignment horizontal="center"/>
    </xf>
    <xf numFmtId="1" fontId="4" fillId="41" borderId="20" xfId="10" applyNumberFormat="1" applyFont="1" applyFill="1" applyBorder="1" applyAlignment="1" applyProtection="1">
      <alignment horizontal="center"/>
    </xf>
    <xf numFmtId="0" fontId="148" fillId="59" borderId="38" xfId="10" applyFont="1" applyFill="1" applyBorder="1" applyAlignment="1" applyProtection="1">
      <alignment horizontal="center"/>
    </xf>
    <xf numFmtId="4" fontId="4" fillId="41" borderId="20" xfId="10" applyNumberFormat="1" applyFont="1" applyFill="1" applyBorder="1" applyAlignment="1" applyProtection="1">
      <alignment horizontal="center"/>
    </xf>
    <xf numFmtId="174" fontId="11" fillId="39" borderId="12" xfId="10" applyNumberFormat="1" applyFont="1" applyFill="1" applyBorder="1" applyAlignment="1" applyProtection="1">
      <alignment horizontal="center"/>
    </xf>
    <xf numFmtId="0" fontId="10" fillId="0" borderId="0" xfId="10" applyFont="1" applyFill="1" applyBorder="1" applyAlignment="1" applyProtection="1">
      <alignment horizontal="centerContinuous"/>
    </xf>
    <xf numFmtId="0" fontId="10" fillId="8" borderId="35" xfId="10" applyFont="1" applyFill="1" applyBorder="1" applyAlignment="1" applyProtection="1">
      <alignment horizontal="centerContinuous"/>
    </xf>
    <xf numFmtId="0" fontId="148" fillId="59" borderId="19" xfId="10" applyFont="1" applyFill="1" applyBorder="1" applyAlignment="1" applyProtection="1">
      <alignment horizontal="center"/>
    </xf>
    <xf numFmtId="0" fontId="18" fillId="47" borderId="40" xfId="6" applyFont="1" applyFill="1" applyBorder="1" applyAlignment="1">
      <alignment horizontal="centerContinuous"/>
    </xf>
    <xf numFmtId="0" fontId="18" fillId="47" borderId="0" xfId="6" applyFont="1" applyFill="1" applyBorder="1" applyAlignment="1">
      <alignment horizontal="center"/>
    </xf>
    <xf numFmtId="3" fontId="19" fillId="47" borderId="0" xfId="6" applyNumberFormat="1" applyFont="1" applyFill="1" applyBorder="1" applyAlignment="1">
      <alignment horizontal="center"/>
    </xf>
    <xf numFmtId="3" fontId="19" fillId="47" borderId="12" xfId="6" applyNumberFormat="1" applyFont="1" applyFill="1" applyBorder="1" applyAlignment="1">
      <alignment horizontal="center"/>
    </xf>
    <xf numFmtId="0" fontId="18" fillId="47" borderId="24" xfId="6" applyFont="1" applyFill="1" applyBorder="1" applyAlignment="1">
      <alignment horizontal="centerContinuous"/>
    </xf>
    <xf numFmtId="189" fontId="19" fillId="4" borderId="12" xfId="6" applyNumberFormat="1" applyFont="1" applyFill="1" applyBorder="1" applyAlignment="1">
      <alignment horizontal="center"/>
    </xf>
    <xf numFmtId="0" fontId="19" fillId="38" borderId="38" xfId="6" applyFont="1" applyFill="1" applyBorder="1"/>
    <xf numFmtId="0" fontId="19" fillId="38" borderId="20" xfId="6" applyFont="1" applyFill="1" applyBorder="1"/>
    <xf numFmtId="0" fontId="163" fillId="38" borderId="20" xfId="0" applyFont="1" applyFill="1" applyBorder="1" applyAlignment="1">
      <alignment vertical="center" wrapText="1"/>
    </xf>
    <xf numFmtId="0" fontId="164" fillId="38" borderId="20" xfId="0" applyFont="1" applyFill="1" applyBorder="1" applyAlignment="1">
      <alignment vertical="center" wrapText="1"/>
    </xf>
    <xf numFmtId="0" fontId="19" fillId="38" borderId="39" xfId="6" applyFont="1" applyFill="1" applyBorder="1"/>
    <xf numFmtId="4" fontId="66" fillId="47" borderId="39" xfId="10" applyNumberFormat="1" applyFont="1" applyFill="1" applyBorder="1" applyAlignment="1" applyProtection="1">
      <alignment horizontal="center"/>
    </xf>
    <xf numFmtId="3" fontId="9" fillId="47" borderId="22" xfId="10" applyNumberFormat="1" applyFont="1" applyFill="1" applyBorder="1" applyAlignment="1" applyProtection="1">
      <alignment horizontal="center"/>
    </xf>
    <xf numFmtId="3" fontId="9" fillId="47" borderId="23" xfId="10" applyNumberFormat="1" applyFont="1" applyFill="1" applyBorder="1" applyAlignment="1" applyProtection="1">
      <alignment horizontal="left"/>
    </xf>
    <xf numFmtId="3" fontId="9" fillId="47" borderId="22" xfId="10" applyNumberFormat="1" applyFont="1" applyFill="1" applyBorder="1" applyAlignment="1" applyProtection="1"/>
    <xf numFmtId="0" fontId="179" fillId="38" borderId="22" xfId="0" applyFont="1" applyFill="1" applyBorder="1" applyAlignment="1">
      <alignment vertical="center"/>
    </xf>
    <xf numFmtId="0" fontId="86" fillId="38" borderId="24" xfId="6" applyFont="1" applyFill="1" applyBorder="1"/>
    <xf numFmtId="0" fontId="18" fillId="38" borderId="24" xfId="6" applyFont="1" applyFill="1" applyBorder="1" applyAlignment="1">
      <alignment horizontal="right"/>
    </xf>
    <xf numFmtId="193" fontId="180" fillId="58" borderId="24" xfId="0" applyNumberFormat="1" applyFont="1" applyFill="1" applyBorder="1" applyAlignment="1">
      <alignment horizontal="centerContinuous" vertical="center" wrapText="1"/>
    </xf>
    <xf numFmtId="172" fontId="180" fillId="58" borderId="24" xfId="0" applyNumberFormat="1" applyFont="1" applyFill="1" applyBorder="1" applyAlignment="1">
      <alignment horizontal="center" vertical="center" wrapText="1"/>
    </xf>
    <xf numFmtId="242" fontId="180" fillId="58" borderId="24" xfId="0" applyNumberFormat="1" applyFont="1" applyFill="1" applyBorder="1" applyAlignment="1">
      <alignment horizontal="center" vertical="center" wrapText="1"/>
    </xf>
    <xf numFmtId="209" fontId="180" fillId="58" borderId="24" xfId="0" applyNumberFormat="1" applyFont="1" applyFill="1" applyBorder="1" applyAlignment="1">
      <alignment horizontal="center" vertical="center" wrapText="1"/>
    </xf>
    <xf numFmtId="243" fontId="180" fillId="58" borderId="24" xfId="0" applyNumberFormat="1" applyFont="1" applyFill="1" applyBorder="1" applyAlignment="1">
      <alignment horizontal="centerContinuous" vertical="center" wrapText="1"/>
    </xf>
    <xf numFmtId="2" fontId="181" fillId="47" borderId="16" xfId="6" applyNumberFormat="1" applyFont="1" applyFill="1" applyBorder="1" applyAlignment="1">
      <alignment horizontal="center"/>
    </xf>
    <xf numFmtId="239" fontId="4" fillId="41" borderId="38" xfId="10" applyNumberFormat="1" applyFont="1" applyFill="1" applyBorder="1" applyAlignment="1" applyProtection="1">
      <alignment horizontal="center"/>
    </xf>
    <xf numFmtId="1" fontId="4" fillId="41" borderId="38" xfId="10" applyNumberFormat="1" applyFont="1" applyFill="1" applyBorder="1" applyAlignment="1" applyProtection="1">
      <alignment horizontal="center"/>
    </xf>
    <xf numFmtId="1" fontId="4" fillId="41" borderId="39" xfId="10" applyNumberFormat="1" applyFont="1" applyFill="1" applyBorder="1" applyAlignment="1" applyProtection="1">
      <alignment horizontal="center"/>
    </xf>
    <xf numFmtId="187" fontId="182" fillId="4" borderId="12" xfId="10" applyNumberFormat="1" applyFont="1" applyFill="1" applyBorder="1" applyAlignment="1" applyProtection="1">
      <alignment horizontal="center"/>
    </xf>
    <xf numFmtId="170" fontId="183" fillId="12" borderId="39" xfId="13" applyNumberFormat="1" applyFont="1" applyFill="1" applyBorder="1" applyAlignment="1" applyProtection="1">
      <alignment horizontal="centerContinuous"/>
    </xf>
    <xf numFmtId="167" fontId="4" fillId="0" borderId="0" xfId="10" applyNumberFormat="1" applyFont="1" applyAlignment="1" applyProtection="1">
      <alignment horizontal="center"/>
    </xf>
    <xf numFmtId="0" fontId="19" fillId="38" borderId="16" xfId="6" applyFont="1" applyFill="1" applyBorder="1" applyAlignment="1">
      <alignment horizontal="center"/>
    </xf>
    <xf numFmtId="0" fontId="4" fillId="38" borderId="0" xfId="10" applyFont="1" applyFill="1" applyBorder="1" applyAlignment="1" applyProtection="1">
      <alignment horizontal="center"/>
    </xf>
    <xf numFmtId="0" fontId="145" fillId="0" borderId="0" xfId="4" applyFont="1"/>
    <xf numFmtId="168" fontId="180" fillId="58" borderId="24" xfId="0" applyNumberFormat="1" applyFont="1" applyFill="1" applyBorder="1" applyAlignment="1">
      <alignment horizontal="centerContinuous" vertical="center" wrapText="1"/>
    </xf>
    <xf numFmtId="0" fontId="4" fillId="0" borderId="16" xfId="0" applyFont="1" applyFill="1" applyBorder="1" applyAlignment="1" applyProtection="1">
      <alignment horizontal="center"/>
    </xf>
    <xf numFmtId="0" fontId="184" fillId="39" borderId="16" xfId="0" applyFont="1" applyFill="1" applyBorder="1" applyAlignment="1">
      <alignment horizontal="center" vertical="center"/>
    </xf>
    <xf numFmtId="0" fontId="18" fillId="3" borderId="40" xfId="0" applyFont="1" applyFill="1" applyBorder="1" applyAlignment="1" applyProtection="1">
      <alignment horizontal="right"/>
    </xf>
    <xf numFmtId="0" fontId="19" fillId="58" borderId="24" xfId="6" applyFont="1" applyFill="1" applyBorder="1" applyAlignment="1">
      <alignment horizontal="centerContinuous"/>
    </xf>
    <xf numFmtId="2" fontId="19" fillId="0" borderId="0" xfId="6" applyNumberFormat="1" applyFont="1" applyAlignment="1">
      <alignment horizontal="center"/>
    </xf>
    <xf numFmtId="3" fontId="19" fillId="0" borderId="0" xfId="6" applyNumberFormat="1" applyFont="1" applyAlignment="1">
      <alignment horizontal="center"/>
    </xf>
    <xf numFmtId="0" fontId="19" fillId="0" borderId="0" xfId="6" applyFont="1" applyAlignment="1">
      <alignment horizontal="right"/>
    </xf>
    <xf numFmtId="245" fontId="19" fillId="0" borderId="0" xfId="4" applyNumberFormat="1" applyFont="1" applyProtection="1"/>
    <xf numFmtId="168" fontId="14" fillId="0" borderId="0" xfId="14" applyNumberFormat="1" applyFont="1" applyBorder="1" applyAlignment="1" applyProtection="1">
      <alignment horizontal="center"/>
    </xf>
    <xf numFmtId="170" fontId="4" fillId="0" borderId="0" xfId="10" applyNumberFormat="1" applyFont="1" applyFill="1" applyBorder="1" applyAlignment="1" applyProtection="1"/>
    <xf numFmtId="0" fontId="132" fillId="53" borderId="0" xfId="10" applyFont="1" applyFill="1" applyBorder="1" applyProtection="1">
      <protection locked="0"/>
    </xf>
    <xf numFmtId="3" fontId="18" fillId="39" borderId="12" xfId="20" applyNumberFormat="1" applyFont="1" applyFill="1" applyBorder="1" applyAlignment="1" applyProtection="1">
      <alignment horizontal="center"/>
    </xf>
    <xf numFmtId="0" fontId="132" fillId="42" borderId="21" xfId="10" applyFont="1" applyFill="1" applyBorder="1" applyProtection="1"/>
    <xf numFmtId="3" fontId="30" fillId="2" borderId="21" xfId="20" applyNumberFormat="1" applyFont="1" applyFill="1" applyBorder="1" applyAlignment="1" applyProtection="1">
      <alignment horizontal="center"/>
    </xf>
    <xf numFmtId="3" fontId="30" fillId="3" borderId="41" xfId="20" applyNumberFormat="1" applyFont="1" applyFill="1" applyBorder="1" applyAlignment="1" applyProtection="1">
      <alignment horizontal="center"/>
    </xf>
    <xf numFmtId="3" fontId="30" fillId="42" borderId="38" xfId="20" applyNumberFormat="1" applyFont="1" applyFill="1" applyBorder="1" applyAlignment="1" applyProtection="1">
      <alignment horizontal="center"/>
    </xf>
    <xf numFmtId="3" fontId="30" fillId="11" borderId="20" xfId="20" applyNumberFormat="1" applyFont="1" applyFill="1" applyBorder="1" applyAlignment="1" applyProtection="1">
      <alignment horizontal="center"/>
      <protection locked="0"/>
    </xf>
    <xf numFmtId="3" fontId="30" fillId="42" borderId="20" xfId="20" applyNumberFormat="1" applyFont="1" applyFill="1" applyBorder="1" applyAlignment="1" applyProtection="1">
      <alignment horizontal="center"/>
    </xf>
    <xf numFmtId="3" fontId="30" fillId="2" borderId="20" xfId="20" applyNumberFormat="1" applyFont="1" applyFill="1" applyBorder="1" applyAlignment="1" applyProtection="1">
      <alignment horizontal="center"/>
    </xf>
    <xf numFmtId="3" fontId="30" fillId="3" borderId="39" xfId="20" applyNumberFormat="1" applyFont="1" applyFill="1" applyBorder="1" applyAlignment="1" applyProtection="1">
      <alignment horizontal="center"/>
    </xf>
    <xf numFmtId="3" fontId="18" fillId="39" borderId="22" xfId="20" applyNumberFormat="1" applyFont="1" applyFill="1" applyBorder="1" applyAlignment="1" applyProtection="1">
      <alignment horizontal="center"/>
    </xf>
    <xf numFmtId="3" fontId="18" fillId="39" borderId="23" xfId="20" applyNumberFormat="1" applyFont="1" applyFill="1" applyBorder="1" applyAlignment="1" applyProtection="1">
      <alignment horizontal="center"/>
    </xf>
    <xf numFmtId="0" fontId="96" fillId="0" borderId="0" xfId="0" applyFont="1" applyFill="1" applyAlignment="1">
      <alignment vertical="center"/>
    </xf>
    <xf numFmtId="0" fontId="6" fillId="3" borderId="40" xfId="13" applyFont="1" applyFill="1" applyBorder="1" applyAlignment="1" applyProtection="1">
      <alignment horizontal="centerContinuous" vertical="center"/>
    </xf>
    <xf numFmtId="0" fontId="96" fillId="41" borderId="19" xfId="0" applyFont="1" applyFill="1" applyBorder="1" applyAlignment="1">
      <alignment horizontal="center" vertical="center"/>
    </xf>
    <xf numFmtId="0" fontId="132" fillId="42" borderId="19" xfId="10" applyFont="1" applyFill="1" applyBorder="1" applyAlignment="1" applyProtection="1">
      <alignment horizontal="center"/>
    </xf>
    <xf numFmtId="169" fontId="5" fillId="3" borderId="24" xfId="10" applyNumberFormat="1" applyFont="1" applyFill="1" applyBorder="1" applyAlignment="1" applyProtection="1">
      <alignment horizontal="center"/>
    </xf>
    <xf numFmtId="3" fontId="30" fillId="42" borderId="40" xfId="20" applyNumberFormat="1" applyFont="1" applyFill="1" applyBorder="1" applyAlignment="1" applyProtection="1">
      <alignment horizontal="center"/>
    </xf>
    <xf numFmtId="3" fontId="18" fillId="39" borderId="38" xfId="20" applyNumberFormat="1" applyFont="1" applyFill="1" applyBorder="1" applyAlignment="1" applyProtection="1">
      <alignment horizontal="centerContinuous"/>
    </xf>
    <xf numFmtId="3" fontId="18" fillId="39" borderId="36" xfId="20" applyNumberFormat="1" applyFont="1" applyFill="1" applyBorder="1" applyAlignment="1" applyProtection="1">
      <alignment horizontal="centerContinuous"/>
    </xf>
    <xf numFmtId="0" fontId="132" fillId="41" borderId="21" xfId="10" applyFont="1" applyFill="1" applyBorder="1" applyAlignment="1" applyProtection="1">
      <alignment horizontal="center"/>
      <protection locked="0"/>
    </xf>
    <xf numFmtId="0" fontId="132" fillId="42" borderId="21" xfId="10" applyFont="1" applyFill="1" applyBorder="1" applyAlignment="1" applyProtection="1">
      <alignment horizontal="center"/>
    </xf>
    <xf numFmtId="193" fontId="4" fillId="39" borderId="16" xfId="14" applyNumberFormat="1" applyFont="1" applyFill="1" applyBorder="1" applyAlignment="1" applyProtection="1">
      <alignment horizontal="center"/>
    </xf>
    <xf numFmtId="167" fontId="32" fillId="10" borderId="35" xfId="10" applyNumberFormat="1" applyFont="1" applyFill="1" applyBorder="1" applyAlignment="1" applyProtection="1">
      <alignment horizontal="center"/>
    </xf>
    <xf numFmtId="169" fontId="150" fillId="44" borderId="21" xfId="10" applyNumberFormat="1" applyFont="1" applyFill="1" applyBorder="1" applyAlignment="1" applyProtection="1"/>
    <xf numFmtId="175" fontId="148" fillId="44" borderId="19" xfId="14" applyNumberFormat="1" applyFont="1" applyFill="1" applyBorder="1" applyAlignment="1" applyProtection="1">
      <alignment horizontal="center"/>
    </xf>
    <xf numFmtId="169" fontId="150" fillId="44" borderId="41" xfId="10" applyNumberFormat="1" applyFont="1" applyFill="1" applyBorder="1" applyAlignment="1" applyProtection="1"/>
    <xf numFmtId="169" fontId="150" fillId="44" borderId="12" xfId="10" applyNumberFormat="1" applyFont="1" applyFill="1" applyBorder="1" applyAlignment="1" applyProtection="1"/>
    <xf numFmtId="4" fontId="7" fillId="3" borderId="35" xfId="2" applyNumberFormat="1" applyFill="1" applyBorder="1" applyAlignment="1" applyProtection="1">
      <alignment horizontal="left"/>
    </xf>
    <xf numFmtId="4" fontId="7" fillId="3" borderId="38" xfId="2" applyNumberFormat="1" applyFill="1" applyBorder="1" applyAlignment="1" applyProtection="1">
      <alignment horizontal="left"/>
    </xf>
    <xf numFmtId="0" fontId="7" fillId="3" borderId="19" xfId="2" applyFill="1" applyBorder="1" applyAlignment="1" applyProtection="1">
      <alignment horizontal="left"/>
    </xf>
    <xf numFmtId="3" fontId="7" fillId="3" borderId="12" xfId="2" applyNumberFormat="1" applyFill="1" applyBorder="1" applyAlignment="1" applyProtection="1">
      <alignment horizontal="center" vertical="center"/>
      <protection locked="0"/>
    </xf>
    <xf numFmtId="4" fontId="22" fillId="3" borderId="12" xfId="20" applyNumberFormat="1" applyFont="1" applyFill="1" applyBorder="1" applyAlignment="1" applyProtection="1">
      <alignment vertical="center"/>
    </xf>
    <xf numFmtId="0" fontId="185" fillId="34" borderId="40" xfId="2" applyFont="1" applyFill="1" applyBorder="1" applyAlignment="1" applyProtection="1"/>
    <xf numFmtId="4" fontId="7" fillId="3" borderId="21" xfId="2" applyNumberFormat="1" applyFill="1" applyBorder="1" applyAlignment="1" applyProtection="1">
      <alignment horizontal="right" vertical="center"/>
    </xf>
    <xf numFmtId="168" fontId="144" fillId="10" borderId="0" xfId="6" applyNumberFormat="1" applyFont="1" applyFill="1" applyBorder="1" applyAlignment="1">
      <alignment horizontal="center"/>
    </xf>
    <xf numFmtId="168" fontId="144" fillId="38" borderId="0" xfId="6" applyNumberFormat="1" applyFont="1" applyFill="1" applyBorder="1" applyAlignment="1">
      <alignment horizontal="center"/>
    </xf>
    <xf numFmtId="170" fontId="144" fillId="0" borderId="0" xfId="10" applyNumberFormat="1" applyFont="1" applyFill="1" applyBorder="1" applyAlignment="1" applyProtection="1">
      <alignment horizontal="center"/>
    </xf>
    <xf numFmtId="218" fontId="144" fillId="0" borderId="0" xfId="6" applyNumberFormat="1" applyFont="1" applyBorder="1" applyAlignment="1">
      <alignment horizontal="center"/>
    </xf>
    <xf numFmtId="0" fontId="19" fillId="0" borderId="16" xfId="6" applyFont="1" applyFill="1" applyBorder="1" applyAlignment="1">
      <alignment horizontal="center"/>
    </xf>
    <xf numFmtId="0" fontId="186" fillId="41" borderId="16" xfId="6" applyFont="1" applyFill="1" applyBorder="1" applyAlignment="1">
      <alignment horizontal="right"/>
    </xf>
    <xf numFmtId="246" fontId="19" fillId="0" borderId="0" xfId="6" applyNumberFormat="1" applyFont="1"/>
    <xf numFmtId="0" fontId="111" fillId="3" borderId="12" xfId="13" applyFont="1" applyFill="1" applyBorder="1" applyAlignment="1" applyProtection="1">
      <alignment horizontal="center"/>
    </xf>
    <xf numFmtId="0" fontId="111" fillId="3" borderId="37" xfId="13" applyFont="1" applyFill="1" applyBorder="1" applyAlignment="1" applyProtection="1">
      <alignment horizontal="center"/>
    </xf>
    <xf numFmtId="168" fontId="6" fillId="3" borderId="36" xfId="13" applyNumberFormat="1" applyFont="1" applyFill="1" applyBorder="1" applyAlignment="1" applyProtection="1">
      <alignment horizontal="center"/>
    </xf>
    <xf numFmtId="168" fontId="19" fillId="0" borderId="0" xfId="11" applyNumberFormat="1" applyFont="1" applyFill="1" applyBorder="1" applyAlignment="1" applyProtection="1">
      <alignment horizontal="left"/>
    </xf>
    <xf numFmtId="0" fontId="18" fillId="0" borderId="0" xfId="13" applyFont="1" applyFill="1" applyBorder="1" applyAlignment="1" applyProtection="1">
      <alignment horizontal="centerContinuous" vertical="center"/>
    </xf>
    <xf numFmtId="168" fontId="6" fillId="0" borderId="0" xfId="13" applyNumberFormat="1" applyFont="1" applyProtection="1"/>
    <xf numFmtId="192" fontId="16" fillId="0" borderId="0" xfId="13" applyNumberFormat="1" applyFont="1" applyFill="1" applyBorder="1" applyAlignment="1" applyProtection="1">
      <alignment vertical="center"/>
    </xf>
    <xf numFmtId="170" fontId="18" fillId="0" borderId="0" xfId="11" applyNumberFormat="1" applyFont="1" applyFill="1" applyBorder="1" applyAlignment="1" applyProtection="1"/>
    <xf numFmtId="167" fontId="144" fillId="0" borderId="19" xfId="13" applyNumberFormat="1" applyFont="1" applyBorder="1" applyAlignment="1" applyProtection="1">
      <alignment horizontal="center"/>
    </xf>
    <xf numFmtId="167" fontId="144" fillId="0" borderId="0" xfId="13" applyNumberFormat="1" applyFont="1" applyBorder="1" applyAlignment="1" applyProtection="1">
      <alignment horizontal="center"/>
    </xf>
    <xf numFmtId="167" fontId="145" fillId="0" borderId="0" xfId="13" applyNumberFormat="1" applyFont="1" applyFill="1" applyBorder="1" applyAlignment="1" applyProtection="1">
      <alignment horizontal="center"/>
    </xf>
    <xf numFmtId="167" fontId="145" fillId="0" borderId="0" xfId="13" applyNumberFormat="1" applyFont="1" applyBorder="1" applyAlignment="1" applyProtection="1">
      <alignment horizontal="center"/>
    </xf>
    <xf numFmtId="0" fontId="87" fillId="12" borderId="35" xfId="13" applyFont="1" applyFill="1" applyBorder="1" applyAlignment="1" applyProtection="1">
      <alignment horizontal="right"/>
    </xf>
    <xf numFmtId="0" fontId="87" fillId="12" borderId="21" xfId="13" applyFont="1" applyFill="1" applyBorder="1" applyAlignment="1" applyProtection="1">
      <alignment horizontal="right"/>
    </xf>
    <xf numFmtId="0" fontId="87" fillId="12" borderId="41" xfId="13" applyFont="1" applyFill="1" applyBorder="1" applyAlignment="1" applyProtection="1">
      <alignment horizontal="right"/>
    </xf>
    <xf numFmtId="0" fontId="150" fillId="12" borderId="21" xfId="13" applyFont="1" applyFill="1" applyBorder="1" applyProtection="1"/>
    <xf numFmtId="168" fontId="124" fillId="12" borderId="19" xfId="13" applyNumberFormat="1" applyFont="1" applyFill="1" applyBorder="1" applyProtection="1"/>
    <xf numFmtId="0" fontId="16" fillId="0" borderId="0" xfId="13" applyFont="1" applyFill="1" applyBorder="1" applyAlignment="1" applyProtection="1">
      <alignment horizontal="center"/>
    </xf>
    <xf numFmtId="170" fontId="16" fillId="0" borderId="0" xfId="13" applyNumberFormat="1" applyFont="1" applyFill="1" applyBorder="1" applyAlignment="1" applyProtection="1">
      <alignment horizontal="center"/>
    </xf>
    <xf numFmtId="0" fontId="87" fillId="0" borderId="0" xfId="13" applyFont="1" applyFill="1" applyBorder="1" applyAlignment="1" applyProtection="1">
      <alignment horizontal="right"/>
    </xf>
    <xf numFmtId="192" fontId="87" fillId="0" borderId="0" xfId="11" applyNumberFormat="1" applyFont="1" applyFill="1" applyBorder="1" applyAlignment="1" applyProtection="1">
      <alignment horizontal="left"/>
    </xf>
    <xf numFmtId="0" fontId="144" fillId="0" borderId="0" xfId="4" applyFont="1"/>
    <xf numFmtId="192" fontId="19" fillId="42" borderId="36" xfId="6" applyNumberFormat="1" applyFont="1" applyFill="1" applyBorder="1" applyAlignment="1">
      <alignment horizontal="left"/>
    </xf>
    <xf numFmtId="247" fontId="19" fillId="0" borderId="0" xfId="6" applyNumberFormat="1" applyFont="1"/>
    <xf numFmtId="0" fontId="19" fillId="0" borderId="23" xfId="6" applyFont="1" applyBorder="1" applyAlignment="1">
      <alignment horizontal="center"/>
    </xf>
    <xf numFmtId="0" fontId="187" fillId="0" borderId="0" xfId="13" applyFont="1" applyAlignment="1" applyProtection="1">
      <alignment horizontal="center"/>
    </xf>
    <xf numFmtId="168" fontId="188" fillId="0" borderId="0" xfId="14" applyNumberFormat="1" applyFont="1"/>
    <xf numFmtId="0" fontId="15" fillId="0" borderId="0" xfId="13" applyFont="1" applyAlignment="1" applyProtection="1">
      <alignment horizontal="center"/>
    </xf>
    <xf numFmtId="168" fontId="189" fillId="0" borderId="0" xfId="14" applyNumberFormat="1" applyFont="1"/>
    <xf numFmtId="0" fontId="187" fillId="0" borderId="0" xfId="13" applyFont="1" applyBorder="1" applyAlignment="1" applyProtection="1">
      <alignment horizontal="center"/>
    </xf>
    <xf numFmtId="0" fontId="15" fillId="0" borderId="0" xfId="13" applyFont="1" applyBorder="1" applyAlignment="1" applyProtection="1">
      <alignment horizontal="center"/>
    </xf>
    <xf numFmtId="3" fontId="19" fillId="0" borderId="0" xfId="13" applyNumberFormat="1" applyFont="1" applyAlignment="1" applyProtection="1">
      <alignment horizontal="center"/>
    </xf>
    <xf numFmtId="0" fontId="189" fillId="0" borderId="0" xfId="13" applyFont="1" applyProtection="1"/>
    <xf numFmtId="0" fontId="26" fillId="8" borderId="40" xfId="6" applyFont="1" applyFill="1" applyBorder="1" applyAlignment="1">
      <alignment horizontal="center"/>
    </xf>
    <xf numFmtId="0" fontId="4" fillId="0" borderId="40" xfId="10" applyFont="1" applyFill="1" applyBorder="1" applyAlignment="1" applyProtection="1">
      <alignment horizontal="center"/>
    </xf>
    <xf numFmtId="0" fontId="4" fillId="0" borderId="12" xfId="10" applyFont="1" applyFill="1" applyBorder="1" applyAlignment="1" applyProtection="1">
      <alignment horizontal="center"/>
    </xf>
    <xf numFmtId="0" fontId="190" fillId="62" borderId="38" xfId="6" applyFont="1" applyFill="1" applyBorder="1" applyAlignment="1">
      <alignment horizontal="center"/>
    </xf>
    <xf numFmtId="239" fontId="19" fillId="0" borderId="38" xfId="6" applyNumberFormat="1" applyFont="1" applyBorder="1" applyAlignment="1">
      <alignment horizontal="center"/>
    </xf>
    <xf numFmtId="239" fontId="19" fillId="0" borderId="20" xfId="6" applyNumberFormat="1" applyFont="1" applyBorder="1" applyAlignment="1">
      <alignment horizontal="center"/>
    </xf>
    <xf numFmtId="239" fontId="19" fillId="0" borderId="39" xfId="6" applyNumberFormat="1" applyFont="1" applyBorder="1" applyAlignment="1">
      <alignment horizontal="center"/>
    </xf>
    <xf numFmtId="0" fontId="19" fillId="0" borderId="35" xfId="6" applyFont="1" applyBorder="1" applyAlignment="1">
      <alignment horizontal="center"/>
    </xf>
    <xf numFmtId="0" fontId="113" fillId="0" borderId="38" xfId="0" applyFont="1" applyBorder="1"/>
    <xf numFmtId="9" fontId="10" fillId="8" borderId="40" xfId="14" applyFont="1" applyFill="1" applyBorder="1" applyAlignment="1" applyProtection="1">
      <alignment horizontal="center"/>
    </xf>
    <xf numFmtId="9" fontId="148" fillId="59" borderId="20" xfId="10" applyNumberFormat="1" applyFont="1" applyFill="1" applyBorder="1" applyAlignment="1" applyProtection="1">
      <alignment horizontal="center"/>
    </xf>
    <xf numFmtId="242" fontId="170" fillId="34" borderId="0" xfId="10" applyNumberFormat="1" applyFont="1" applyFill="1" applyBorder="1" applyAlignment="1" applyProtection="1">
      <alignment horizontal="center"/>
    </xf>
    <xf numFmtId="228" fontId="66" fillId="4" borderId="16" xfId="20" applyNumberFormat="1" applyFont="1" applyFill="1" applyBorder="1" applyAlignment="1" applyProtection="1">
      <alignment horizontal="center"/>
    </xf>
    <xf numFmtId="228" fontId="191" fillId="4" borderId="16" xfId="10" applyNumberFormat="1" applyFont="1" applyFill="1" applyBorder="1" applyAlignment="1" applyProtection="1">
      <alignment horizontal="center"/>
    </xf>
    <xf numFmtId="0" fontId="192" fillId="0" borderId="0" xfId="4" applyFont="1"/>
    <xf numFmtId="0" fontId="193" fillId="0" borderId="0" xfId="4" applyFont="1"/>
    <xf numFmtId="0" fontId="87" fillId="63" borderId="35" xfId="13" applyFont="1" applyFill="1" applyBorder="1" applyAlignment="1" applyProtection="1">
      <alignment horizontal="right"/>
    </xf>
    <xf numFmtId="0" fontId="87" fillId="63" borderId="21" xfId="13" applyFont="1" applyFill="1" applyBorder="1" applyAlignment="1" applyProtection="1">
      <alignment horizontal="right"/>
    </xf>
    <xf numFmtId="0" fontId="87" fillId="63" borderId="41" xfId="13" applyFont="1" applyFill="1" applyBorder="1" applyAlignment="1" applyProtection="1">
      <alignment horizontal="right"/>
    </xf>
    <xf numFmtId="0" fontId="150" fillId="63" borderId="41" xfId="13" applyFont="1" applyFill="1" applyBorder="1" applyProtection="1"/>
    <xf numFmtId="192" fontId="194" fillId="63" borderId="19" xfId="11" applyNumberFormat="1" applyFont="1" applyFill="1" applyBorder="1" applyAlignment="1" applyProtection="1">
      <alignment horizontal="center"/>
    </xf>
    <xf numFmtId="192" fontId="195" fillId="63" borderId="36" xfId="11" applyNumberFormat="1" applyFont="1" applyFill="1" applyBorder="1" applyAlignment="1" applyProtection="1">
      <alignment horizontal="left"/>
    </xf>
    <xf numFmtId="192" fontId="195" fillId="63" borderId="19" xfId="11" applyNumberFormat="1" applyFont="1" applyFill="1" applyBorder="1" applyAlignment="1" applyProtection="1">
      <alignment horizontal="left"/>
    </xf>
    <xf numFmtId="192" fontId="195" fillId="63" borderId="37" xfId="11" applyNumberFormat="1" applyFont="1" applyFill="1" applyBorder="1" applyAlignment="1" applyProtection="1">
      <alignment horizontal="left"/>
    </xf>
    <xf numFmtId="170" fontId="196" fillId="63" borderId="19" xfId="13" applyNumberFormat="1" applyFont="1" applyFill="1" applyBorder="1" applyAlignment="1" applyProtection="1">
      <alignment horizontal="center"/>
    </xf>
    <xf numFmtId="0" fontId="197" fillId="63" borderId="35" xfId="13" applyFont="1" applyFill="1" applyBorder="1" applyProtection="1"/>
    <xf numFmtId="0" fontId="198" fillId="63" borderId="40" xfId="13" applyFont="1" applyFill="1" applyBorder="1" applyProtection="1"/>
    <xf numFmtId="0" fontId="198" fillId="63" borderId="36" xfId="13" applyFont="1" applyFill="1" applyBorder="1" applyProtection="1"/>
    <xf numFmtId="0" fontId="198" fillId="63" borderId="21" xfId="13" applyFont="1" applyFill="1" applyBorder="1" applyProtection="1"/>
    <xf numFmtId="0" fontId="198" fillId="63" borderId="0" xfId="13" applyFont="1" applyFill="1" applyBorder="1" applyProtection="1"/>
    <xf numFmtId="0" fontId="198" fillId="63" borderId="19" xfId="13" applyFont="1" applyFill="1" applyBorder="1" applyProtection="1"/>
    <xf numFmtId="0" fontId="198" fillId="63" borderId="41" xfId="13" applyFont="1" applyFill="1" applyBorder="1" applyProtection="1"/>
    <xf numFmtId="0" fontId="198" fillId="63" borderId="12" xfId="13" applyFont="1" applyFill="1" applyBorder="1" applyProtection="1"/>
    <xf numFmtId="0" fontId="198" fillId="63" borderId="37" xfId="13" applyFont="1" applyFill="1" applyBorder="1" applyProtection="1"/>
    <xf numFmtId="0" fontId="18" fillId="0" borderId="38" xfId="13" applyFont="1" applyFill="1" applyBorder="1" applyAlignment="1" applyProtection="1">
      <alignment horizontal="center"/>
    </xf>
    <xf numFmtId="167" fontId="6" fillId="0" borderId="20" xfId="13" applyNumberFormat="1" applyFont="1" applyFill="1" applyBorder="1" applyAlignment="1" applyProtection="1">
      <alignment horizontal="center"/>
    </xf>
    <xf numFmtId="167" fontId="6" fillId="0" borderId="39" xfId="13" applyNumberFormat="1" applyFont="1" applyFill="1" applyBorder="1" applyAlignment="1" applyProtection="1">
      <alignment horizontal="center"/>
    </xf>
    <xf numFmtId="0" fontId="6" fillId="58" borderId="0" xfId="13" applyFont="1" applyFill="1" applyProtection="1"/>
    <xf numFmtId="0" fontId="6" fillId="58" borderId="0" xfId="13" applyFont="1" applyFill="1" applyBorder="1" applyProtection="1"/>
    <xf numFmtId="170" fontId="6" fillId="58" borderId="0" xfId="13" applyNumberFormat="1" applyFont="1" applyFill="1" applyProtection="1"/>
    <xf numFmtId="0" fontId="199" fillId="58" borderId="0" xfId="13" applyFont="1" applyFill="1" applyProtection="1"/>
    <xf numFmtId="248" fontId="19" fillId="4" borderId="21" xfId="1" applyNumberFormat="1" applyFont="1" applyFill="1" applyBorder="1" applyProtection="1"/>
    <xf numFmtId="248" fontId="37" fillId="0" borderId="21" xfId="1" applyNumberFormat="1" applyFont="1" applyBorder="1" applyAlignment="1" applyProtection="1">
      <alignment horizontal="center"/>
    </xf>
    <xf numFmtId="248" fontId="37" fillId="0" borderId="21" xfId="1" applyNumberFormat="1" applyFont="1" applyBorder="1" applyAlignment="1" applyProtection="1">
      <alignment horizontal="center"/>
      <protection locked="0"/>
    </xf>
    <xf numFmtId="248" fontId="19" fillId="6" borderId="21" xfId="1" applyNumberFormat="1" applyFont="1" applyFill="1" applyBorder="1" applyProtection="1"/>
    <xf numFmtId="248" fontId="19" fillId="6" borderId="35" xfId="1" applyNumberFormat="1" applyFont="1" applyFill="1" applyBorder="1" applyProtection="1"/>
    <xf numFmtId="223" fontId="37" fillId="3" borderId="0" xfId="1" applyNumberFormat="1" applyFont="1" applyFill="1" applyBorder="1" applyAlignment="1" applyProtection="1">
      <alignment horizontal="right"/>
    </xf>
    <xf numFmtId="223" fontId="19" fillId="6" borderId="40" xfId="1" applyNumberFormat="1" applyFont="1" applyFill="1" applyBorder="1" applyAlignment="1" applyProtection="1">
      <alignment horizontal="right"/>
    </xf>
    <xf numFmtId="223" fontId="19" fillId="4" borderId="0" xfId="1" applyNumberFormat="1" applyFont="1" applyFill="1" applyBorder="1" applyAlignment="1" applyProtection="1">
      <alignment horizontal="right"/>
    </xf>
    <xf numFmtId="223" fontId="19" fillId="6" borderId="0" xfId="1" applyNumberFormat="1" applyFont="1" applyFill="1" applyBorder="1" applyAlignment="1" applyProtection="1">
      <alignment horizontal="right"/>
    </xf>
    <xf numFmtId="223" fontId="37" fillId="31" borderId="12" xfId="10" applyNumberFormat="1" applyFont="1" applyFill="1" applyBorder="1" applyAlignment="1" applyProtection="1">
      <alignment horizontal="right"/>
    </xf>
    <xf numFmtId="194" fontId="7" fillId="6" borderId="35" xfId="2" applyNumberFormat="1" applyFont="1" applyFill="1" applyBorder="1" applyAlignment="1" applyProtection="1">
      <alignment horizontal="left"/>
    </xf>
    <xf numFmtId="4" fontId="37" fillId="6" borderId="40" xfId="9" applyNumberFormat="1" applyFont="1" applyFill="1" applyBorder="1" applyAlignment="1" applyProtection="1"/>
    <xf numFmtId="4" fontId="37" fillId="4" borderId="0" xfId="9" applyNumberFormat="1" applyFont="1" applyFill="1" applyBorder="1" applyAlignment="1" applyProtection="1"/>
    <xf numFmtId="4" fontId="37" fillId="4" borderId="19" xfId="9" applyNumberFormat="1" applyFont="1" applyFill="1" applyBorder="1" applyAlignment="1" applyProtection="1"/>
    <xf numFmtId="3" fontId="37" fillId="0" borderId="21" xfId="9" applyNumberFormat="1" applyFont="1" applyBorder="1" applyAlignment="1" applyProtection="1">
      <alignment horizontal="center"/>
    </xf>
    <xf numFmtId="3" fontId="37" fillId="0" borderId="21" xfId="9" applyNumberFormat="1" applyFont="1" applyBorder="1" applyAlignment="1" applyProtection="1">
      <alignment horizontal="center"/>
      <protection locked="0"/>
    </xf>
    <xf numFmtId="0" fontId="19" fillId="6" borderId="21" xfId="0" applyFont="1" applyFill="1" applyBorder="1" applyAlignment="1" applyProtection="1">
      <alignment horizontal="center"/>
    </xf>
    <xf numFmtId="4" fontId="37" fillId="6" borderId="0" xfId="9" applyNumberFormat="1" applyFont="1" applyFill="1" applyBorder="1" applyAlignment="1" applyProtection="1"/>
    <xf numFmtId="4" fontId="37" fillId="6" borderId="19" xfId="9" applyNumberFormat="1" applyFont="1" applyFill="1" applyBorder="1" applyAlignment="1" applyProtection="1"/>
    <xf numFmtId="4" fontId="29" fillId="0" borderId="20" xfId="9" applyNumberFormat="1" applyFont="1" applyBorder="1" applyAlignment="1" applyProtection="1"/>
    <xf numFmtId="4" fontId="31" fillId="0" borderId="20" xfId="9" applyNumberFormat="1" applyFont="1" applyBorder="1" applyAlignment="1" applyProtection="1"/>
    <xf numFmtId="3" fontId="29" fillId="0" borderId="21" xfId="9" applyNumberFormat="1" applyFont="1" applyBorder="1" applyAlignment="1" applyProtection="1">
      <alignment horizontal="center"/>
    </xf>
    <xf numFmtId="4" fontId="200" fillId="0" borderId="20" xfId="9" applyNumberFormat="1" applyFont="1" applyBorder="1" applyAlignment="1" applyProtection="1"/>
    <xf numFmtId="3" fontId="200" fillId="0" borderId="21" xfId="9" applyNumberFormat="1" applyFont="1" applyBorder="1" applyAlignment="1" applyProtection="1">
      <alignment horizontal="center"/>
    </xf>
    <xf numFmtId="4" fontId="137" fillId="0" borderId="20" xfId="9" applyNumberFormat="1" applyFont="1" applyFill="1" applyBorder="1" applyAlignment="1" applyProtection="1"/>
    <xf numFmtId="3" fontId="137" fillId="0" borderId="21" xfId="9" applyNumberFormat="1" applyFont="1" applyFill="1" applyBorder="1" applyAlignment="1" applyProtection="1">
      <alignment horizontal="center"/>
    </xf>
    <xf numFmtId="4" fontId="40" fillId="0" borderId="20" xfId="9" applyNumberFormat="1" applyFont="1" applyBorder="1" applyAlignment="1" applyProtection="1"/>
    <xf numFmtId="3" fontId="40" fillId="0" borderId="21" xfId="9" applyNumberFormat="1" applyFont="1" applyBorder="1" applyAlignment="1" applyProtection="1">
      <alignment horizontal="center"/>
    </xf>
    <xf numFmtId="0" fontId="37" fillId="0" borderId="21" xfId="10" applyFont="1" applyFill="1" applyBorder="1" applyAlignment="1" applyProtection="1">
      <alignment horizontal="center"/>
    </xf>
    <xf numFmtId="3" fontId="31" fillId="0" borderId="21" xfId="10" applyNumberFormat="1" applyFont="1" applyBorder="1" applyAlignment="1" applyProtection="1">
      <alignment horizontal="center"/>
    </xf>
    <xf numFmtId="169" fontId="37" fillId="31" borderId="39" xfId="10" applyNumberFormat="1" applyFont="1" applyFill="1" applyBorder="1" applyAlignment="1" applyProtection="1">
      <alignment horizontal="left"/>
    </xf>
    <xf numFmtId="3" fontId="37" fillId="31" borderId="41" xfId="10" applyNumberFormat="1" applyFont="1" applyFill="1" applyBorder="1" applyAlignment="1" applyProtection="1">
      <alignment horizontal="center"/>
    </xf>
    <xf numFmtId="0" fontId="37" fillId="31" borderId="37" xfId="10" applyNumberFormat="1" applyFont="1" applyFill="1" applyBorder="1" applyAlignment="1" applyProtection="1">
      <alignment horizontal="center"/>
    </xf>
    <xf numFmtId="168" fontId="35" fillId="45" borderId="0" xfId="20" applyNumberFormat="1" applyFont="1" applyFill="1" applyBorder="1" applyAlignment="1" applyProtection="1">
      <alignment horizontal="center"/>
      <protection locked="0"/>
    </xf>
    <xf numFmtId="168" fontId="19" fillId="45" borderId="21" xfId="20" applyNumberFormat="1" applyFont="1" applyFill="1" applyBorder="1" applyAlignment="1" applyProtection="1">
      <alignment horizontal="center"/>
      <protection locked="0"/>
    </xf>
    <xf numFmtId="168" fontId="19" fillId="45" borderId="0" xfId="20" applyNumberFormat="1" applyFont="1" applyFill="1" applyBorder="1" applyAlignment="1" applyProtection="1">
      <alignment horizontal="center"/>
      <protection locked="0"/>
    </xf>
    <xf numFmtId="168" fontId="19" fillId="45" borderId="20" xfId="20" applyNumberFormat="1" applyFont="1" applyFill="1" applyBorder="1" applyAlignment="1" applyProtection="1">
      <alignment horizontal="center"/>
      <protection locked="0"/>
    </xf>
    <xf numFmtId="0" fontId="201" fillId="0" borderId="0" xfId="6" applyFont="1"/>
    <xf numFmtId="237" fontId="19" fillId="0" borderId="20" xfId="0" applyNumberFormat="1" applyFont="1" applyBorder="1" applyAlignment="1" applyProtection="1">
      <alignment horizontal="center"/>
    </xf>
    <xf numFmtId="249" fontId="19" fillId="0" borderId="0" xfId="6" applyNumberFormat="1" applyFont="1" applyFill="1" applyBorder="1"/>
    <xf numFmtId="0" fontId="202" fillId="0" borderId="0" xfId="0" applyFont="1" applyProtection="1"/>
    <xf numFmtId="0" fontId="203" fillId="0" borderId="0" xfId="0" applyFont="1" applyProtection="1"/>
    <xf numFmtId="0" fontId="203" fillId="0" borderId="0" xfId="0" applyFont="1"/>
    <xf numFmtId="0" fontId="202" fillId="0" borderId="0" xfId="0" applyFont="1"/>
    <xf numFmtId="1" fontId="19" fillId="0" borderId="16" xfId="6" applyNumberFormat="1" applyFont="1" applyBorder="1" applyAlignment="1">
      <alignment horizontal="center"/>
    </xf>
    <xf numFmtId="242" fontId="19" fillId="54" borderId="22" xfId="6" applyNumberFormat="1" applyFont="1" applyFill="1" applyBorder="1" applyAlignment="1">
      <alignment horizontal="center"/>
    </xf>
    <xf numFmtId="0" fontId="205" fillId="0" borderId="34" xfId="6" applyFont="1" applyBorder="1" applyAlignment="1">
      <alignment horizontal="center"/>
    </xf>
    <xf numFmtId="167" fontId="205" fillId="0" borderId="38" xfId="6" applyNumberFormat="1" applyFont="1" applyBorder="1" applyAlignment="1">
      <alignment horizontal="center"/>
    </xf>
    <xf numFmtId="1" fontId="205" fillId="0" borderId="16" xfId="6" applyNumberFormat="1" applyFont="1" applyBorder="1" applyAlignment="1">
      <alignment horizontal="center"/>
    </xf>
    <xf numFmtId="1" fontId="19" fillId="0" borderId="0" xfId="6" applyNumberFormat="1" applyFont="1" applyFill="1" applyBorder="1" applyAlignment="1">
      <alignment horizontal="center"/>
    </xf>
    <xf numFmtId="0" fontId="205" fillId="0" borderId="0" xfId="6" applyFont="1" applyFill="1" applyBorder="1" applyAlignment="1">
      <alignment horizontal="center"/>
    </xf>
    <xf numFmtId="1" fontId="205" fillId="27" borderId="41" xfId="6" applyNumberFormat="1" applyFont="1" applyFill="1" applyBorder="1" applyAlignment="1">
      <alignment horizontal="center"/>
    </xf>
    <xf numFmtId="1" fontId="205" fillId="27" borderId="12" xfId="6" applyNumberFormat="1" applyFont="1" applyFill="1" applyBorder="1" applyAlignment="1">
      <alignment horizontal="center"/>
    </xf>
    <xf numFmtId="183" fontId="150" fillId="0" borderId="50" xfId="14" applyNumberFormat="1" applyFont="1" applyFill="1" applyBorder="1" applyAlignment="1" applyProtection="1">
      <alignment horizontal="center"/>
    </xf>
    <xf numFmtId="0" fontId="4" fillId="0" borderId="16" xfId="10" applyFont="1" applyFill="1" applyBorder="1" applyAlignment="1" applyProtection="1">
      <alignment horizontal="left"/>
    </xf>
    <xf numFmtId="0" fontId="4" fillId="0" borderId="16" xfId="10" applyFont="1" applyFill="1" applyBorder="1" applyProtection="1"/>
    <xf numFmtId="233" fontId="19" fillId="39" borderId="37" xfId="6" applyNumberFormat="1" applyFont="1" applyFill="1" applyBorder="1" applyAlignment="1">
      <alignment horizontal="centerContinuous"/>
    </xf>
    <xf numFmtId="1" fontId="204" fillId="0" borderId="16" xfId="6" applyNumberFormat="1" applyFont="1" applyFill="1" applyBorder="1" applyAlignment="1">
      <alignment horizontal="left"/>
    </xf>
    <xf numFmtId="0" fontId="19" fillId="39" borderId="12" xfId="6" applyFont="1" applyFill="1" applyBorder="1" applyAlignment="1">
      <alignment horizontal="centerContinuous"/>
    </xf>
    <xf numFmtId="1" fontId="204" fillId="0" borderId="23" xfId="6" applyNumberFormat="1" applyFont="1" applyFill="1" applyBorder="1" applyAlignment="1"/>
    <xf numFmtId="0" fontId="144" fillId="27" borderId="21" xfId="6" applyFont="1" applyFill="1" applyBorder="1" applyAlignment="1">
      <alignment horizontal="center"/>
    </xf>
    <xf numFmtId="0" fontId="144" fillId="27" borderId="0" xfId="6" applyFont="1" applyFill="1" applyBorder="1" applyAlignment="1">
      <alignment horizontal="center"/>
    </xf>
    <xf numFmtId="0" fontId="144" fillId="27" borderId="19" xfId="6" applyFont="1" applyFill="1" applyBorder="1" applyAlignment="1">
      <alignment horizontal="center"/>
    </xf>
    <xf numFmtId="0" fontId="206" fillId="0" borderId="34" xfId="6" applyFont="1" applyBorder="1" applyAlignment="1">
      <alignment horizontal="center"/>
    </xf>
    <xf numFmtId="167" fontId="206" fillId="0" borderId="16" xfId="6" applyNumberFormat="1" applyFont="1" applyBorder="1" applyAlignment="1">
      <alignment horizontal="center"/>
    </xf>
    <xf numFmtId="1" fontId="206" fillId="0" borderId="16" xfId="6" applyNumberFormat="1" applyFont="1" applyBorder="1" applyAlignment="1">
      <alignment horizontal="center"/>
    </xf>
    <xf numFmtId="2" fontId="19" fillId="0" borderId="16" xfId="6" applyNumberFormat="1" applyFont="1" applyFill="1" applyBorder="1" applyAlignment="1">
      <alignment horizontal="center"/>
    </xf>
    <xf numFmtId="3" fontId="19" fillId="47" borderId="16" xfId="6" applyNumberFormat="1" applyFont="1" applyFill="1" applyBorder="1" applyAlignment="1">
      <alignment horizontal="center"/>
    </xf>
    <xf numFmtId="0" fontId="150" fillId="30" borderId="38" xfId="6" applyFont="1" applyFill="1" applyBorder="1" applyAlignment="1">
      <alignment horizontal="center"/>
    </xf>
    <xf numFmtId="180" fontId="6" fillId="3" borderId="20" xfId="13" applyNumberFormat="1" applyFont="1" applyFill="1" applyBorder="1" applyProtection="1"/>
    <xf numFmtId="193" fontId="207" fillId="34" borderId="0" xfId="10" applyNumberFormat="1" applyFont="1" applyFill="1" applyBorder="1" applyAlignment="1" applyProtection="1">
      <alignment horizontal="center"/>
    </xf>
    <xf numFmtId="0" fontId="19" fillId="0" borderId="38" xfId="6" applyFont="1" applyFill="1" applyBorder="1" applyAlignment="1">
      <alignment horizontal="center"/>
    </xf>
    <xf numFmtId="0" fontId="19" fillId="0" borderId="39" xfId="6" applyFont="1" applyFill="1" applyBorder="1" applyAlignment="1">
      <alignment horizontal="center"/>
    </xf>
    <xf numFmtId="0" fontId="19" fillId="0" borderId="40" xfId="6" applyFont="1" applyBorder="1" applyAlignment="1">
      <alignment horizontal="center"/>
    </xf>
    <xf numFmtId="249" fontId="19" fillId="0" borderId="0" xfId="6" applyNumberFormat="1" applyFont="1"/>
    <xf numFmtId="167" fontId="6" fillId="0" borderId="38" xfId="13" applyNumberFormat="1" applyFont="1" applyFill="1" applyBorder="1" applyAlignment="1" applyProtection="1">
      <alignment horizontal="center"/>
    </xf>
    <xf numFmtId="250" fontId="208" fillId="34" borderId="0" xfId="10" applyNumberFormat="1" applyFont="1" applyFill="1" applyBorder="1" applyAlignment="1" applyProtection="1">
      <alignment horizontal="center"/>
    </xf>
    <xf numFmtId="9" fontId="19" fillId="0" borderId="0" xfId="14" applyFont="1" applyFill="1" applyBorder="1"/>
    <xf numFmtId="4" fontId="18" fillId="0" borderId="0" xfId="10" applyNumberFormat="1" applyFont="1" applyFill="1" applyBorder="1" applyAlignment="1" applyProtection="1">
      <alignment horizontal="center"/>
      <protection locked="0"/>
    </xf>
    <xf numFmtId="168" fontId="144" fillId="0" borderId="0" xfId="6" applyNumberFormat="1" applyFont="1" applyFill="1" applyBorder="1" applyAlignment="1">
      <alignment horizontal="center"/>
    </xf>
    <xf numFmtId="0" fontId="26" fillId="8" borderId="0" xfId="6" applyFont="1" applyFill="1" applyBorder="1" applyAlignment="1">
      <alignment horizontal="center"/>
    </xf>
    <xf numFmtId="3" fontId="4" fillId="0" borderId="21" xfId="4" applyNumberFormat="1" applyBorder="1" applyAlignment="1">
      <alignment horizontal="center"/>
    </xf>
    <xf numFmtId="0" fontId="4" fillId="0" borderId="93" xfId="4" applyBorder="1" applyAlignment="1">
      <alignment horizontal="center"/>
    </xf>
    <xf numFmtId="3" fontId="4" fillId="0" borderId="93" xfId="4" applyNumberFormat="1" applyBorder="1" applyAlignment="1">
      <alignment horizontal="center"/>
    </xf>
    <xf numFmtId="0" fontId="4" fillId="0" borderId="94" xfId="4" applyBorder="1" applyAlignment="1">
      <alignment horizontal="center"/>
    </xf>
    <xf numFmtId="3" fontId="4" fillId="58" borderId="16" xfId="4" applyNumberFormat="1" applyFill="1" applyBorder="1" applyAlignment="1">
      <alignment horizontal="center"/>
    </xf>
    <xf numFmtId="0" fontId="4" fillId="58" borderId="16" xfId="4" applyFill="1" applyBorder="1" applyAlignment="1">
      <alignment horizontal="center"/>
    </xf>
    <xf numFmtId="0" fontId="4" fillId="58" borderId="20" xfId="4" applyFill="1" applyBorder="1" applyAlignment="1">
      <alignment horizontal="center"/>
    </xf>
    <xf numFmtId="3" fontId="4" fillId="58" borderId="21" xfId="4" applyNumberFormat="1" applyFill="1" applyBorder="1" applyAlignment="1">
      <alignment horizontal="center"/>
    </xf>
    <xf numFmtId="0" fontId="4" fillId="0" borderId="0" xfId="4"/>
    <xf numFmtId="0" fontId="4" fillId="0" borderId="0" xfId="4" applyAlignment="1">
      <alignment horizontal="center"/>
    </xf>
    <xf numFmtId="3" fontId="4" fillId="0" borderId="0" xfId="4" applyNumberFormat="1" applyAlignment="1">
      <alignment horizontal="center"/>
    </xf>
    <xf numFmtId="0" fontId="4" fillId="0" borderId="0" xfId="4" applyAlignment="1">
      <alignment horizontal="left"/>
    </xf>
    <xf numFmtId="0" fontId="19" fillId="58" borderId="21" xfId="4" applyFont="1" applyFill="1" applyBorder="1" applyAlignment="1">
      <alignment horizontal="center"/>
    </xf>
    <xf numFmtId="0" fontId="19" fillId="58" borderId="16" xfId="4" applyFont="1" applyFill="1" applyBorder="1" applyAlignment="1">
      <alignment horizontal="center"/>
    </xf>
    <xf numFmtId="3" fontId="9" fillId="65" borderId="41" xfId="4" applyNumberFormat="1" applyFont="1" applyFill="1" applyBorder="1" applyAlignment="1">
      <alignment horizontal="center"/>
    </xf>
    <xf numFmtId="3" fontId="9" fillId="65" borderId="39" xfId="4" applyNumberFormat="1" applyFont="1" applyFill="1" applyBorder="1" applyAlignment="1">
      <alignment horizontal="center"/>
    </xf>
    <xf numFmtId="0" fontId="4" fillId="0" borderId="96" xfId="4" applyBorder="1" applyAlignment="1">
      <alignment horizontal="center"/>
    </xf>
    <xf numFmtId="0" fontId="4" fillId="0" borderId="66" xfId="4" applyBorder="1" applyAlignment="1">
      <alignment horizontal="center"/>
    </xf>
    <xf numFmtId="3" fontId="4" fillId="0" borderId="96" xfId="4" applyNumberFormat="1" applyBorder="1" applyAlignment="1">
      <alignment horizontal="center"/>
    </xf>
    <xf numFmtId="0" fontId="4" fillId="65" borderId="25" xfId="4" applyFont="1" applyFill="1" applyBorder="1"/>
    <xf numFmtId="0" fontId="9" fillId="65" borderId="33" xfId="4" applyFont="1" applyFill="1" applyBorder="1" applyAlignment="1">
      <alignment horizontal="center" vertical="center"/>
    </xf>
    <xf numFmtId="0" fontId="9" fillId="65" borderId="33" xfId="4" applyFont="1" applyFill="1" applyBorder="1" applyAlignment="1">
      <alignment vertical="center"/>
    </xf>
    <xf numFmtId="0" fontId="9" fillId="3" borderId="33" xfId="4" applyFont="1" applyFill="1" applyBorder="1" applyAlignment="1">
      <alignment horizontal="left"/>
    </xf>
    <xf numFmtId="0" fontId="9" fillId="58" borderId="97" xfId="4" applyFont="1" applyFill="1" applyBorder="1"/>
    <xf numFmtId="0" fontId="4" fillId="0" borderId="33" xfId="4" applyBorder="1" applyAlignment="1">
      <alignment horizontal="right"/>
    </xf>
    <xf numFmtId="0" fontId="4" fillId="0" borderId="98" xfId="4" applyBorder="1" applyAlignment="1">
      <alignment horizontal="right"/>
    </xf>
    <xf numFmtId="0" fontId="85" fillId="66" borderId="45" xfId="4" applyFont="1" applyFill="1" applyBorder="1" applyAlignment="1">
      <alignment horizontal="right"/>
    </xf>
    <xf numFmtId="0" fontId="4" fillId="0" borderId="98" xfId="4" applyFont="1" applyBorder="1" applyAlignment="1">
      <alignment horizontal="right"/>
    </xf>
    <xf numFmtId="0" fontId="9" fillId="58" borderId="42" xfId="4" applyFont="1" applyFill="1" applyBorder="1"/>
    <xf numFmtId="0" fontId="4" fillId="0" borderId="99" xfId="4" applyBorder="1" applyAlignment="1">
      <alignment horizontal="right"/>
    </xf>
    <xf numFmtId="0" fontId="210" fillId="39" borderId="13" xfId="4" applyFont="1" applyFill="1" applyBorder="1" applyAlignment="1">
      <alignment horizontal="right"/>
    </xf>
    <xf numFmtId="0" fontId="9" fillId="65" borderId="76" xfId="4" applyFont="1" applyFill="1" applyBorder="1" applyAlignment="1">
      <alignment horizontal="centerContinuous"/>
    </xf>
    <xf numFmtId="0" fontId="4" fillId="65" borderId="95" xfId="4" applyFill="1" applyBorder="1" applyAlignment="1">
      <alignment horizontal="centerContinuous"/>
    </xf>
    <xf numFmtId="0" fontId="9" fillId="65" borderId="95" xfId="4" applyFont="1" applyFill="1" applyBorder="1" applyAlignment="1">
      <alignment horizontal="centerContinuous"/>
    </xf>
    <xf numFmtId="3" fontId="9" fillId="65" borderId="95" xfId="4" applyNumberFormat="1" applyFont="1" applyFill="1" applyBorder="1" applyAlignment="1">
      <alignment horizontal="centerContinuous"/>
    </xf>
    <xf numFmtId="3" fontId="9" fillId="65" borderId="73" xfId="4" applyNumberFormat="1" applyFont="1" applyFill="1" applyBorder="1" applyAlignment="1">
      <alignment horizontal="centerContinuous"/>
    </xf>
    <xf numFmtId="0" fontId="4" fillId="65" borderId="100" xfId="4" applyFill="1" applyBorder="1" applyAlignment="1">
      <alignment horizontal="center"/>
    </xf>
    <xf numFmtId="0" fontId="9" fillId="65" borderId="101" xfId="4" applyFont="1" applyFill="1" applyBorder="1" applyAlignment="1">
      <alignment horizontal="center"/>
    </xf>
    <xf numFmtId="0" fontId="9" fillId="65" borderId="102" xfId="4" applyFont="1" applyFill="1" applyBorder="1" applyAlignment="1">
      <alignment horizontal="center"/>
    </xf>
    <xf numFmtId="3" fontId="9" fillId="65" borderId="103" xfId="4" applyNumberFormat="1" applyFont="1" applyFill="1" applyBorder="1" applyAlignment="1">
      <alignment horizontal="center"/>
    </xf>
    <xf numFmtId="0" fontId="4" fillId="58" borderId="101" xfId="4" applyFill="1" applyBorder="1" applyAlignment="1">
      <alignment horizontal="left"/>
    </xf>
    <xf numFmtId="3" fontId="4" fillId="58" borderId="15" xfId="4" applyNumberFormat="1" applyFill="1" applyBorder="1" applyAlignment="1">
      <alignment horizontal="center"/>
    </xf>
    <xf numFmtId="0" fontId="4" fillId="0" borderId="101" xfId="4" applyBorder="1" applyAlignment="1">
      <alignment horizontal="center"/>
    </xf>
    <xf numFmtId="3" fontId="4" fillId="0" borderId="15" xfId="4" applyNumberFormat="1" applyBorder="1" applyAlignment="1">
      <alignment horizontal="center"/>
    </xf>
    <xf numFmtId="0" fontId="4" fillId="0" borderId="104" xfId="4" applyBorder="1" applyAlignment="1">
      <alignment horizontal="center"/>
    </xf>
    <xf numFmtId="3" fontId="4" fillId="0" borderId="105" xfId="4" applyNumberFormat="1" applyBorder="1" applyAlignment="1">
      <alignment horizontal="center"/>
    </xf>
    <xf numFmtId="0" fontId="4" fillId="58" borderId="34" xfId="4" applyFill="1" applyBorder="1" applyAlignment="1">
      <alignment horizontal="center"/>
    </xf>
    <xf numFmtId="3" fontId="4" fillId="58" borderId="17" xfId="4" applyNumberFormat="1" applyFill="1" applyBorder="1" applyAlignment="1">
      <alignment horizontal="center"/>
    </xf>
    <xf numFmtId="0" fontId="4" fillId="58" borderId="34" xfId="4" applyFill="1" applyBorder="1" applyAlignment="1">
      <alignment horizontal="left"/>
    </xf>
    <xf numFmtId="0" fontId="4" fillId="0" borderId="106" xfId="4" applyBorder="1" applyAlignment="1">
      <alignment horizontal="center"/>
    </xf>
    <xf numFmtId="3" fontId="4" fillId="0" borderId="107" xfId="4" applyNumberFormat="1" applyBorder="1" applyAlignment="1">
      <alignment horizontal="center"/>
    </xf>
    <xf numFmtId="0" fontId="9" fillId="39" borderId="79" xfId="4" applyFont="1" applyFill="1" applyBorder="1" applyAlignment="1">
      <alignment horizontal="center"/>
    </xf>
    <xf numFmtId="0" fontId="9" fillId="39" borderId="108" xfId="4" applyFont="1" applyFill="1" applyBorder="1" applyAlignment="1">
      <alignment horizontal="center"/>
    </xf>
    <xf numFmtId="3" fontId="9" fillId="39" borderId="108" xfId="4" applyNumberFormat="1" applyFont="1" applyFill="1" applyBorder="1" applyAlignment="1">
      <alignment horizontal="center"/>
    </xf>
    <xf numFmtId="3" fontId="9" fillId="39" borderId="109" xfId="4" applyNumberFormat="1" applyFont="1" applyFill="1" applyBorder="1" applyAlignment="1">
      <alignment horizontal="center"/>
    </xf>
    <xf numFmtId="0" fontId="209" fillId="66" borderId="102" xfId="4" applyFont="1" applyFill="1" applyBorder="1" applyAlignment="1">
      <alignment horizontal="center"/>
    </xf>
    <xf numFmtId="0" fontId="209" fillId="66" borderId="41" xfId="4" applyFont="1" applyFill="1" applyBorder="1" applyAlignment="1">
      <alignment horizontal="center"/>
    </xf>
    <xf numFmtId="0" fontId="209" fillId="66" borderId="39" xfId="4" applyFont="1" applyFill="1" applyBorder="1" applyAlignment="1">
      <alignment horizontal="center"/>
    </xf>
    <xf numFmtId="3" fontId="209" fillId="66" borderId="41" xfId="4" applyNumberFormat="1" applyFont="1" applyFill="1" applyBorder="1" applyAlignment="1">
      <alignment horizontal="center"/>
    </xf>
    <xf numFmtId="3" fontId="209" fillId="66" borderId="103" xfId="4" applyNumberFormat="1" applyFont="1" applyFill="1" applyBorder="1" applyAlignment="1">
      <alignment horizontal="center"/>
    </xf>
    <xf numFmtId="3" fontId="209" fillId="66" borderId="39" xfId="4" applyNumberFormat="1" applyFont="1" applyFill="1" applyBorder="1" applyAlignment="1">
      <alignment horizontal="center"/>
    </xf>
    <xf numFmtId="0" fontId="209" fillId="66" borderId="101" xfId="4" applyFont="1" applyFill="1" applyBorder="1" applyAlignment="1">
      <alignment horizontal="center"/>
    </xf>
    <xf numFmtId="0" fontId="209" fillId="66" borderId="19" xfId="4" applyFont="1" applyFill="1" applyBorder="1" applyAlignment="1">
      <alignment horizontal="center"/>
    </xf>
    <xf numFmtId="3" fontId="209" fillId="66" borderId="19" xfId="4" applyNumberFormat="1" applyFont="1" applyFill="1" applyBorder="1" applyAlignment="1">
      <alignment horizontal="center"/>
    </xf>
    <xf numFmtId="3" fontId="209" fillId="66" borderId="4" xfId="4" applyNumberFormat="1" applyFont="1" applyFill="1" applyBorder="1" applyAlignment="1">
      <alignment horizontal="center"/>
    </xf>
    <xf numFmtId="0" fontId="211" fillId="39" borderId="16" xfId="0" applyFont="1" applyFill="1" applyBorder="1"/>
    <xf numFmtId="172" fontId="23" fillId="0" borderId="16" xfId="0" applyNumberFormat="1" applyFont="1" applyBorder="1" applyAlignment="1">
      <alignment horizontal="center"/>
    </xf>
    <xf numFmtId="251" fontId="23" fillId="0" borderId="16" xfId="0" applyNumberFormat="1" applyFont="1" applyBorder="1" applyAlignment="1">
      <alignment horizontal="center"/>
    </xf>
    <xf numFmtId="252" fontId="0" fillId="0" borderId="16" xfId="0" applyNumberFormat="1" applyBorder="1" applyAlignment="1">
      <alignment horizontal="center"/>
    </xf>
    <xf numFmtId="251" fontId="0" fillId="0" borderId="0" xfId="0" applyNumberFormat="1"/>
    <xf numFmtId="239" fontId="4" fillId="57" borderId="0" xfId="10" applyNumberFormat="1" applyFont="1" applyFill="1" applyAlignment="1" applyProtection="1">
      <alignment horizontal="center"/>
    </xf>
    <xf numFmtId="0" fontId="148" fillId="59" borderId="0" xfId="10" applyFont="1" applyFill="1" applyAlignment="1" applyProtection="1">
      <alignment horizontal="center"/>
    </xf>
    <xf numFmtId="239" fontId="4" fillId="59" borderId="0" xfId="10" applyNumberFormat="1" applyFont="1" applyFill="1" applyAlignment="1" applyProtection="1">
      <alignment horizontal="center"/>
    </xf>
    <xf numFmtId="0" fontId="4" fillId="59" borderId="0" xfId="10" applyFont="1" applyFill="1" applyProtection="1"/>
    <xf numFmtId="4" fontId="4" fillId="57" borderId="0" xfId="10" applyNumberFormat="1" applyFont="1" applyFill="1" applyProtection="1"/>
    <xf numFmtId="203" fontId="4" fillId="59" borderId="0" xfId="10" applyNumberFormat="1" applyFont="1" applyFill="1" applyAlignment="1" applyProtection="1">
      <alignment horizontal="center"/>
    </xf>
    <xf numFmtId="203" fontId="4" fillId="57" borderId="0" xfId="10" applyNumberFormat="1" applyFont="1" applyFill="1" applyAlignment="1" applyProtection="1">
      <alignment horizontal="center"/>
    </xf>
    <xf numFmtId="193" fontId="4" fillId="57" borderId="0" xfId="10" applyNumberFormat="1" applyFont="1" applyFill="1" applyAlignment="1" applyProtection="1">
      <alignment horizontal="center"/>
    </xf>
    <xf numFmtId="193" fontId="4" fillId="59" borderId="0" xfId="10" applyNumberFormat="1" applyFont="1" applyFill="1" applyAlignment="1" applyProtection="1">
      <alignment horizontal="center"/>
    </xf>
    <xf numFmtId="0" fontId="212" fillId="0" borderId="0" xfId="0" applyFont="1" applyAlignment="1">
      <alignment horizontal="left" vertical="center" readingOrder="1"/>
    </xf>
    <xf numFmtId="0" fontId="26" fillId="8" borderId="21" xfId="6" applyFont="1" applyFill="1" applyBorder="1" applyAlignment="1">
      <alignment horizontal="center"/>
    </xf>
    <xf numFmtId="0" fontId="26" fillId="8" borderId="19" xfId="6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4" fontId="23" fillId="0" borderId="16" xfId="10" applyNumberFormat="1" applyFont="1" applyFill="1" applyBorder="1" applyAlignment="1" applyProtection="1">
      <protection locked="0"/>
    </xf>
    <xf numFmtId="0" fontId="211" fillId="39" borderId="16" xfId="0" applyFont="1" applyFill="1" applyBorder="1" applyAlignment="1">
      <alignment horizontal="center"/>
    </xf>
    <xf numFmtId="0" fontId="189" fillId="0" borderId="0" xfId="4" applyFont="1"/>
    <xf numFmtId="0" fontId="213" fillId="0" borderId="0" xfId="4" applyFont="1"/>
    <xf numFmtId="0" fontId="0" fillId="67" borderId="41" xfId="0" applyFill="1" applyBorder="1"/>
    <xf numFmtId="0" fontId="0" fillId="67" borderId="12" xfId="0" applyFill="1" applyBorder="1"/>
    <xf numFmtId="0" fontId="0" fillId="67" borderId="37" xfId="0" applyFill="1" applyBorder="1"/>
    <xf numFmtId="0" fontId="0" fillId="38" borderId="38" xfId="0" applyFill="1" applyBorder="1"/>
    <xf numFmtId="0" fontId="8" fillId="38" borderId="20" xfId="0" applyFont="1" applyFill="1" applyBorder="1" applyAlignment="1">
      <alignment horizontal="center"/>
    </xf>
    <xf numFmtId="0" fontId="0" fillId="38" borderId="20" xfId="0" applyFill="1" applyBorder="1"/>
    <xf numFmtId="0" fontId="0" fillId="67" borderId="39" xfId="0" applyFill="1" applyBorder="1"/>
    <xf numFmtId="0" fontId="22" fillId="39" borderId="0" xfId="10" applyFont="1" applyFill="1" applyBorder="1" applyAlignment="1" applyProtection="1">
      <alignment horizontal="left"/>
    </xf>
    <xf numFmtId="239" fontId="4" fillId="39" borderId="0" xfId="10" applyNumberFormat="1" applyFont="1" applyFill="1" applyAlignment="1" applyProtection="1">
      <alignment horizontal="center"/>
    </xf>
    <xf numFmtId="9" fontId="4" fillId="39" borderId="0" xfId="10" applyNumberFormat="1" applyFont="1" applyFill="1" applyProtection="1"/>
    <xf numFmtId="9" fontId="16" fillId="39" borderId="0" xfId="10" applyNumberFormat="1" applyFont="1" applyFill="1" applyProtection="1"/>
    <xf numFmtId="3" fontId="19" fillId="4" borderId="21" xfId="1" applyNumberFormat="1" applyFont="1" applyFill="1" applyBorder="1" applyProtection="1"/>
    <xf numFmtId="224" fontId="19" fillId="4" borderId="0" xfId="1" applyNumberFormat="1" applyFont="1" applyFill="1" applyBorder="1" applyAlignment="1" applyProtection="1">
      <alignment horizontal="right"/>
    </xf>
    <xf numFmtId="0" fontId="41" fillId="4" borderId="20" xfId="0" applyFont="1" applyFill="1" applyBorder="1" applyAlignment="1" applyProtection="1">
      <alignment horizontal="center"/>
    </xf>
    <xf numFmtId="3" fontId="37" fillId="0" borderId="21" xfId="1" applyNumberFormat="1" applyFont="1" applyBorder="1" applyAlignment="1" applyProtection="1">
      <alignment horizontal="center"/>
    </xf>
    <xf numFmtId="224" fontId="37" fillId="3" borderId="0" xfId="1" applyNumberFormat="1" applyFont="1" applyFill="1" applyBorder="1" applyAlignment="1" applyProtection="1">
      <alignment horizontal="right"/>
    </xf>
    <xf numFmtId="0" fontId="41" fillId="0" borderId="0" xfId="0" applyFont="1" applyFill="1" applyBorder="1" applyAlignment="1" applyProtection="1">
      <alignment horizontal="center"/>
    </xf>
    <xf numFmtId="0" fontId="41" fillId="0" borderId="0" xfId="0" quotePrefix="1" applyFont="1" applyFill="1" applyBorder="1" applyAlignment="1" applyProtection="1">
      <alignment horizontal="center"/>
    </xf>
    <xf numFmtId="254" fontId="19" fillId="0" borderId="0" xfId="1" applyNumberFormat="1" applyFont="1" applyFill="1" applyBorder="1" applyAlignment="1" applyProtection="1">
      <alignment horizontal="center"/>
    </xf>
    <xf numFmtId="218" fontId="0" fillId="0" borderId="0" xfId="0" applyNumberFormat="1"/>
    <xf numFmtId="3" fontId="96" fillId="0" borderId="0" xfId="0" applyNumberFormat="1" applyFont="1"/>
    <xf numFmtId="0" fontId="19" fillId="60" borderId="16" xfId="6" applyFont="1" applyFill="1" applyBorder="1" applyAlignment="1">
      <alignment horizontal="center"/>
    </xf>
    <xf numFmtId="0" fontId="19" fillId="60" borderId="17" xfId="6" applyFont="1" applyFill="1" applyBorder="1" applyAlignment="1">
      <alignment horizontal="center"/>
    </xf>
    <xf numFmtId="168" fontId="19" fillId="60" borderId="0" xfId="6" applyNumberFormat="1" applyFont="1" applyFill="1" applyBorder="1" applyAlignment="1">
      <alignment horizontal="center"/>
    </xf>
    <xf numFmtId="0" fontId="15" fillId="60" borderId="21" xfId="6" applyFont="1" applyFill="1" applyBorder="1" applyAlignment="1">
      <alignment horizontal="left"/>
    </xf>
    <xf numFmtId="218" fontId="19" fillId="60" borderId="0" xfId="6" applyNumberFormat="1" applyFont="1" applyFill="1" applyBorder="1" applyAlignment="1">
      <alignment horizontal="center"/>
    </xf>
    <xf numFmtId="247" fontId="0" fillId="0" borderId="0" xfId="0" applyNumberFormat="1"/>
    <xf numFmtId="4" fontId="18" fillId="0" borderId="19" xfId="10" applyNumberFormat="1" applyFont="1" applyFill="1" applyBorder="1" applyAlignment="1" applyProtection="1">
      <alignment horizontal="center"/>
      <protection locked="0"/>
    </xf>
    <xf numFmtId="0" fontId="150" fillId="59" borderId="16" xfId="6" applyFont="1" applyFill="1" applyBorder="1" applyAlignment="1">
      <alignment horizontal="center"/>
    </xf>
    <xf numFmtId="0" fontId="150" fillId="59" borderId="16" xfId="0" applyFont="1" applyFill="1" applyBorder="1" applyAlignment="1">
      <alignment horizontal="center"/>
    </xf>
    <xf numFmtId="167" fontId="19" fillId="0" borderId="16" xfId="6" applyNumberFormat="1" applyFont="1" applyFill="1" applyBorder="1" applyAlignment="1">
      <alignment horizontal="center"/>
    </xf>
    <xf numFmtId="0" fontId="18" fillId="3" borderId="40" xfId="6" applyFont="1" applyFill="1" applyBorder="1" applyAlignment="1">
      <alignment horizontal="center"/>
    </xf>
    <xf numFmtId="0" fontId="0" fillId="68" borderId="16" xfId="0" applyFill="1" applyBorder="1"/>
    <xf numFmtId="255" fontId="19" fillId="0" borderId="0" xfId="6" applyNumberFormat="1" applyFont="1"/>
    <xf numFmtId="0" fontId="19" fillId="42" borderId="36" xfId="6" applyFont="1" applyFill="1" applyBorder="1" applyAlignment="1">
      <alignment horizontal="center" vertical="center" textRotation="90"/>
    </xf>
    <xf numFmtId="0" fontId="19" fillId="42" borderId="19" xfId="6" applyFont="1" applyFill="1" applyBorder="1" applyAlignment="1">
      <alignment horizontal="center" vertical="center" textRotation="90"/>
    </xf>
    <xf numFmtId="0" fontId="19" fillId="42" borderId="37" xfId="6" applyFont="1" applyFill="1" applyBorder="1" applyAlignment="1">
      <alignment horizontal="center" vertical="center" textRotation="90"/>
    </xf>
    <xf numFmtId="0" fontId="19" fillId="46" borderId="4" xfId="6" applyFont="1" applyFill="1" applyBorder="1" applyAlignment="1">
      <alignment horizontal="centerContinuous"/>
    </xf>
    <xf numFmtId="0" fontId="147" fillId="46" borderId="0" xfId="6" applyFont="1" applyFill="1" applyBorder="1" applyAlignment="1">
      <alignment horizontal="center"/>
    </xf>
    <xf numFmtId="0" fontId="152" fillId="46" borderId="0" xfId="6" applyFont="1" applyFill="1" applyBorder="1" applyAlignment="1">
      <alignment horizontal="centerContinuous"/>
    </xf>
    <xf numFmtId="0" fontId="152" fillId="46" borderId="4" xfId="6" applyFont="1" applyFill="1" applyBorder="1" applyAlignment="1">
      <alignment horizontal="left"/>
    </xf>
    <xf numFmtId="0" fontId="147" fillId="46" borderId="4" xfId="6" applyFont="1" applyFill="1" applyBorder="1" applyAlignment="1">
      <alignment horizontal="center"/>
    </xf>
    <xf numFmtId="218" fontId="19" fillId="46" borderId="3" xfId="6" applyNumberFormat="1" applyFont="1" applyFill="1" applyBorder="1" applyAlignment="1" applyProtection="1">
      <alignment horizontal="center"/>
    </xf>
    <xf numFmtId="0" fontId="142" fillId="69" borderId="16" xfId="6" applyFont="1" applyFill="1" applyBorder="1" applyAlignment="1">
      <alignment horizontal="center"/>
    </xf>
    <xf numFmtId="0" fontId="110" fillId="3" borderId="17" xfId="6" applyFont="1" applyFill="1" applyBorder="1" applyAlignment="1" applyProtection="1">
      <alignment horizontal="center"/>
      <protection locked="0"/>
    </xf>
    <xf numFmtId="182" fontId="19" fillId="38" borderId="22" xfId="6" applyNumberFormat="1" applyFont="1" applyFill="1" applyBorder="1" applyAlignment="1" applyProtection="1">
      <alignment horizontal="center"/>
      <protection locked="0"/>
    </xf>
    <xf numFmtId="0" fontId="110" fillId="3" borderId="28" xfId="6" applyFont="1" applyFill="1" applyBorder="1" applyAlignment="1" applyProtection="1">
      <alignment horizontal="center"/>
      <protection locked="0"/>
    </xf>
    <xf numFmtId="217" fontId="110" fillId="3" borderId="29" xfId="14" applyNumberFormat="1" applyFont="1" applyFill="1" applyBorder="1" applyAlignment="1" applyProtection="1">
      <alignment horizontal="center"/>
      <protection locked="0"/>
    </xf>
    <xf numFmtId="0" fontId="80" fillId="0" borderId="16" xfId="6" applyFont="1" applyFill="1" applyBorder="1" applyAlignment="1" applyProtection="1">
      <alignment horizontal="center"/>
      <protection locked="0"/>
    </xf>
    <xf numFmtId="0" fontId="142" fillId="70" borderId="29" xfId="6" applyFont="1" applyFill="1" applyBorder="1" applyAlignment="1" applyProtection="1">
      <alignment horizontal="center"/>
      <protection locked="0"/>
    </xf>
    <xf numFmtId="4" fontId="188" fillId="0" borderId="16" xfId="10" applyNumberFormat="1" applyFont="1" applyFill="1" applyBorder="1" applyAlignment="1" applyProtection="1">
      <protection locked="0"/>
    </xf>
    <xf numFmtId="172" fontId="188" fillId="0" borderId="16" xfId="0" applyNumberFormat="1" applyFont="1" applyBorder="1" applyAlignment="1">
      <alignment horizontal="center"/>
    </xf>
    <xf numFmtId="251" fontId="188" fillId="0" borderId="16" xfId="0" applyNumberFormat="1" applyFont="1" applyBorder="1" applyAlignment="1">
      <alignment horizontal="center"/>
    </xf>
    <xf numFmtId="0" fontId="214" fillId="0" borderId="0" xfId="6" applyFont="1"/>
    <xf numFmtId="0" fontId="19" fillId="58" borderId="35" xfId="6" applyFont="1" applyFill="1" applyBorder="1"/>
    <xf numFmtId="0" fontId="19" fillId="58" borderId="40" xfId="6" applyFont="1" applyFill="1" applyBorder="1"/>
    <xf numFmtId="0" fontId="19" fillId="58" borderId="36" xfId="6" applyFont="1" applyFill="1" applyBorder="1"/>
    <xf numFmtId="0" fontId="19" fillId="58" borderId="21" xfId="6" applyFont="1" applyFill="1" applyBorder="1"/>
    <xf numFmtId="0" fontId="19" fillId="58" borderId="0" xfId="6" applyFont="1" applyFill="1" applyBorder="1"/>
    <xf numFmtId="0" fontId="19" fillId="58" borderId="19" xfId="6" applyFont="1" applyFill="1" applyBorder="1"/>
    <xf numFmtId="0" fontId="19" fillId="58" borderId="41" xfId="6" applyFont="1" applyFill="1" applyBorder="1"/>
    <xf numFmtId="0" fontId="19" fillId="58" borderId="12" xfId="6" applyFont="1" applyFill="1" applyBorder="1"/>
    <xf numFmtId="0" fontId="19" fillId="58" borderId="37" xfId="6" applyFont="1" applyFill="1" applyBorder="1"/>
    <xf numFmtId="0" fontId="6" fillId="58" borderId="0" xfId="13" applyFont="1" applyFill="1" applyBorder="1" applyAlignment="1" applyProtection="1">
      <alignment horizontal="center"/>
    </xf>
    <xf numFmtId="0" fontId="15" fillId="58" borderId="0" xfId="13" applyFont="1" applyFill="1" applyBorder="1" applyProtection="1"/>
    <xf numFmtId="0" fontId="6" fillId="58" borderId="19" xfId="13" applyFont="1" applyFill="1" applyBorder="1" applyProtection="1"/>
    <xf numFmtId="0" fontId="6" fillId="58" borderId="12" xfId="13" applyFont="1" applyFill="1" applyBorder="1" applyAlignment="1" applyProtection="1">
      <alignment horizontal="center"/>
    </xf>
    <xf numFmtId="0" fontId="15" fillId="58" borderId="12" xfId="13" applyFont="1" applyFill="1" applyBorder="1" applyProtection="1"/>
    <xf numFmtId="0" fontId="6" fillId="58" borderId="37" xfId="13" applyFont="1" applyFill="1" applyBorder="1" applyProtection="1"/>
    <xf numFmtId="0" fontId="86" fillId="58" borderId="35" xfId="6" applyFont="1" applyFill="1" applyBorder="1"/>
    <xf numFmtId="0" fontId="19" fillId="55" borderId="39" xfId="0" applyFont="1" applyFill="1" applyBorder="1" applyProtection="1"/>
    <xf numFmtId="0" fontId="19" fillId="38" borderId="0" xfId="0" applyFont="1" applyFill="1" applyProtection="1"/>
    <xf numFmtId="0" fontId="19" fillId="38" borderId="0" xfId="6" applyFont="1" applyFill="1" applyBorder="1" applyAlignment="1">
      <alignment horizontal="center"/>
    </xf>
    <xf numFmtId="0" fontId="3" fillId="39" borderId="40" xfId="19" applyFill="1" applyBorder="1" applyAlignment="1">
      <alignment horizontal="centerContinuous"/>
    </xf>
    <xf numFmtId="0" fontId="3" fillId="39" borderId="36" xfId="19" applyFill="1" applyBorder="1" applyAlignment="1">
      <alignment horizontal="centerContinuous"/>
    </xf>
    <xf numFmtId="0" fontId="3" fillId="39" borderId="21" xfId="19" applyFill="1" applyBorder="1"/>
    <xf numFmtId="0" fontId="3" fillId="39" borderId="0" xfId="19" applyFill="1" applyBorder="1"/>
    <xf numFmtId="0" fontId="215" fillId="39" borderId="38" xfId="19" applyFont="1" applyFill="1" applyBorder="1"/>
    <xf numFmtId="0" fontId="3" fillId="39" borderId="21" xfId="19" applyFill="1" applyBorder="1" applyAlignment="1">
      <alignment horizontal="center"/>
    </xf>
    <xf numFmtId="0" fontId="3" fillId="39" borderId="20" xfId="19" applyFill="1" applyBorder="1" applyAlignment="1">
      <alignment horizontal="center"/>
    </xf>
    <xf numFmtId="0" fontId="3" fillId="0" borderId="16" xfId="19" applyBorder="1"/>
    <xf numFmtId="222" fontId="3" fillId="0" borderId="16" xfId="19" applyNumberFormat="1" applyBorder="1"/>
    <xf numFmtId="182" fontId="3" fillId="0" borderId="16" xfId="19" applyNumberFormat="1" applyBorder="1" applyAlignment="1">
      <alignment horizontal="center"/>
    </xf>
    <xf numFmtId="0" fontId="3" fillId="0" borderId="16" xfId="19" applyBorder="1" applyAlignment="1">
      <alignment horizontal="center"/>
    </xf>
    <xf numFmtId="173" fontId="3" fillId="0" borderId="16" xfId="19" applyNumberFormat="1" applyBorder="1" applyAlignment="1">
      <alignment horizontal="center"/>
    </xf>
    <xf numFmtId="0" fontId="3" fillId="38" borderId="16" xfId="19" applyFill="1" applyBorder="1" applyAlignment="1">
      <alignment horizontal="center"/>
    </xf>
    <xf numFmtId="0" fontId="3" fillId="0" borderId="16" xfId="19" applyBorder="1" applyAlignment="1">
      <alignment horizontal="right"/>
    </xf>
    <xf numFmtId="0" fontId="3" fillId="71" borderId="16" xfId="19" applyFill="1" applyBorder="1" applyAlignment="1">
      <alignment horizontal="right"/>
    </xf>
    <xf numFmtId="178" fontId="4" fillId="0" borderId="21" xfId="0" applyNumberFormat="1" applyFont="1" applyFill="1" applyBorder="1" applyAlignment="1">
      <alignment horizontal="left" indent="1"/>
    </xf>
    <xf numFmtId="1" fontId="19" fillId="0" borderId="16" xfId="6" applyNumberFormat="1" applyFont="1" applyFill="1" applyBorder="1" applyAlignment="1">
      <alignment horizontal="center"/>
    </xf>
    <xf numFmtId="0" fontId="19" fillId="53" borderId="16" xfId="6" applyFont="1" applyFill="1" applyBorder="1" applyAlignment="1">
      <alignment horizontal="center"/>
    </xf>
    <xf numFmtId="0" fontId="20" fillId="3" borderId="39" xfId="13" applyFont="1" applyFill="1" applyBorder="1" applyAlignment="1" applyProtection="1">
      <alignment horizontal="center" vertical="center"/>
    </xf>
    <xf numFmtId="3" fontId="18" fillId="3" borderId="37" xfId="10" applyNumberFormat="1" applyFont="1" applyFill="1" applyBorder="1" applyAlignment="1" applyProtection="1">
      <alignment horizontal="center"/>
    </xf>
    <xf numFmtId="3" fontId="18" fillId="3" borderId="12" xfId="11" applyNumberFormat="1" applyFont="1" applyFill="1" applyBorder="1" applyAlignment="1" applyProtection="1">
      <alignment horizontal="centerContinuous"/>
    </xf>
    <xf numFmtId="0" fontId="18" fillId="3" borderId="39" xfId="13" applyFont="1" applyFill="1" applyBorder="1" applyAlignment="1" applyProtection="1">
      <alignment horizontal="center" vertical="center" wrapText="1"/>
    </xf>
    <xf numFmtId="3" fontId="18" fillId="3" borderId="39" xfId="10" applyNumberFormat="1" applyFont="1" applyFill="1" applyBorder="1" applyAlignment="1" applyProtection="1">
      <alignment horizontal="center"/>
    </xf>
    <xf numFmtId="0" fontId="20" fillId="3" borderId="41" xfId="13" applyFont="1" applyFill="1" applyBorder="1" applyAlignment="1" applyProtection="1">
      <alignment horizontal="center" vertical="center"/>
    </xf>
    <xf numFmtId="0" fontId="6" fillId="42" borderId="24" xfId="13" applyFont="1" applyFill="1" applyBorder="1" applyProtection="1"/>
    <xf numFmtId="0" fontId="6" fillId="42" borderId="23" xfId="13" applyFont="1" applyFill="1" applyBorder="1" applyProtection="1"/>
    <xf numFmtId="0" fontId="4" fillId="38" borderId="22" xfId="10" applyFont="1" applyFill="1" applyBorder="1" applyProtection="1"/>
    <xf numFmtId="0" fontId="4" fillId="38" borderId="24" xfId="10" applyFont="1" applyFill="1" applyBorder="1" applyProtection="1"/>
    <xf numFmtId="0" fontId="3" fillId="39" borderId="40" xfId="19" applyFill="1" applyBorder="1" applyAlignment="1">
      <alignment horizontal="center"/>
    </xf>
    <xf numFmtId="0" fontId="3" fillId="39" borderId="36" xfId="19" applyFill="1" applyBorder="1" applyAlignment="1">
      <alignment horizontal="center"/>
    </xf>
    <xf numFmtId="0" fontId="215" fillId="39" borderId="21" xfId="19" applyFont="1" applyFill="1" applyBorder="1" applyAlignment="1">
      <alignment horizontal="center"/>
    </xf>
    <xf numFmtId="0" fontId="3" fillId="39" borderId="0" xfId="19" applyFill="1" applyBorder="1" applyAlignment="1">
      <alignment horizontal="center"/>
    </xf>
    <xf numFmtId="0" fontId="215" fillId="39" borderId="35" xfId="19" applyFont="1" applyFill="1" applyBorder="1" applyAlignment="1">
      <alignment horizontal="left"/>
    </xf>
    <xf numFmtId="183" fontId="4" fillId="38" borderId="24" xfId="10" applyNumberFormat="1" applyFont="1" applyFill="1" applyBorder="1" applyProtection="1"/>
    <xf numFmtId="3" fontId="4" fillId="38" borderId="24" xfId="10" applyNumberFormat="1" applyFont="1" applyFill="1" applyBorder="1" applyAlignment="1" applyProtection="1">
      <alignment horizontal="center"/>
    </xf>
    <xf numFmtId="223" fontId="4" fillId="38" borderId="24" xfId="10" applyNumberFormat="1" applyFont="1" applyFill="1" applyBorder="1" applyAlignment="1" applyProtection="1">
      <alignment horizontal="center"/>
    </xf>
    <xf numFmtId="0" fontId="6" fillId="38" borderId="24" xfId="10" applyFont="1" applyFill="1" applyBorder="1" applyAlignment="1" applyProtection="1">
      <alignment horizontal="center"/>
    </xf>
    <xf numFmtId="0" fontId="19" fillId="3" borderId="16" xfId="6" applyNumberFormat="1" applyFont="1" applyFill="1" applyBorder="1" applyAlignment="1">
      <alignment horizontal="centerContinuous"/>
    </xf>
    <xf numFmtId="0" fontId="6" fillId="7" borderId="19" xfId="13" applyNumberFormat="1" applyFont="1" applyFill="1" applyBorder="1" applyAlignment="1" applyProtection="1">
      <alignment horizontal="center"/>
    </xf>
    <xf numFmtId="0" fontId="104" fillId="3" borderId="37" xfId="13" applyNumberFormat="1" applyFont="1" applyFill="1" applyBorder="1" applyAlignment="1" applyProtection="1">
      <alignment horizontal="center"/>
    </xf>
    <xf numFmtId="167" fontId="18" fillId="42" borderId="20" xfId="13" applyNumberFormat="1" applyFont="1" applyFill="1" applyBorder="1" applyAlignment="1" applyProtection="1">
      <alignment horizontal="center"/>
    </xf>
    <xf numFmtId="167" fontId="18" fillId="4" borderId="20" xfId="13" applyNumberFormat="1" applyFont="1" applyFill="1" applyBorder="1" applyAlignment="1" applyProtection="1">
      <alignment horizontal="center"/>
    </xf>
    <xf numFmtId="167" fontId="19" fillId="3" borderId="20" xfId="13" applyNumberFormat="1" applyFont="1" applyFill="1" applyBorder="1" applyAlignment="1" applyProtection="1">
      <alignment horizontal="center"/>
    </xf>
    <xf numFmtId="167" fontId="15" fillId="45" borderId="20" xfId="13" applyNumberFormat="1" applyFont="1" applyFill="1" applyBorder="1" applyAlignment="1" applyProtection="1">
      <alignment horizontal="center"/>
    </xf>
    <xf numFmtId="167" fontId="19" fillId="52" borderId="0" xfId="13" applyNumberFormat="1" applyFont="1" applyFill="1" applyBorder="1" applyAlignment="1" applyProtection="1">
      <alignment horizontal="center"/>
    </xf>
    <xf numFmtId="167" fontId="6" fillId="13" borderId="0" xfId="13" applyNumberFormat="1" applyFont="1" applyFill="1" applyBorder="1" applyAlignment="1" applyProtection="1">
      <alignment horizontal="center"/>
    </xf>
    <xf numFmtId="167" fontId="18" fillId="3" borderId="0" xfId="13" applyNumberFormat="1" applyFont="1" applyFill="1" applyBorder="1" applyAlignment="1" applyProtection="1">
      <alignment horizontal="center" vertical="center" textRotation="90" wrapText="1"/>
    </xf>
    <xf numFmtId="167" fontId="6" fillId="0" borderId="0" xfId="13" applyNumberFormat="1" applyFont="1" applyFill="1" applyBorder="1" applyAlignment="1" applyProtection="1">
      <alignment horizontal="center"/>
    </xf>
    <xf numFmtId="167" fontId="18" fillId="3" borderId="40" xfId="13" applyNumberFormat="1" applyFont="1" applyFill="1" applyBorder="1" applyAlignment="1" applyProtection="1">
      <alignment horizontal="center" vertical="center" textRotation="90" wrapText="1"/>
    </xf>
    <xf numFmtId="167" fontId="18" fillId="3" borderId="12" xfId="13" applyNumberFormat="1" applyFont="1" applyFill="1" applyBorder="1" applyAlignment="1" applyProtection="1">
      <alignment horizontal="center" vertical="center" textRotation="90" wrapText="1"/>
    </xf>
    <xf numFmtId="167" fontId="18" fillId="4" borderId="0" xfId="13" applyNumberFormat="1" applyFont="1" applyFill="1" applyBorder="1" applyAlignment="1" applyProtection="1">
      <alignment horizontal="center"/>
    </xf>
    <xf numFmtId="167" fontId="19" fillId="3" borderId="0" xfId="13" applyNumberFormat="1" applyFont="1" applyFill="1" applyBorder="1" applyAlignment="1" applyProtection="1">
      <alignment horizontal="center"/>
    </xf>
    <xf numFmtId="167" fontId="6" fillId="39" borderId="24" xfId="13" applyNumberFormat="1" applyFont="1" applyFill="1" applyBorder="1" applyAlignment="1" applyProtection="1">
      <alignment horizontal="center"/>
    </xf>
    <xf numFmtId="167" fontId="19" fillId="0" borderId="0" xfId="6" applyNumberFormat="1" applyFont="1"/>
    <xf numFmtId="167" fontId="6" fillId="0" borderId="0" xfId="13" applyNumberFormat="1" applyFont="1" applyAlignment="1" applyProtection="1">
      <alignment horizontal="center"/>
    </xf>
    <xf numFmtId="167" fontId="19" fillId="7" borderId="20" xfId="13" applyNumberFormat="1" applyFont="1" applyFill="1" applyBorder="1" applyAlignment="1" applyProtection="1">
      <alignment horizontal="center"/>
    </xf>
    <xf numFmtId="167" fontId="19" fillId="7" borderId="16" xfId="13" applyNumberFormat="1" applyFont="1" applyFill="1" applyBorder="1" applyAlignment="1" applyProtection="1">
      <alignment horizontal="center"/>
    </xf>
    <xf numFmtId="167" fontId="18" fillId="10" borderId="20" xfId="13" applyNumberFormat="1" applyFont="1" applyFill="1" applyBorder="1" applyAlignment="1" applyProtection="1">
      <alignment horizontal="center"/>
    </xf>
    <xf numFmtId="167" fontId="19" fillId="3" borderId="20" xfId="13" applyNumberFormat="1" applyFont="1" applyFill="1" applyBorder="1" applyProtection="1"/>
    <xf numFmtId="0" fontId="216" fillId="38" borderId="24" xfId="10" applyFont="1" applyFill="1" applyBorder="1" applyProtection="1"/>
    <xf numFmtId="0" fontId="216" fillId="38" borderId="22" xfId="10" applyFont="1" applyFill="1" applyBorder="1" applyAlignment="1" applyProtection="1">
      <alignment horizontal="center"/>
    </xf>
    <xf numFmtId="251" fontId="9" fillId="72" borderId="23" xfId="10" applyNumberFormat="1" applyFont="1" applyFill="1" applyBorder="1" applyAlignment="1" applyProtection="1">
      <alignment horizontal="center"/>
    </xf>
    <xf numFmtId="0" fontId="4" fillId="72" borderId="22" xfId="10" applyFont="1" applyFill="1" applyBorder="1" applyProtection="1"/>
    <xf numFmtId="0" fontId="4" fillId="72" borderId="24" xfId="10" applyFont="1" applyFill="1" applyBorder="1" applyProtection="1"/>
    <xf numFmtId="0" fontId="18" fillId="72" borderId="24" xfId="0" applyFont="1" applyFill="1" applyBorder="1" applyAlignment="1" applyProtection="1">
      <alignment horizontal="right"/>
    </xf>
    <xf numFmtId="251" fontId="6" fillId="0" borderId="16" xfId="10" applyNumberFormat="1" applyFont="1" applyFill="1" applyBorder="1" applyAlignment="1" applyProtection="1">
      <alignment horizontal="center"/>
    </xf>
    <xf numFmtId="0" fontId="176" fillId="34" borderId="0" xfId="10" applyFont="1" applyFill="1" applyBorder="1" applyProtection="1"/>
    <xf numFmtId="0" fontId="11" fillId="72" borderId="0" xfId="10" applyFont="1" applyFill="1" applyProtection="1"/>
    <xf numFmtId="0" fontId="111" fillId="8" borderId="39" xfId="6" applyFont="1" applyFill="1" applyBorder="1" applyAlignment="1">
      <alignment horizontal="center"/>
    </xf>
    <xf numFmtId="0" fontId="111" fillId="8" borderId="41" xfId="6" applyFont="1" applyFill="1" applyBorder="1" applyAlignment="1">
      <alignment horizontal="center"/>
    </xf>
    <xf numFmtId="0" fontId="111" fillId="8" borderId="21" xfId="6" applyFont="1" applyFill="1" applyBorder="1" applyAlignment="1">
      <alignment horizontal="center"/>
    </xf>
    <xf numFmtId="0" fontId="111" fillId="8" borderId="19" xfId="6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96" fillId="0" borderId="0" xfId="0" applyFont="1" applyFill="1" applyBorder="1" applyAlignment="1">
      <alignment vertical="center"/>
    </xf>
    <xf numFmtId="0" fontId="15" fillId="0" borderId="38" xfId="6" applyFont="1" applyBorder="1" applyAlignment="1">
      <alignment horizontal="left"/>
    </xf>
    <xf numFmtId="0" fontId="19" fillId="0" borderId="20" xfId="6" applyFont="1" applyBorder="1" applyAlignment="1">
      <alignment horizontal="left"/>
    </xf>
    <xf numFmtId="4" fontId="18" fillId="0" borderId="0" xfId="6" applyNumberFormat="1" applyFont="1" applyAlignment="1">
      <alignment horizontal="center"/>
    </xf>
    <xf numFmtId="0" fontId="150" fillId="59" borderId="0" xfId="6" applyFont="1" applyFill="1" applyAlignment="1">
      <alignment horizontal="center"/>
    </xf>
    <xf numFmtId="0" fontId="19" fillId="46" borderId="5" xfId="6" applyFont="1" applyFill="1" applyBorder="1" applyAlignment="1">
      <alignment horizontal="center"/>
    </xf>
    <xf numFmtId="0" fontId="19" fillId="46" borderId="0" xfId="6" applyFont="1" applyFill="1" applyBorder="1" applyAlignment="1">
      <alignment horizontal="center"/>
    </xf>
    <xf numFmtId="0" fontId="26" fillId="8" borderId="20" xfId="6" applyFont="1" applyFill="1" applyBorder="1" applyAlignment="1">
      <alignment horizontal="center"/>
    </xf>
    <xf numFmtId="0" fontId="19" fillId="4" borderId="16" xfId="6" applyFont="1" applyFill="1" applyBorder="1" applyAlignment="1"/>
    <xf numFmtId="0" fontId="19" fillId="4" borderId="16" xfId="6" applyFont="1" applyFill="1" applyBorder="1" applyAlignment="1">
      <alignment horizontal="left"/>
    </xf>
    <xf numFmtId="0" fontId="0" fillId="68" borderId="16" xfId="0" applyFill="1" applyBorder="1" applyAlignment="1">
      <alignment horizontal="center"/>
    </xf>
    <xf numFmtId="0" fontId="4" fillId="68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46" borderId="0" xfId="6" applyFont="1" applyFill="1" applyBorder="1" applyAlignment="1"/>
    <xf numFmtId="0" fontId="26" fillId="8" borderId="35" xfId="6" applyFont="1" applyFill="1" applyBorder="1" applyAlignment="1">
      <alignment horizontal="center"/>
    </xf>
    <xf numFmtId="0" fontId="26" fillId="8" borderId="36" xfId="6" applyFont="1" applyFill="1" applyBorder="1" applyAlignment="1">
      <alignment horizontal="center"/>
    </xf>
    <xf numFmtId="0" fontId="15" fillId="0" borderId="35" xfId="6" applyFont="1" applyBorder="1" applyAlignment="1">
      <alignment horizontal="left"/>
    </xf>
    <xf numFmtId="218" fontId="19" fillId="53" borderId="40" xfId="6" applyNumberFormat="1" applyFont="1" applyFill="1" applyBorder="1" applyAlignment="1">
      <alignment horizontal="center"/>
    </xf>
    <xf numFmtId="0" fontId="19" fillId="0" borderId="40" xfId="6" applyFont="1" applyBorder="1"/>
    <xf numFmtId="168" fontId="19" fillId="60" borderId="40" xfId="6" applyNumberFormat="1" applyFont="1" applyFill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19" fillId="0" borderId="36" xfId="6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2" fontId="19" fillId="10" borderId="40" xfId="6" applyNumberFormat="1" applyFont="1" applyFill="1" applyBorder="1" applyAlignment="1">
      <alignment horizontal="center"/>
    </xf>
    <xf numFmtId="2" fontId="19" fillId="0" borderId="40" xfId="6" applyNumberFormat="1" applyFont="1" applyFill="1" applyBorder="1" applyAlignment="1">
      <alignment horizontal="center"/>
    </xf>
    <xf numFmtId="0" fontId="15" fillId="0" borderId="41" xfId="6" applyFont="1" applyFill="1" applyBorder="1" applyAlignment="1">
      <alignment horizontal="left"/>
    </xf>
    <xf numFmtId="0" fontId="0" fillId="73" borderId="40" xfId="0" applyFill="1" applyBorder="1" applyAlignment="1">
      <alignment horizontal="center"/>
    </xf>
    <xf numFmtId="0" fontId="121" fillId="6" borderId="21" xfId="0" applyFont="1" applyFill="1" applyBorder="1" applyAlignment="1" applyProtection="1">
      <alignment horizontal="center"/>
    </xf>
    <xf numFmtId="4" fontId="36" fillId="6" borderId="0" xfId="9" applyNumberFormat="1" applyFont="1" applyFill="1" applyBorder="1" applyAlignment="1" applyProtection="1"/>
    <xf numFmtId="4" fontId="36" fillId="6" borderId="19" xfId="9" applyNumberFormat="1" applyFont="1" applyFill="1" applyBorder="1" applyAlignment="1" applyProtection="1"/>
    <xf numFmtId="166" fontId="19" fillId="6" borderId="21" xfId="1" applyFont="1" applyFill="1" applyBorder="1" applyProtection="1"/>
    <xf numFmtId="166" fontId="19" fillId="6" borderId="0" xfId="1" applyFont="1" applyFill="1" applyBorder="1" applyProtection="1"/>
    <xf numFmtId="0" fontId="19" fillId="0" borderId="20" xfId="6" applyFont="1" applyFill="1" applyBorder="1" applyAlignment="1">
      <alignment horizontal="center"/>
    </xf>
    <xf numFmtId="0" fontId="15" fillId="0" borderId="19" xfId="6" applyFont="1" applyBorder="1" applyAlignment="1">
      <alignment horizontal="left"/>
    </xf>
    <xf numFmtId="0" fontId="19" fillId="0" borderId="19" xfId="6" applyFont="1" applyBorder="1" applyAlignment="1">
      <alignment horizontal="left"/>
    </xf>
    <xf numFmtId="0" fontId="19" fillId="0" borderId="19" xfId="6" applyFont="1" applyFill="1" applyBorder="1" applyAlignment="1">
      <alignment horizontal="left"/>
    </xf>
    <xf numFmtId="0" fontId="19" fillId="0" borderId="37" xfId="6" applyFont="1" applyFill="1" applyBorder="1" applyAlignment="1">
      <alignment horizontal="left"/>
    </xf>
    <xf numFmtId="0" fontId="26" fillId="8" borderId="38" xfId="6" applyFont="1" applyFill="1" applyBorder="1" applyAlignment="1">
      <alignment horizontal="center"/>
    </xf>
    <xf numFmtId="168" fontId="19" fillId="0" borderId="39" xfId="6" applyNumberFormat="1" applyFont="1" applyFill="1" applyBorder="1" applyAlignment="1">
      <alignment horizontal="center"/>
    </xf>
    <xf numFmtId="0" fontId="144" fillId="0" borderId="16" xfId="6" applyFont="1" applyBorder="1"/>
    <xf numFmtId="168" fontId="19" fillId="40" borderId="0" xfId="6" applyNumberFormat="1" applyFont="1" applyFill="1" applyBorder="1" applyAlignment="1">
      <alignment horizontal="center"/>
    </xf>
    <xf numFmtId="256" fontId="19" fillId="47" borderId="16" xfId="6" applyNumberFormat="1" applyFont="1" applyFill="1" applyBorder="1" applyAlignment="1">
      <alignment horizontal="center"/>
    </xf>
    <xf numFmtId="9" fontId="19" fillId="73" borderId="74" xfId="14" applyFont="1" applyFill="1" applyBorder="1" applyAlignment="1">
      <alignment horizontal="center"/>
    </xf>
    <xf numFmtId="0" fontId="19" fillId="4" borderId="23" xfId="6" applyFont="1" applyFill="1" applyBorder="1"/>
    <xf numFmtId="9" fontId="19" fillId="40" borderId="16" xfId="14" applyFont="1" applyFill="1" applyBorder="1" applyAlignment="1">
      <alignment horizontal="center"/>
    </xf>
    <xf numFmtId="0" fontId="19" fillId="0" borderId="0" xfId="6" applyFont="1" applyBorder="1" applyAlignment="1">
      <alignment horizontal="right"/>
    </xf>
    <xf numFmtId="250" fontId="19" fillId="0" borderId="0" xfId="6" applyNumberFormat="1" applyFont="1" applyBorder="1" applyAlignment="1">
      <alignment horizontal="center"/>
    </xf>
    <xf numFmtId="0" fontId="42" fillId="18" borderId="41" xfId="10" applyFont="1" applyFill="1" applyBorder="1" applyAlignment="1" applyProtection="1">
      <alignment horizontal="centerContinuous"/>
    </xf>
    <xf numFmtId="0" fontId="102" fillId="18" borderId="19" xfId="10" applyFont="1" applyFill="1" applyBorder="1" applyAlignment="1" applyProtection="1">
      <alignment horizontal="centerContinuous"/>
    </xf>
    <xf numFmtId="0" fontId="102" fillId="38" borderId="23" xfId="10" applyFont="1" applyFill="1" applyBorder="1" applyAlignment="1" applyProtection="1">
      <alignment horizontal="centerContinuous"/>
    </xf>
    <xf numFmtId="0" fontId="13" fillId="38" borderId="23" xfId="10" applyFont="1" applyFill="1" applyBorder="1" applyAlignment="1" applyProtection="1">
      <alignment horizontal="centerContinuous"/>
    </xf>
    <xf numFmtId="0" fontId="19" fillId="38" borderId="40" xfId="6" applyFont="1" applyFill="1" applyBorder="1" applyAlignment="1">
      <alignment horizontal="center"/>
    </xf>
    <xf numFmtId="0" fontId="19" fillId="38" borderId="36" xfId="6" applyFont="1" applyFill="1" applyBorder="1" applyAlignment="1">
      <alignment horizontal="center"/>
    </xf>
    <xf numFmtId="0" fontId="19" fillId="38" borderId="12" xfId="6" applyFont="1" applyFill="1" applyBorder="1" applyAlignment="1">
      <alignment horizontal="center"/>
    </xf>
    <xf numFmtId="0" fontId="19" fillId="38" borderId="37" xfId="6" applyFont="1" applyFill="1" applyBorder="1" applyAlignment="1">
      <alignment horizontal="center"/>
    </xf>
    <xf numFmtId="0" fontId="99" fillId="38" borderId="35" xfId="6" applyFont="1" applyFill="1" applyBorder="1" applyAlignment="1">
      <alignment horizontal="centerContinuous"/>
    </xf>
    <xf numFmtId="0" fontId="99" fillId="38" borderId="36" xfId="6" applyFont="1" applyFill="1" applyBorder="1" applyAlignment="1">
      <alignment horizontal="centerContinuous"/>
    </xf>
    <xf numFmtId="0" fontId="11" fillId="38" borderId="21" xfId="10" applyFont="1" applyFill="1" applyBorder="1" applyProtection="1"/>
    <xf numFmtId="0" fontId="11" fillId="38" borderId="19" xfId="10" applyFont="1" applyFill="1" applyBorder="1" applyAlignment="1" applyProtection="1">
      <alignment horizontal="center"/>
    </xf>
    <xf numFmtId="0" fontId="19" fillId="38" borderId="41" xfId="6" applyFont="1" applyFill="1" applyBorder="1"/>
    <xf numFmtId="170" fontId="19" fillId="0" borderId="16" xfId="10" applyNumberFormat="1" applyFont="1" applyBorder="1" applyAlignment="1" applyProtection="1">
      <alignment horizontal="center"/>
    </xf>
    <xf numFmtId="257" fontId="19" fillId="0" borderId="0" xfId="6" applyNumberFormat="1" applyFont="1" applyFill="1" applyBorder="1"/>
    <xf numFmtId="9" fontId="19" fillId="74" borderId="16" xfId="14" applyFont="1" applyFill="1" applyBorder="1" applyAlignment="1" applyProtection="1">
      <alignment horizontal="center"/>
    </xf>
    <xf numFmtId="250" fontId="19" fillId="64" borderId="39" xfId="6" applyNumberFormat="1" applyFont="1" applyFill="1" applyBorder="1" applyAlignment="1">
      <alignment horizontal="center"/>
    </xf>
    <xf numFmtId="258" fontId="19" fillId="7" borderId="12" xfId="10" applyNumberFormat="1" applyFont="1" applyFill="1" applyBorder="1" applyAlignment="1" applyProtection="1">
      <alignment horizontal="left"/>
    </xf>
    <xf numFmtId="0" fontId="107" fillId="2" borderId="40" xfId="6" applyFont="1" applyFill="1" applyBorder="1"/>
    <xf numFmtId="3" fontId="19" fillId="2" borderId="38" xfId="6" applyNumberFormat="1" applyFont="1" applyFill="1" applyBorder="1"/>
    <xf numFmtId="167" fontId="19" fillId="0" borderId="19" xfId="6" applyNumberFormat="1" applyFont="1" applyBorder="1" applyAlignment="1">
      <alignment horizontal="center"/>
    </xf>
    <xf numFmtId="167" fontId="19" fillId="0" borderId="37" xfId="6" applyNumberFormat="1" applyFont="1" applyBorder="1" applyAlignment="1">
      <alignment horizontal="center"/>
    </xf>
    <xf numFmtId="0" fontId="19" fillId="0" borderId="35" xfId="6" applyFont="1" applyBorder="1" applyAlignment="1">
      <alignment horizontal="left"/>
    </xf>
    <xf numFmtId="167" fontId="19" fillId="0" borderId="36" xfId="6" applyNumberFormat="1" applyFont="1" applyBorder="1" applyAlignment="1">
      <alignment horizontal="center"/>
    </xf>
    <xf numFmtId="1" fontId="107" fillId="2" borderId="40" xfId="6" applyNumberFormat="1" applyFont="1" applyFill="1" applyBorder="1"/>
    <xf numFmtId="203" fontId="19" fillId="0" borderId="0" xfId="6" applyNumberFormat="1" applyFont="1" applyFill="1" applyBorder="1" applyAlignment="1"/>
    <xf numFmtId="0" fontId="218" fillId="0" borderId="0" xfId="0" applyFont="1" applyAlignment="1">
      <alignment vertical="center"/>
    </xf>
    <xf numFmtId="0" fontId="218" fillId="0" borderId="0" xfId="0" applyFont="1" applyAlignment="1">
      <alignment horizontal="left" vertical="center" indent="4"/>
    </xf>
    <xf numFmtId="167" fontId="19" fillId="0" borderId="0" xfId="6" applyNumberFormat="1" applyFont="1" applyAlignment="1">
      <alignment horizontal="center"/>
    </xf>
    <xf numFmtId="167" fontId="19" fillId="0" borderId="0" xfId="6" applyNumberFormat="1" applyFont="1" applyFill="1" applyBorder="1" applyAlignment="1">
      <alignment horizontal="center"/>
    </xf>
    <xf numFmtId="3" fontId="19" fillId="75" borderId="39" xfId="6" applyNumberFormat="1" applyFont="1" applyFill="1" applyBorder="1"/>
    <xf numFmtId="0" fontId="19" fillId="75" borderId="16" xfId="6" applyFont="1" applyFill="1" applyBorder="1"/>
    <xf numFmtId="189" fontId="19" fillId="0" borderId="0" xfId="6" applyNumberFormat="1" applyFont="1" applyFill="1" applyBorder="1"/>
    <xf numFmtId="169" fontId="19" fillId="0" borderId="0" xfId="6" applyNumberFormat="1" applyFont="1" applyAlignment="1">
      <alignment horizontal="center"/>
    </xf>
    <xf numFmtId="10" fontId="4" fillId="0" borderId="0" xfId="10" applyNumberFormat="1" applyFont="1" applyFill="1" applyProtection="1"/>
    <xf numFmtId="2" fontId="19" fillId="0" borderId="0" xfId="6" applyNumberFormat="1" applyFont="1" applyAlignment="1">
      <alignment horizontal="right"/>
    </xf>
    <xf numFmtId="1" fontId="0" fillId="40" borderId="16" xfId="0" applyNumberFormat="1" applyFill="1" applyBorder="1"/>
    <xf numFmtId="4" fontId="18" fillId="0" borderId="19" xfId="10" applyNumberFormat="1" applyFont="1" applyFill="1" applyBorder="1" applyAlignment="1" applyProtection="1">
      <alignment horizontal="center"/>
    </xf>
    <xf numFmtId="167" fontId="19" fillId="0" borderId="0" xfId="6" applyNumberFormat="1" applyFont="1" applyFill="1" applyBorder="1"/>
    <xf numFmtId="169" fontId="19" fillId="0" borderId="0" xfId="10" applyNumberFormat="1" applyFont="1" applyAlignment="1" applyProtection="1">
      <alignment horizontal="center"/>
    </xf>
    <xf numFmtId="259" fontId="19" fillId="0" borderId="0" xfId="10" applyNumberFormat="1" applyFont="1" applyAlignment="1" applyProtection="1">
      <alignment horizontal="center"/>
    </xf>
    <xf numFmtId="1" fontId="4" fillId="0" borderId="0" xfId="10" applyNumberFormat="1" applyFont="1" applyProtection="1"/>
    <xf numFmtId="256" fontId="19" fillId="0" borderId="0" xfId="6" applyNumberFormat="1" applyFont="1" applyFill="1"/>
    <xf numFmtId="3" fontId="19" fillId="0" borderId="0" xfId="6" applyNumberFormat="1" applyFont="1" applyFill="1" applyAlignment="1">
      <alignment horizontal="center"/>
    </xf>
    <xf numFmtId="2" fontId="19" fillId="0" borderId="0" xfId="6" applyNumberFormat="1" applyFont="1" applyFill="1" applyAlignment="1">
      <alignment horizontal="center"/>
    </xf>
    <xf numFmtId="0" fontId="19" fillId="0" borderId="0" xfId="6" applyFont="1" applyFill="1"/>
    <xf numFmtId="9" fontId="19" fillId="0" borderId="0" xfId="14" applyFont="1" applyFill="1" applyAlignment="1">
      <alignment horizontal="center"/>
    </xf>
    <xf numFmtId="256" fontId="19" fillId="0" borderId="0" xfId="6" applyNumberFormat="1" applyFont="1" applyFill="1" applyAlignment="1">
      <alignment horizontal="center"/>
    </xf>
    <xf numFmtId="1" fontId="19" fillId="0" borderId="0" xfId="6" applyNumberFormat="1" applyFont="1" applyFill="1" applyAlignment="1">
      <alignment horizontal="center"/>
    </xf>
    <xf numFmtId="0" fontId="19" fillId="0" borderId="0" xfId="6" applyFont="1" applyFill="1" applyAlignment="1">
      <alignment horizontal="center"/>
    </xf>
    <xf numFmtId="0" fontId="19" fillId="0" borderId="0" xfId="6" applyFont="1" applyFill="1" applyAlignment="1"/>
    <xf numFmtId="0" fontId="19" fillId="0" borderId="0" xfId="6" applyFont="1" applyAlignment="1"/>
    <xf numFmtId="0" fontId="19" fillId="0" borderId="0" xfId="6" applyFont="1" applyAlignment="1">
      <alignment horizontal="center"/>
    </xf>
    <xf numFmtId="0" fontId="219" fillId="76" borderId="38" xfId="6" applyFont="1" applyFill="1" applyBorder="1" applyAlignment="1">
      <alignment horizontal="center"/>
    </xf>
    <xf numFmtId="0" fontId="19" fillId="57" borderId="16" xfId="6" applyFont="1" applyFill="1" applyBorder="1" applyAlignment="1">
      <alignment horizontal="center"/>
    </xf>
    <xf numFmtId="168" fontId="194" fillId="63" borderId="37" xfId="13" applyNumberFormat="1" applyFont="1" applyFill="1" applyBorder="1" applyAlignment="1" applyProtection="1">
      <alignment horizontal="center"/>
    </xf>
    <xf numFmtId="218" fontId="220" fillId="46" borderId="34" xfId="6" applyNumberFormat="1" applyFont="1" applyFill="1" applyBorder="1" applyAlignment="1">
      <alignment horizontal="right"/>
    </xf>
    <xf numFmtId="218" fontId="148" fillId="59" borderId="35" xfId="0" applyNumberFormat="1" applyFont="1" applyFill="1" applyBorder="1"/>
    <xf numFmtId="0" fontId="0" fillId="0" borderId="21" xfId="0" applyBorder="1"/>
    <xf numFmtId="0" fontId="0" fillId="0" borderId="41" xfId="0" applyBorder="1"/>
    <xf numFmtId="0" fontId="0" fillId="0" borderId="37" xfId="0" applyBorder="1"/>
    <xf numFmtId="0" fontId="0" fillId="73" borderId="16" xfId="0" applyFill="1" applyBorder="1" applyAlignment="1">
      <alignment horizontal="center"/>
    </xf>
    <xf numFmtId="0" fontId="19" fillId="0" borderId="19" xfId="6" applyFont="1" applyBorder="1"/>
    <xf numFmtId="0" fontId="19" fillId="0" borderId="37" xfId="6" applyFont="1" applyBorder="1"/>
    <xf numFmtId="0" fontId="19" fillId="38" borderId="21" xfId="6" applyFont="1" applyFill="1" applyBorder="1" applyAlignment="1">
      <alignment horizontal="center"/>
    </xf>
    <xf numFmtId="0" fontId="19" fillId="0" borderId="36" xfId="6" applyFont="1" applyBorder="1"/>
    <xf numFmtId="250" fontId="19" fillId="77" borderId="36" xfId="6" applyNumberFormat="1" applyFont="1" applyFill="1" applyBorder="1" applyAlignment="1">
      <alignment horizontal="center"/>
    </xf>
    <xf numFmtId="0" fontId="150" fillId="59" borderId="35" xfId="6" applyFont="1" applyFill="1" applyBorder="1" applyAlignment="1">
      <alignment horizontal="center"/>
    </xf>
    <xf numFmtId="0" fontId="150" fillId="59" borderId="36" xfId="6" applyFont="1" applyFill="1" applyBorder="1" applyAlignment="1">
      <alignment horizontal="center"/>
    </xf>
    <xf numFmtId="0" fontId="19" fillId="0" borderId="37" xfId="6" applyFont="1" applyBorder="1" applyAlignment="1">
      <alignment horizontal="center"/>
    </xf>
    <xf numFmtId="0" fontId="0" fillId="73" borderId="35" xfId="0" applyFill="1" applyBorder="1"/>
    <xf numFmtId="0" fontId="0" fillId="73" borderId="21" xfId="0" applyFill="1" applyBorder="1"/>
    <xf numFmtId="0" fontId="0" fillId="0" borderId="21" xfId="0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15" fillId="0" borderId="0" xfId="6" applyFont="1" applyBorder="1" applyAlignment="1">
      <alignment horizontal="left"/>
    </xf>
    <xf numFmtId="0" fontId="15" fillId="60" borderId="0" xfId="6" applyFont="1" applyFill="1" applyBorder="1" applyAlignment="1">
      <alignment horizontal="left"/>
    </xf>
    <xf numFmtId="0" fontId="15" fillId="0" borderId="38" xfId="6" applyFont="1" applyFill="1" applyBorder="1" applyAlignment="1">
      <alignment horizontal="left"/>
    </xf>
    <xf numFmtId="0" fontId="15" fillId="0" borderId="20" xfId="6" applyFont="1" applyBorder="1" applyAlignment="1">
      <alignment horizontal="left"/>
    </xf>
    <xf numFmtId="0" fontId="15" fillId="0" borderId="39" xfId="6" applyFont="1" applyBorder="1" applyAlignment="1">
      <alignment horizontal="left"/>
    </xf>
    <xf numFmtId="9" fontId="19" fillId="2" borderId="37" xfId="16" applyNumberFormat="1" applyFont="1" applyFill="1" applyBorder="1" applyAlignment="1" applyProtection="1">
      <alignment horizontal="center"/>
    </xf>
    <xf numFmtId="9" fontId="19" fillId="75" borderId="37" xfId="16" applyNumberFormat="1" applyFont="1" applyFill="1" applyBorder="1" applyAlignment="1" applyProtection="1">
      <alignment horizontal="center"/>
    </xf>
    <xf numFmtId="9" fontId="19" fillId="75" borderId="23" xfId="16" applyFont="1" applyFill="1" applyBorder="1" applyAlignment="1" applyProtection="1">
      <alignment horizontal="center"/>
    </xf>
    <xf numFmtId="260" fontId="41" fillId="3" borderId="39" xfId="6" applyNumberFormat="1" applyFont="1" applyFill="1" applyBorder="1" applyAlignment="1" applyProtection="1">
      <alignment horizontal="center"/>
      <protection locked="0"/>
    </xf>
    <xf numFmtId="0" fontId="19" fillId="39" borderId="19" xfId="6" applyFont="1" applyFill="1" applyBorder="1" applyAlignment="1">
      <alignment horizontal="center"/>
    </xf>
    <xf numFmtId="9" fontId="19" fillId="39" borderId="38" xfId="6" applyNumberFormat="1" applyFont="1" applyFill="1" applyBorder="1" applyAlignment="1">
      <alignment horizontal="center"/>
    </xf>
    <xf numFmtId="0" fontId="19" fillId="39" borderId="20" xfId="6" applyFont="1" applyFill="1" applyBorder="1" applyAlignment="1">
      <alignment horizontal="center"/>
    </xf>
    <xf numFmtId="167" fontId="19" fillId="39" borderId="19" xfId="6" applyNumberFormat="1" applyFont="1" applyFill="1" applyBorder="1" applyAlignment="1">
      <alignment horizontal="left"/>
    </xf>
    <xf numFmtId="194" fontId="19" fillId="78" borderId="39" xfId="6" applyNumberFormat="1" applyFont="1" applyFill="1" applyBorder="1" applyAlignment="1">
      <alignment horizontal="center"/>
    </xf>
    <xf numFmtId="167" fontId="19" fillId="39" borderId="37" xfId="6" applyNumberFormat="1" applyFont="1" applyFill="1" applyBorder="1" applyAlignment="1">
      <alignment horizontal="left"/>
    </xf>
    <xf numFmtId="2" fontId="19" fillId="75" borderId="16" xfId="6" applyNumberFormat="1" applyFont="1" applyFill="1" applyBorder="1" applyAlignment="1">
      <alignment horizontal="center"/>
    </xf>
    <xf numFmtId="222" fontId="19" fillId="3" borderId="16" xfId="6" applyNumberFormat="1" applyFont="1" applyFill="1" applyBorder="1" applyAlignment="1">
      <alignment horizontal="center"/>
    </xf>
    <xf numFmtId="222" fontId="4" fillId="10" borderId="0" xfId="10" applyNumberFormat="1" applyFont="1" applyFill="1" applyBorder="1" applyAlignment="1" applyProtection="1">
      <alignment horizontal="left"/>
    </xf>
    <xf numFmtId="0" fontId="19" fillId="0" borderId="0" xfId="10" applyFont="1" applyFill="1" applyBorder="1" applyAlignment="1" applyProtection="1">
      <alignment horizontal="left"/>
    </xf>
    <xf numFmtId="0" fontId="9" fillId="3" borderId="6" xfId="10" applyFont="1" applyFill="1" applyBorder="1" applyAlignment="1" applyProtection="1">
      <alignment horizontal="centerContinuous"/>
    </xf>
    <xf numFmtId="0" fontId="9" fillId="3" borderId="2" xfId="10" applyFont="1" applyFill="1" applyBorder="1" applyAlignment="1" applyProtection="1">
      <alignment horizontal="centerContinuous"/>
    </xf>
    <xf numFmtId="0" fontId="4" fillId="42" borderId="0" xfId="10" applyFont="1" applyFill="1" applyBorder="1" applyProtection="1"/>
    <xf numFmtId="0" fontId="4" fillId="3" borderId="0" xfId="10" applyFont="1" applyFill="1" applyBorder="1" applyProtection="1">
      <protection locked="0"/>
    </xf>
    <xf numFmtId="0" fontId="4" fillId="2" borderId="0" xfId="10" applyFont="1" applyFill="1" applyBorder="1" applyProtection="1"/>
    <xf numFmtId="0" fontId="4" fillId="39" borderId="38" xfId="10" applyFont="1" applyFill="1" applyBorder="1" applyProtection="1"/>
    <xf numFmtId="0" fontId="4" fillId="39" borderId="20" xfId="10" applyFont="1" applyFill="1" applyBorder="1" applyProtection="1"/>
    <xf numFmtId="0" fontId="4" fillId="39" borderId="20" xfId="10" applyFont="1" applyFill="1" applyBorder="1" applyAlignment="1" applyProtection="1">
      <alignment horizontal="center"/>
    </xf>
    <xf numFmtId="0" fontId="4" fillId="39" borderId="20" xfId="10" applyFont="1" applyFill="1" applyBorder="1" applyProtection="1">
      <protection locked="0"/>
    </xf>
    <xf numFmtId="0" fontId="19" fillId="2" borderId="20" xfId="10" applyNumberFormat="1" applyFont="1" applyFill="1" applyBorder="1" applyAlignment="1" applyProtection="1">
      <alignment horizontal="center"/>
    </xf>
    <xf numFmtId="0" fontId="19" fillId="2" borderId="39" xfId="10" applyNumberFormat="1" applyFont="1" applyFill="1" applyBorder="1" applyAlignment="1" applyProtection="1">
      <alignment horizontal="center"/>
    </xf>
    <xf numFmtId="222" fontId="19" fillId="0" borderId="16" xfId="6" applyNumberFormat="1" applyFont="1" applyFill="1" applyBorder="1" applyAlignment="1" applyProtection="1">
      <alignment horizontal="center"/>
      <protection locked="0"/>
    </xf>
    <xf numFmtId="226" fontId="19" fillId="0" borderId="20" xfId="10" applyNumberFormat="1" applyFont="1" applyFill="1" applyBorder="1" applyAlignment="1" applyProtection="1">
      <alignment horizontal="center"/>
    </xf>
    <xf numFmtId="3" fontId="30" fillId="39" borderId="38" xfId="10" applyNumberFormat="1" applyFont="1" applyFill="1" applyBorder="1" applyAlignment="1" applyProtection="1">
      <alignment horizontal="center"/>
    </xf>
    <xf numFmtId="3" fontId="30" fillId="39" borderId="39" xfId="10" applyNumberFormat="1" applyFont="1" applyFill="1" applyBorder="1" applyAlignment="1" applyProtection="1">
      <alignment horizontal="center"/>
    </xf>
    <xf numFmtId="0" fontId="4" fillId="0" borderId="0" xfId="10" applyFont="1" applyAlignment="1" applyProtection="1">
      <alignment horizontal="left"/>
    </xf>
    <xf numFmtId="170" fontId="10" fillId="44" borderId="0" xfId="20" applyNumberFormat="1" applyFont="1" applyFill="1" applyBorder="1" applyAlignment="1" applyProtection="1">
      <alignment horizontal="center"/>
    </xf>
    <xf numFmtId="0" fontId="150" fillId="44" borderId="0" xfId="10" applyFont="1" applyFill="1" applyAlignment="1" applyProtection="1">
      <alignment horizontal="center"/>
    </xf>
    <xf numFmtId="0" fontId="4" fillId="44" borderId="0" xfId="10" applyFont="1" applyFill="1" applyProtection="1"/>
    <xf numFmtId="3" fontId="101" fillId="4" borderId="0" xfId="10" applyNumberFormat="1" applyFont="1" applyFill="1" applyBorder="1" applyAlignment="1" applyProtection="1"/>
    <xf numFmtId="1" fontId="19" fillId="0" borderId="20" xfId="6" applyNumberFormat="1" applyFont="1" applyBorder="1" applyAlignment="1">
      <alignment horizontal="center"/>
    </xf>
    <xf numFmtId="0" fontId="19" fillId="3" borderId="22" xfId="6" applyFont="1" applyFill="1" applyBorder="1" applyAlignment="1">
      <alignment horizontal="right"/>
    </xf>
    <xf numFmtId="0" fontId="19" fillId="3" borderId="23" xfId="6" applyFont="1" applyFill="1" applyBorder="1" applyAlignment="1">
      <alignment horizontal="right"/>
    </xf>
    <xf numFmtId="0" fontId="0" fillId="0" borderId="19" xfId="0" applyBorder="1"/>
    <xf numFmtId="3" fontId="19" fillId="0" borderId="0" xfId="6" applyNumberFormat="1" applyFont="1" applyFill="1" applyBorder="1" applyAlignment="1"/>
    <xf numFmtId="3" fontId="19" fillId="0" borderId="0" xfId="6" applyNumberFormat="1" applyFont="1" applyFill="1" applyBorder="1" applyAlignment="1">
      <alignment horizontal="center"/>
    </xf>
    <xf numFmtId="3" fontId="4" fillId="0" borderId="0" xfId="6" applyNumberFormat="1" applyFont="1" applyFill="1" applyBorder="1" applyAlignment="1">
      <alignment horizontal="center"/>
    </xf>
    <xf numFmtId="0" fontId="15" fillId="0" borderId="21" xfId="0" applyFont="1" applyBorder="1"/>
    <xf numFmtId="0" fontId="221" fillId="41" borderId="16" xfId="6" applyFont="1" applyFill="1" applyBorder="1"/>
    <xf numFmtId="168" fontId="19" fillId="58" borderId="20" xfId="6" applyNumberFormat="1" applyFont="1" applyFill="1" applyBorder="1" applyAlignment="1">
      <alignment horizontal="center"/>
    </xf>
    <xf numFmtId="256" fontId="19" fillId="39" borderId="16" xfId="6" applyNumberFormat="1" applyFont="1" applyFill="1" applyBorder="1" applyAlignment="1">
      <alignment horizontal="center"/>
    </xf>
    <xf numFmtId="218" fontId="19" fillId="0" borderId="12" xfId="6" applyNumberFormat="1" applyFont="1" applyFill="1" applyBorder="1" applyAlignment="1">
      <alignment horizontal="center"/>
    </xf>
    <xf numFmtId="247" fontId="19" fillId="0" borderId="12" xfId="6" applyNumberFormat="1" applyFont="1" applyFill="1" applyBorder="1" applyAlignment="1">
      <alignment horizontal="center"/>
    </xf>
    <xf numFmtId="247" fontId="19" fillId="0" borderId="0" xfId="6" applyNumberFormat="1" applyFont="1" applyFill="1" applyBorder="1" applyAlignment="1">
      <alignment horizontal="center"/>
    </xf>
    <xf numFmtId="180" fontId="19" fillId="0" borderId="0" xfId="6" applyNumberFormat="1" applyFont="1" applyFill="1" applyBorder="1" applyAlignment="1">
      <alignment horizontal="center"/>
    </xf>
    <xf numFmtId="0" fontId="222" fillId="3" borderId="36" xfId="2" applyFont="1" applyFill="1" applyBorder="1" applyAlignment="1" applyProtection="1">
      <alignment horizontal="center"/>
    </xf>
    <xf numFmtId="0" fontId="15" fillId="0" borderId="0" xfId="6" applyFont="1"/>
    <xf numFmtId="170" fontId="25" fillId="42" borderId="20" xfId="13" applyNumberFormat="1" applyFont="1" applyFill="1" applyBorder="1" applyAlignment="1" applyProtection="1">
      <alignment horizontal="center"/>
    </xf>
    <xf numFmtId="170" fontId="25" fillId="4" borderId="20" xfId="13" applyNumberFormat="1" applyFont="1" applyFill="1" applyBorder="1" applyAlignment="1" applyProtection="1">
      <alignment horizontal="center"/>
    </xf>
    <xf numFmtId="170" fontId="15" fillId="3" borderId="20" xfId="13" applyNumberFormat="1" applyFont="1" applyFill="1" applyBorder="1" applyAlignment="1" applyProtection="1">
      <alignment horizontal="center"/>
    </xf>
    <xf numFmtId="3" fontId="64" fillId="12" borderId="20" xfId="10" applyNumberFormat="1" applyFont="1" applyFill="1" applyBorder="1" applyAlignment="1" applyProtection="1">
      <alignment horizontal="center"/>
    </xf>
    <xf numFmtId="170" fontId="15" fillId="52" borderId="20" xfId="13" applyNumberFormat="1" applyFont="1" applyFill="1" applyBorder="1" applyAlignment="1" applyProtection="1">
      <alignment horizontal="center"/>
    </xf>
    <xf numFmtId="170" fontId="25" fillId="10" borderId="20" xfId="13" applyNumberFormat="1" applyFont="1" applyFill="1" applyBorder="1" applyAlignment="1" applyProtection="1">
      <alignment horizontal="center"/>
    </xf>
    <xf numFmtId="168" fontId="15" fillId="3" borderId="20" xfId="13" applyNumberFormat="1" applyFont="1" applyFill="1" applyBorder="1" applyAlignment="1" applyProtection="1">
      <alignment horizontal="center"/>
    </xf>
    <xf numFmtId="0" fontId="15" fillId="3" borderId="20" xfId="13" applyFont="1" applyFill="1" applyBorder="1" applyProtection="1"/>
    <xf numFmtId="0" fontId="223" fillId="46" borderId="0" xfId="6" applyFont="1" applyFill="1" applyBorder="1" applyAlignment="1">
      <alignment horizontal="left"/>
    </xf>
    <xf numFmtId="0" fontId="19" fillId="4" borderId="20" xfId="6" applyNumberFormat="1" applyFont="1" applyFill="1" applyBorder="1" applyAlignment="1">
      <alignment horizontal="center"/>
    </xf>
    <xf numFmtId="0" fontId="223" fillId="80" borderId="24" xfId="6" applyFont="1" applyFill="1" applyBorder="1" applyAlignment="1">
      <alignment horizontal="left"/>
    </xf>
    <xf numFmtId="0" fontId="19" fillId="39" borderId="24" xfId="6" applyFont="1" applyFill="1" applyBorder="1"/>
    <xf numFmtId="0" fontId="19" fillId="39" borderId="23" xfId="6" applyFont="1" applyFill="1" applyBorder="1"/>
    <xf numFmtId="0" fontId="223" fillId="46" borderId="5" xfId="6" applyFont="1" applyFill="1" applyBorder="1" applyAlignment="1">
      <alignment horizontal="left"/>
    </xf>
    <xf numFmtId="0" fontId="224" fillId="0" borderId="0" xfId="4" applyFont="1"/>
    <xf numFmtId="0" fontId="224" fillId="0" borderId="0" xfId="3" applyFont="1"/>
    <xf numFmtId="0" fontId="225" fillId="0" borderId="0" xfId="3" applyFont="1"/>
    <xf numFmtId="261" fontId="147" fillId="79" borderId="16" xfId="6" applyNumberFormat="1" applyFont="1" applyFill="1" applyBorder="1" applyAlignment="1">
      <alignment horizontal="center"/>
    </xf>
    <xf numFmtId="0" fontId="226" fillId="0" borderId="0" xfId="4" applyFont="1"/>
    <xf numFmtId="0" fontId="226" fillId="0" borderId="0" xfId="4" applyFont="1" applyAlignment="1">
      <alignment horizontal="center"/>
    </xf>
    <xf numFmtId="0" fontId="226" fillId="0" borderId="0" xfId="3" applyFont="1"/>
    <xf numFmtId="0" fontId="6" fillId="42" borderId="19" xfId="13" applyFont="1" applyFill="1" applyBorder="1" applyProtection="1"/>
    <xf numFmtId="170" fontId="6" fillId="42" borderId="0" xfId="13" applyNumberFormat="1" applyFont="1" applyFill="1" applyBorder="1" applyProtection="1"/>
    <xf numFmtId="0" fontId="6" fillId="42" borderId="12" xfId="13" applyFont="1" applyFill="1" applyBorder="1" applyProtection="1"/>
    <xf numFmtId="0" fontId="6" fillId="42" borderId="37" xfId="13" applyFont="1" applyFill="1" applyBorder="1" applyProtection="1"/>
    <xf numFmtId="0" fontId="6" fillId="42" borderId="40" xfId="13" applyFont="1" applyFill="1" applyBorder="1" applyProtection="1"/>
    <xf numFmtId="0" fontId="6" fillId="42" borderId="36" xfId="13" applyFont="1" applyFill="1" applyBorder="1" applyProtection="1"/>
    <xf numFmtId="0" fontId="25" fillId="3" borderId="38" xfId="13" applyFont="1" applyFill="1" applyBorder="1" applyAlignment="1" applyProtection="1">
      <alignment horizontal="center" vertical="center" textRotation="90" wrapText="1"/>
    </xf>
    <xf numFmtId="0" fontId="25" fillId="3" borderId="20" xfId="13" applyFont="1" applyFill="1" applyBorder="1" applyAlignment="1" applyProtection="1">
      <alignment horizontal="center" vertical="center" textRotation="90" wrapText="1"/>
    </xf>
    <xf numFmtId="3" fontId="18" fillId="3" borderId="0" xfId="11" applyNumberFormat="1" applyFont="1" applyFill="1" applyBorder="1" applyAlignment="1" applyProtection="1">
      <alignment horizontal="center"/>
    </xf>
    <xf numFmtId="167" fontId="18" fillId="3" borderId="38" xfId="13" applyNumberFormat="1" applyFont="1" applyFill="1" applyBorder="1" applyAlignment="1" applyProtection="1">
      <alignment horizontal="center" vertical="center" textRotation="90" wrapText="1"/>
    </xf>
    <xf numFmtId="167" fontId="18" fillId="3" borderId="20" xfId="13" applyNumberFormat="1" applyFont="1" applyFill="1" applyBorder="1" applyAlignment="1" applyProtection="1">
      <alignment horizontal="center" vertical="center" textRotation="90" wrapText="1"/>
    </xf>
    <xf numFmtId="3" fontId="19" fillId="42" borderId="24" xfId="10" applyNumberFormat="1" applyFont="1" applyFill="1" applyBorder="1" applyAlignment="1" applyProtection="1">
      <alignment horizontal="center"/>
    </xf>
    <xf numFmtId="3" fontId="16" fillId="42" borderId="22" xfId="10" applyNumberFormat="1" applyFont="1" applyFill="1" applyBorder="1" applyAlignment="1" applyProtection="1">
      <alignment horizontal="left"/>
    </xf>
    <xf numFmtId="1" fontId="18" fillId="42" borderId="24" xfId="13" applyNumberFormat="1" applyFont="1" applyFill="1" applyBorder="1" applyAlignment="1" applyProtection="1">
      <alignment horizontal="center" vertical="center"/>
    </xf>
    <xf numFmtId="167" fontId="227" fillId="12" borderId="20" xfId="10" applyNumberFormat="1" applyFont="1" applyFill="1" applyBorder="1" applyAlignment="1" applyProtection="1">
      <alignment horizontal="center"/>
    </xf>
    <xf numFmtId="0" fontId="16" fillId="0" borderId="0" xfId="13" applyFont="1" applyFill="1" applyBorder="1" applyProtection="1"/>
    <xf numFmtId="9" fontId="6" fillId="0" borderId="0" xfId="14" applyFont="1" applyFill="1" applyBorder="1" applyAlignment="1" applyProtection="1">
      <alignment horizontal="center"/>
    </xf>
    <xf numFmtId="168" fontId="6" fillId="0" borderId="0" xfId="13" applyNumberFormat="1" applyFont="1" applyFill="1" applyBorder="1" applyAlignment="1" applyProtection="1">
      <alignment horizontal="center"/>
    </xf>
    <xf numFmtId="1" fontId="6" fillId="0" borderId="0" xfId="13" applyNumberFormat="1" applyFont="1" applyFill="1" applyBorder="1" applyAlignment="1" applyProtection="1">
      <alignment horizontal="center"/>
    </xf>
    <xf numFmtId="168" fontId="15" fillId="0" borderId="0" xfId="13" applyNumberFormat="1" applyFont="1" applyFill="1" applyBorder="1" applyAlignment="1" applyProtection="1">
      <alignment horizontal="center"/>
    </xf>
    <xf numFmtId="0" fontId="112" fillId="13" borderId="38" xfId="13" applyFont="1" applyFill="1" applyBorder="1" applyProtection="1"/>
    <xf numFmtId="0" fontId="6" fillId="13" borderId="40" xfId="13" applyFont="1" applyFill="1" applyBorder="1" applyAlignment="1" applyProtection="1">
      <alignment horizontal="center"/>
    </xf>
    <xf numFmtId="0" fontId="6" fillId="13" borderId="36" xfId="13" applyFont="1" applyFill="1" applyBorder="1" applyAlignment="1" applyProtection="1">
      <alignment horizontal="center"/>
    </xf>
    <xf numFmtId="0" fontId="6" fillId="13" borderId="35" xfId="13" applyFont="1" applyFill="1" applyBorder="1" applyAlignment="1" applyProtection="1">
      <alignment horizontal="center"/>
    </xf>
    <xf numFmtId="0" fontId="6" fillId="13" borderId="21" xfId="13" applyFont="1" applyFill="1" applyBorder="1" applyProtection="1"/>
    <xf numFmtId="0" fontId="6" fillId="0" borderId="35" xfId="13" applyFont="1" applyBorder="1" applyProtection="1"/>
    <xf numFmtId="168" fontId="15" fillId="3" borderId="39" xfId="13" applyNumberFormat="1" applyFont="1" applyFill="1" applyBorder="1" applyAlignment="1" applyProtection="1">
      <alignment horizontal="center"/>
    </xf>
    <xf numFmtId="4" fontId="6" fillId="0" borderId="16" xfId="10" applyNumberFormat="1" applyFont="1" applyFill="1" applyBorder="1" applyAlignment="1" applyProtection="1">
      <alignment horizontal="center" vertical="center"/>
    </xf>
    <xf numFmtId="223" fontId="225" fillId="3" borderId="0" xfId="1" applyNumberFormat="1" applyFont="1" applyFill="1" applyBorder="1" applyAlignment="1" applyProtection="1">
      <alignment horizontal="right"/>
    </xf>
    <xf numFmtId="3" fontId="18" fillId="3" borderId="12" xfId="20" applyNumberFormat="1" applyFont="1" applyFill="1" applyBorder="1" applyAlignment="1" applyProtection="1">
      <alignment horizontal="centerContinuous"/>
    </xf>
    <xf numFmtId="3" fontId="28" fillId="4" borderId="0" xfId="20" applyNumberFormat="1" applyFont="1" applyFill="1" applyBorder="1" applyAlignment="1" applyProtection="1">
      <alignment horizontal="center"/>
    </xf>
    <xf numFmtId="0" fontId="19" fillId="4" borderId="35" xfId="6" applyFont="1" applyFill="1" applyBorder="1" applyAlignment="1">
      <alignment horizontal="center"/>
    </xf>
    <xf numFmtId="173" fontId="19" fillId="4" borderId="41" xfId="6" applyNumberFormat="1" applyFont="1" applyFill="1" applyBorder="1" applyAlignment="1">
      <alignment horizontal="center"/>
    </xf>
    <xf numFmtId="0" fontId="19" fillId="40" borderId="40" xfId="6" applyFont="1" applyFill="1" applyBorder="1" applyAlignment="1">
      <alignment horizontal="center"/>
    </xf>
    <xf numFmtId="250" fontId="19" fillId="38" borderId="12" xfId="6" applyNumberFormat="1" applyFont="1" applyFill="1" applyBorder="1" applyAlignment="1">
      <alignment horizontal="center"/>
    </xf>
    <xf numFmtId="3" fontId="15" fillId="0" borderId="0" xfId="9" applyNumberFormat="1" applyFont="1" applyBorder="1" applyAlignment="1" applyProtection="1">
      <alignment horizontal="center" vertical="top" wrapText="1"/>
    </xf>
    <xf numFmtId="223" fontId="37" fillId="3" borderId="0" xfId="22" applyNumberFormat="1" applyFont="1" applyFill="1" applyBorder="1" applyAlignment="1" applyProtection="1">
      <alignment horizontal="right"/>
    </xf>
    <xf numFmtId="0" fontId="25" fillId="3" borderId="38" xfId="13" applyFont="1" applyFill="1" applyBorder="1" applyAlignment="1" applyProtection="1">
      <alignment horizontal="center" vertical="center" textRotation="90" wrapText="1"/>
    </xf>
    <xf numFmtId="0" fontId="25" fillId="3" borderId="20" xfId="13" applyFont="1" applyFill="1" applyBorder="1" applyAlignment="1" applyProtection="1">
      <alignment horizontal="center" vertical="center" textRotation="90" wrapText="1"/>
    </xf>
    <xf numFmtId="0" fontId="25" fillId="3" borderId="39" xfId="13" applyFont="1" applyFill="1" applyBorder="1" applyAlignment="1" applyProtection="1">
      <alignment horizontal="center" vertical="center" textRotation="90" wrapText="1"/>
    </xf>
    <xf numFmtId="0" fontId="18" fillId="3" borderId="19" xfId="10" applyFont="1" applyFill="1" applyBorder="1" applyAlignment="1" applyProtection="1">
      <alignment horizontal="center"/>
    </xf>
    <xf numFmtId="250" fontId="19" fillId="4" borderId="16" xfId="6" applyNumberFormat="1" applyFont="1" applyFill="1" applyBorder="1" applyAlignment="1">
      <alignment horizontal="center"/>
    </xf>
    <xf numFmtId="250" fontId="19" fillId="4" borderId="38" xfId="0" applyNumberFormat="1" applyFont="1" applyFill="1" applyBorder="1" applyAlignment="1">
      <alignment horizontal="center"/>
    </xf>
    <xf numFmtId="250" fontId="19" fillId="0" borderId="40" xfId="6" applyNumberFormat="1" applyFont="1" applyFill="1" applyBorder="1" applyAlignment="1">
      <alignment horizontal="center"/>
    </xf>
    <xf numFmtId="250" fontId="19" fillId="0" borderId="12" xfId="6" applyNumberFormat="1" applyFont="1" applyFill="1" applyBorder="1" applyAlignment="1">
      <alignment horizontal="center"/>
    </xf>
    <xf numFmtId="250" fontId="19" fillId="0" borderId="0" xfId="6" applyNumberFormat="1" applyFont="1" applyFill="1" applyBorder="1" applyAlignment="1">
      <alignment horizontal="center"/>
    </xf>
    <xf numFmtId="250" fontId="19" fillId="53" borderId="12" xfId="6" applyNumberFormat="1" applyFont="1" applyFill="1" applyBorder="1" applyAlignment="1">
      <alignment horizontal="center"/>
    </xf>
    <xf numFmtId="250" fontId="19" fillId="0" borderId="12" xfId="6" applyNumberFormat="1" applyFont="1" applyBorder="1" applyAlignment="1">
      <alignment horizontal="center"/>
    </xf>
    <xf numFmtId="3" fontId="16" fillId="38" borderId="20" xfId="10" applyNumberFormat="1" applyFont="1" applyFill="1" applyBorder="1" applyAlignment="1" applyProtection="1">
      <alignment horizontal="left" indent="1"/>
    </xf>
    <xf numFmtId="1" fontId="25" fillId="38" borderId="19" xfId="13" applyNumberFormat="1" applyFont="1" applyFill="1" applyBorder="1" applyAlignment="1" applyProtection="1">
      <alignment horizontal="center" vertical="center"/>
    </xf>
    <xf numFmtId="3" fontId="18" fillId="38" borderId="19" xfId="10" applyNumberFormat="1" applyFont="1" applyFill="1" applyBorder="1" applyAlignment="1" applyProtection="1">
      <alignment horizontal="center"/>
    </xf>
    <xf numFmtId="3" fontId="28" fillId="38" borderId="0" xfId="11" applyNumberFormat="1" applyFont="1" applyFill="1" applyBorder="1" applyAlignment="1" applyProtection="1">
      <alignment horizontal="center"/>
    </xf>
    <xf numFmtId="1" fontId="18" fillId="38" borderId="20" xfId="13" applyNumberFormat="1" applyFont="1" applyFill="1" applyBorder="1" applyAlignment="1" applyProtection="1">
      <alignment horizontal="center" vertical="center"/>
    </xf>
    <xf numFmtId="1" fontId="28" fillId="38" borderId="19" xfId="13" applyNumberFormat="1" applyFont="1" applyFill="1" applyBorder="1" applyAlignment="1" applyProtection="1">
      <alignment horizontal="center" vertical="center"/>
    </xf>
    <xf numFmtId="170" fontId="18" fillId="38" borderId="19" xfId="13" applyNumberFormat="1" applyFont="1" applyFill="1" applyBorder="1" applyAlignment="1" applyProtection="1">
      <alignment horizontal="center"/>
    </xf>
    <xf numFmtId="3" fontId="18" fillId="38" borderId="20" xfId="10" applyNumberFormat="1" applyFont="1" applyFill="1" applyBorder="1" applyAlignment="1" applyProtection="1">
      <alignment horizontal="center"/>
    </xf>
    <xf numFmtId="3" fontId="6" fillId="38" borderId="21" xfId="13" applyNumberFormat="1" applyFont="1" applyFill="1" applyBorder="1" applyAlignment="1" applyProtection="1">
      <alignment horizontal="left"/>
    </xf>
    <xf numFmtId="168" fontId="60" fillId="42" borderId="0" xfId="13" applyNumberFormat="1" applyFont="1" applyFill="1" applyBorder="1" applyProtection="1"/>
    <xf numFmtId="2" fontId="6" fillId="42" borderId="0" xfId="13" applyNumberFormat="1" applyFont="1" applyFill="1" applyBorder="1" applyProtection="1"/>
    <xf numFmtId="168" fontId="6" fillId="42" borderId="0" xfId="13" applyNumberFormat="1" applyFont="1" applyFill="1" applyBorder="1" applyProtection="1"/>
    <xf numFmtId="168" fontId="19" fillId="0" borderId="0" xfId="13" applyNumberFormat="1" applyFont="1" applyBorder="1" applyAlignment="1" applyProtection="1">
      <alignment horizontal="center"/>
    </xf>
    <xf numFmtId="0" fontId="19" fillId="0" borderId="0" xfId="13" applyFont="1" applyBorder="1" applyAlignment="1" applyProtection="1">
      <alignment horizontal="center"/>
    </xf>
    <xf numFmtId="0" fontId="6" fillId="38" borderId="0" xfId="13" applyFont="1" applyFill="1" applyBorder="1" applyProtection="1"/>
    <xf numFmtId="0" fontId="16" fillId="3" borderId="22" xfId="13" applyFont="1" applyFill="1" applyBorder="1" applyAlignment="1" applyProtection="1">
      <alignment horizontal="left" vertical="center"/>
    </xf>
    <xf numFmtId="0" fontId="15" fillId="39" borderId="24" xfId="13" applyFont="1" applyFill="1" applyBorder="1" applyAlignment="1" applyProtection="1">
      <alignment horizontal="center"/>
    </xf>
    <xf numFmtId="0" fontId="6" fillId="13" borderId="24" xfId="13" applyFont="1" applyFill="1" applyBorder="1" applyProtection="1"/>
    <xf numFmtId="0" fontId="86" fillId="58" borderId="21" xfId="6" applyFont="1" applyFill="1" applyBorder="1"/>
    <xf numFmtId="3" fontId="16" fillId="42" borderId="24" xfId="13" applyNumberFormat="1" applyFont="1" applyFill="1" applyBorder="1" applyProtection="1"/>
    <xf numFmtId="0" fontId="0" fillId="53" borderId="0" xfId="0" applyFill="1"/>
    <xf numFmtId="170" fontId="6" fillId="0" borderId="0" xfId="13" applyNumberFormat="1" applyFont="1" applyAlignment="1" applyProtection="1">
      <alignment horizontal="center"/>
    </xf>
    <xf numFmtId="1" fontId="19" fillId="6" borderId="35" xfId="0" applyNumberFormat="1" applyFont="1" applyFill="1" applyBorder="1" applyProtection="1"/>
    <xf numFmtId="1" fontId="19" fillId="3" borderId="41" xfId="10" applyNumberFormat="1" applyFont="1" applyFill="1" applyBorder="1" applyAlignment="1" applyProtection="1">
      <alignment horizontal="center"/>
    </xf>
    <xf numFmtId="1" fontId="18" fillId="0" borderId="0" xfId="0" applyNumberFormat="1" applyFont="1" applyAlignment="1" applyProtection="1">
      <alignment horizontal="center"/>
    </xf>
    <xf numFmtId="1" fontId="18" fillId="3" borderId="35" xfId="10" applyNumberFormat="1" applyFont="1" applyFill="1" applyBorder="1" applyAlignment="1" applyProtection="1">
      <alignment horizontal="center"/>
    </xf>
    <xf numFmtId="1" fontId="18" fillId="3" borderId="21" xfId="10" applyNumberFormat="1" applyFont="1" applyFill="1" applyBorder="1" applyAlignment="1" applyProtection="1">
      <alignment horizontal="center"/>
    </xf>
    <xf numFmtId="1" fontId="19" fillId="6" borderId="35" xfId="0" applyNumberFormat="1" applyFont="1" applyFill="1" applyBorder="1" applyAlignment="1" applyProtection="1">
      <alignment horizontal="center"/>
    </xf>
    <xf numFmtId="1" fontId="19" fillId="4" borderId="21" xfId="4" applyNumberFormat="1" applyFont="1" applyFill="1" applyBorder="1" applyAlignment="1" applyProtection="1">
      <alignment horizontal="center"/>
    </xf>
    <xf numFmtId="1" fontId="19" fillId="3" borderId="21" xfId="20" applyNumberFormat="1" applyFont="1" applyFill="1" applyBorder="1" applyAlignment="1" applyProtection="1">
      <alignment horizontal="center"/>
    </xf>
    <xf numFmtId="1" fontId="19" fillId="3" borderId="21" xfId="11" applyNumberFormat="1" applyFont="1" applyFill="1" applyBorder="1" applyAlignment="1" applyProtection="1">
      <alignment horizontal="center"/>
    </xf>
    <xf numFmtId="1" fontId="19" fillId="6" borderId="21" xfId="0" applyNumberFormat="1" applyFont="1" applyFill="1" applyBorder="1" applyAlignment="1" applyProtection="1">
      <alignment horizontal="center"/>
    </xf>
    <xf numFmtId="1" fontId="19" fillId="4" borderId="21" xfId="0" applyNumberFormat="1" applyFont="1" applyFill="1" applyBorder="1" applyAlignment="1" applyProtection="1">
      <alignment horizontal="center"/>
    </xf>
    <xf numFmtId="1" fontId="19" fillId="3" borderId="21" xfId="10" applyNumberFormat="1" applyFont="1" applyFill="1" applyBorder="1" applyAlignment="1" applyProtection="1">
      <alignment horizontal="center"/>
    </xf>
    <xf numFmtId="1" fontId="19" fillId="31" borderId="41" xfId="10" applyNumberFormat="1" applyFont="1" applyFill="1" applyBorder="1" applyAlignment="1" applyProtection="1">
      <alignment horizontal="center"/>
    </xf>
    <xf numFmtId="1" fontId="19" fillId="0" borderId="0" xfId="0" applyNumberFormat="1" applyFont="1" applyProtection="1"/>
    <xf numFmtId="1" fontId="19" fillId="3" borderId="36" xfId="14" applyNumberFormat="1" applyFont="1" applyFill="1" applyBorder="1" applyAlignment="1" applyProtection="1">
      <alignment horizontal="center"/>
    </xf>
    <xf numFmtId="1" fontId="99" fillId="32" borderId="36" xfId="6" applyNumberFormat="1" applyFont="1" applyFill="1" applyBorder="1" applyAlignment="1">
      <alignment horizontal="center"/>
    </xf>
    <xf numFmtId="1" fontId="142" fillId="39" borderId="16" xfId="0" applyNumberFormat="1" applyFont="1" applyFill="1" applyBorder="1" applyAlignment="1" applyProtection="1">
      <alignment horizontal="center"/>
    </xf>
    <xf numFmtId="1" fontId="19" fillId="3" borderId="19" xfId="0" applyNumberFormat="1" applyFont="1" applyFill="1" applyBorder="1" applyProtection="1"/>
    <xf numFmtId="1" fontId="41" fillId="3" borderId="19" xfId="0" applyNumberFormat="1" applyFont="1" applyFill="1" applyBorder="1" applyAlignment="1" applyProtection="1">
      <alignment horizontal="center"/>
    </xf>
    <xf numFmtId="1" fontId="41" fillId="3" borderId="40" xfId="0" applyNumberFormat="1" applyFont="1" applyFill="1" applyBorder="1" applyAlignment="1" applyProtection="1">
      <alignment horizontal="center"/>
    </xf>
    <xf numFmtId="1" fontId="41" fillId="3" borderId="0" xfId="0" applyNumberFormat="1" applyFont="1" applyFill="1" applyBorder="1" applyAlignment="1" applyProtection="1">
      <alignment horizontal="center"/>
    </xf>
    <xf numFmtId="1" fontId="19" fillId="3" borderId="0" xfId="0" applyNumberFormat="1" applyFont="1" applyFill="1" applyBorder="1" applyAlignment="1" applyProtection="1">
      <alignment horizontal="center"/>
    </xf>
    <xf numFmtId="1" fontId="19" fillId="55" borderId="0" xfId="0" applyNumberFormat="1" applyFont="1" applyFill="1" applyBorder="1" applyProtection="1"/>
    <xf numFmtId="1" fontId="19" fillId="16" borderId="23" xfId="0" applyNumberFormat="1" applyFont="1" applyFill="1" applyBorder="1" applyProtection="1"/>
    <xf numFmtId="1" fontId="19" fillId="3" borderId="37" xfId="0" applyNumberFormat="1" applyFont="1" applyFill="1" applyBorder="1" applyProtection="1"/>
    <xf numFmtId="1" fontId="19" fillId="0" borderId="0" xfId="0" applyNumberFormat="1" applyFont="1" applyFill="1" applyBorder="1" applyProtection="1"/>
    <xf numFmtId="1" fontId="19" fillId="0" borderId="0" xfId="6" applyNumberFormat="1" applyFont="1"/>
    <xf numFmtId="4" fontId="228" fillId="0" borderId="16" xfId="10" applyNumberFormat="1" applyFont="1" applyFill="1" applyBorder="1" applyAlignment="1" applyProtection="1">
      <protection locked="0"/>
    </xf>
    <xf numFmtId="172" fontId="228" fillId="0" borderId="16" xfId="0" applyNumberFormat="1" applyFont="1" applyBorder="1" applyAlignment="1">
      <alignment horizontal="center"/>
    </xf>
    <xf numFmtId="251" fontId="228" fillId="0" borderId="16" xfId="0" applyNumberFormat="1" applyFont="1" applyBorder="1" applyAlignment="1">
      <alignment horizontal="center"/>
    </xf>
    <xf numFmtId="4" fontId="229" fillId="0" borderId="16" xfId="10" applyNumberFormat="1" applyFont="1" applyFill="1" applyBorder="1" applyAlignment="1" applyProtection="1">
      <protection locked="0"/>
    </xf>
    <xf numFmtId="172" fontId="229" fillId="0" borderId="16" xfId="0" applyNumberFormat="1" applyFont="1" applyBorder="1" applyAlignment="1">
      <alignment horizontal="center"/>
    </xf>
    <xf numFmtId="251" fontId="229" fillId="0" borderId="16" xfId="0" applyNumberFormat="1" applyFont="1" applyBorder="1" applyAlignment="1">
      <alignment horizontal="center"/>
    </xf>
    <xf numFmtId="262" fontId="4" fillId="0" borderId="0" xfId="0" applyNumberFormat="1" applyFont="1"/>
    <xf numFmtId="262" fontId="0" fillId="0" borderId="0" xfId="0" applyNumberFormat="1"/>
    <xf numFmtId="251" fontId="4" fillId="0" borderId="0" xfId="0" applyNumberFormat="1" applyFont="1"/>
    <xf numFmtId="9" fontId="19" fillId="39" borderId="20" xfId="0" applyNumberFormat="1" applyFont="1" applyFill="1" applyBorder="1" applyProtection="1"/>
    <xf numFmtId="167" fontId="19" fillId="39" borderId="36" xfId="0" applyNumberFormat="1" applyFont="1" applyFill="1" applyBorder="1" applyAlignment="1" applyProtection="1">
      <alignment horizontal="left"/>
    </xf>
    <xf numFmtId="167" fontId="19" fillId="3" borderId="0" xfId="0" applyNumberFormat="1" applyFont="1" applyFill="1" applyBorder="1" applyAlignment="1" applyProtection="1">
      <alignment horizontal="center"/>
    </xf>
    <xf numFmtId="0" fontId="6" fillId="63" borderId="0" xfId="13" applyFont="1" applyFill="1" applyProtection="1"/>
    <xf numFmtId="0" fontId="25" fillId="3" borderId="38" xfId="13" applyFont="1" applyFill="1" applyBorder="1" applyAlignment="1" applyProtection="1">
      <alignment horizontal="center" vertical="center" textRotation="90" wrapText="1"/>
    </xf>
    <xf numFmtId="0" fontId="25" fillId="3" borderId="20" xfId="13" applyFont="1" applyFill="1" applyBorder="1" applyAlignment="1" applyProtection="1">
      <alignment horizontal="center" vertical="center" textRotation="90" wrapText="1"/>
    </xf>
    <xf numFmtId="0" fontId="25" fillId="3" borderId="39" xfId="13" applyFont="1" applyFill="1" applyBorder="1" applyAlignment="1" applyProtection="1">
      <alignment horizontal="center" vertical="center" textRotation="90" wrapText="1"/>
    </xf>
    <xf numFmtId="0" fontId="18" fillId="3" borderId="19" xfId="10" applyFont="1" applyFill="1" applyBorder="1" applyAlignment="1" applyProtection="1">
      <alignment horizontal="center"/>
    </xf>
    <xf numFmtId="0" fontId="19" fillId="3" borderId="36" xfId="0" applyFont="1" applyFill="1" applyBorder="1" applyAlignment="1" applyProtection="1">
      <alignment horizontal="center"/>
    </xf>
    <xf numFmtId="0" fontId="19" fillId="3" borderId="19" xfId="0" applyFont="1" applyFill="1" applyBorder="1" applyAlignment="1" applyProtection="1">
      <alignment horizontal="center"/>
    </xf>
    <xf numFmtId="0" fontId="19" fillId="6" borderId="36" xfId="0" applyFont="1" applyFill="1" applyBorder="1" applyAlignment="1" applyProtection="1">
      <alignment horizontal="center"/>
    </xf>
    <xf numFmtId="225" fontId="19" fillId="0" borderId="20" xfId="0" applyNumberFormat="1" applyFont="1" applyBorder="1" applyAlignment="1" applyProtection="1">
      <alignment horizontal="center"/>
    </xf>
    <xf numFmtId="225" fontId="19" fillId="0" borderId="20" xfId="4" applyNumberFormat="1" applyFont="1" applyBorder="1" applyAlignment="1" applyProtection="1">
      <alignment horizontal="center"/>
    </xf>
    <xf numFmtId="9" fontId="19" fillId="0" borderId="20" xfId="14" applyFont="1" applyBorder="1" applyAlignment="1" applyProtection="1">
      <alignment horizontal="center"/>
    </xf>
    <xf numFmtId="0" fontId="19" fillId="0" borderId="39" xfId="0" applyFont="1" applyBorder="1" applyAlignment="1" applyProtection="1">
      <alignment horizontal="center"/>
    </xf>
    <xf numFmtId="253" fontId="19" fillId="0" borderId="0" xfId="14" applyNumberFormat="1" applyFont="1" applyAlignment="1" applyProtection="1">
      <alignment horizontal="right"/>
    </xf>
    <xf numFmtId="0" fontId="19" fillId="0" borderId="0" xfId="4" applyFont="1" applyAlignment="1" applyProtection="1">
      <alignment horizontal="right"/>
    </xf>
    <xf numFmtId="208" fontId="37" fillId="0" borderId="19" xfId="9" applyNumberFormat="1" applyFont="1" applyFill="1" applyBorder="1" applyAlignment="1" applyProtection="1">
      <alignment horizontal="right"/>
    </xf>
    <xf numFmtId="165" fontId="19" fillId="0" borderId="0" xfId="14" applyNumberFormat="1" applyFont="1" applyAlignment="1" applyProtection="1">
      <alignment horizontal="right"/>
    </xf>
    <xf numFmtId="0" fontId="19" fillId="0" borderId="0" xfId="0" applyFont="1" applyAlignment="1" applyProtection="1">
      <alignment horizontal="right"/>
    </xf>
    <xf numFmtId="0" fontId="41" fillId="4" borderId="21" xfId="0" applyFont="1" applyFill="1" applyBorder="1" applyAlignment="1" applyProtection="1">
      <alignment horizontal="right"/>
    </xf>
    <xf numFmtId="0" fontId="19" fillId="0" borderId="0" xfId="3" applyFont="1" applyAlignment="1" applyProtection="1">
      <alignment horizontal="right"/>
    </xf>
    <xf numFmtId="263" fontId="19" fillId="0" borderId="0" xfId="14" applyNumberFormat="1" applyFont="1" applyAlignment="1" applyProtection="1">
      <alignment horizontal="right"/>
    </xf>
    <xf numFmtId="247" fontId="19" fillId="0" borderId="0" xfId="13" applyNumberFormat="1" applyFont="1" applyProtection="1"/>
    <xf numFmtId="168" fontId="19" fillId="0" borderId="0" xfId="13" applyNumberFormat="1" applyFont="1" applyAlignment="1" applyProtection="1">
      <alignment horizontal="center"/>
    </xf>
    <xf numFmtId="167" fontId="19" fillId="6" borderId="21" xfId="0" applyNumberFormat="1" applyFont="1" applyFill="1" applyBorder="1" applyProtection="1"/>
    <xf numFmtId="253" fontId="19" fillId="0" borderId="0" xfId="14" applyNumberFormat="1" applyFont="1" applyProtection="1"/>
    <xf numFmtId="0" fontId="19" fillId="3" borderId="36" xfId="6" applyFont="1" applyFill="1" applyBorder="1"/>
    <xf numFmtId="0" fontId="19" fillId="58" borderId="23" xfId="6" applyFont="1" applyFill="1" applyBorder="1"/>
    <xf numFmtId="0" fontId="19" fillId="58" borderId="24" xfId="6" applyFont="1" applyFill="1" applyBorder="1" applyAlignment="1">
      <alignment horizontal="right"/>
    </xf>
    <xf numFmtId="0" fontId="19" fillId="58" borderId="22" xfId="6" applyFont="1" applyFill="1" applyBorder="1"/>
    <xf numFmtId="9" fontId="19" fillId="0" borderId="0" xfId="14" applyFont="1" applyFill="1" applyAlignment="1" applyProtection="1">
      <alignment horizontal="center"/>
    </xf>
    <xf numFmtId="264" fontId="19" fillId="40" borderId="16" xfId="6" applyNumberFormat="1" applyFont="1" applyFill="1" applyBorder="1" applyAlignment="1">
      <alignment horizontal="center"/>
    </xf>
    <xf numFmtId="183" fontId="180" fillId="40" borderId="24" xfId="0" applyNumberFormat="1" applyFont="1" applyFill="1" applyBorder="1" applyAlignment="1">
      <alignment horizontal="center" vertical="center" wrapText="1"/>
    </xf>
    <xf numFmtId="222" fontId="19" fillId="3" borderId="12" xfId="6" applyNumberFormat="1" applyFont="1" applyFill="1" applyBorder="1" applyAlignment="1">
      <alignment horizontal="centerContinuous"/>
    </xf>
    <xf numFmtId="218" fontId="19" fillId="42" borderId="37" xfId="6" applyNumberFormat="1" applyFont="1" applyFill="1" applyBorder="1" applyAlignment="1">
      <alignment horizontal="center"/>
    </xf>
    <xf numFmtId="0" fontId="225" fillId="0" borderId="0" xfId="4" applyFont="1" applyAlignment="1">
      <alignment horizontal="center"/>
    </xf>
    <xf numFmtId="0" fontId="225" fillId="0" borderId="0" xfId="4" applyFont="1"/>
    <xf numFmtId="0" fontId="230" fillId="3" borderId="0" xfId="2" applyFont="1" applyFill="1" applyAlignment="1" applyProtection="1"/>
    <xf numFmtId="0" fontId="231" fillId="0" borderId="0" xfId="3" applyFont="1"/>
    <xf numFmtId="0" fontId="2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18" fillId="0" borderId="0" xfId="6" applyFont="1" applyAlignment="1">
      <alignment horizontal="center"/>
    </xf>
    <xf numFmtId="0" fontId="70" fillId="3" borderId="36" xfId="10" applyFont="1" applyFill="1" applyBorder="1" applyAlignment="1" applyProtection="1">
      <alignment horizontal="center"/>
    </xf>
    <xf numFmtId="0" fontId="70" fillId="3" borderId="19" xfId="10" applyFont="1" applyFill="1" applyBorder="1" applyAlignment="1" applyProtection="1">
      <alignment horizontal="center"/>
    </xf>
    <xf numFmtId="1" fontId="109" fillId="42" borderId="19" xfId="10" applyNumberFormat="1" applyFont="1" applyFill="1" applyBorder="1" applyProtection="1"/>
    <xf numFmtId="223" fontId="109" fillId="42" borderId="19" xfId="10" applyNumberFormat="1" applyFont="1" applyFill="1" applyBorder="1" applyAlignment="1" applyProtection="1">
      <alignment horizontal="center"/>
    </xf>
    <xf numFmtId="167" fontId="109" fillId="2" borderId="19" xfId="10" applyNumberFormat="1" applyFont="1" applyFill="1" applyBorder="1" applyProtection="1"/>
    <xf numFmtId="167" fontId="19" fillId="3" borderId="37" xfId="10" applyNumberFormat="1" applyFont="1" applyFill="1" applyBorder="1" applyProtection="1"/>
    <xf numFmtId="170" fontId="132" fillId="34" borderId="39" xfId="10" applyNumberFormat="1" applyFont="1" applyFill="1" applyBorder="1" applyProtection="1"/>
    <xf numFmtId="223" fontId="109" fillId="81" borderId="19" xfId="10" applyNumberFormat="1" applyFont="1" applyFill="1" applyBorder="1" applyAlignment="1" applyProtection="1">
      <alignment horizontal="center"/>
      <protection locked="0"/>
    </xf>
    <xf numFmtId="168" fontId="19" fillId="0" borderId="0" xfId="6" applyNumberFormat="1" applyFont="1" applyAlignment="1">
      <alignment horizontal="center"/>
    </xf>
    <xf numFmtId="0" fontId="4" fillId="82" borderId="0" xfId="10" applyFont="1" applyFill="1" applyProtection="1"/>
    <xf numFmtId="3" fontId="19" fillId="82" borderId="0" xfId="10" applyNumberFormat="1" applyFont="1" applyFill="1" applyAlignment="1" applyProtection="1">
      <alignment horizontal="center"/>
    </xf>
    <xf numFmtId="3" fontId="4" fillId="82" borderId="0" xfId="10" applyNumberFormat="1" applyFont="1" applyFill="1" applyAlignment="1" applyProtection="1">
      <alignment horizontal="center" wrapText="1"/>
    </xf>
    <xf numFmtId="9" fontId="4" fillId="82" borderId="0" xfId="14" applyFont="1" applyFill="1" applyAlignment="1" applyProtection="1">
      <alignment horizontal="center"/>
    </xf>
    <xf numFmtId="9" fontId="4" fillId="82" borderId="0" xfId="10" applyNumberFormat="1" applyFont="1" applyFill="1" applyProtection="1"/>
    <xf numFmtId="169" fontId="4" fillId="82" borderId="0" xfId="10" applyNumberFormat="1" applyFont="1" applyFill="1" applyProtection="1"/>
    <xf numFmtId="247" fontId="21" fillId="3" borderId="40" xfId="13" applyNumberFormat="1" applyFont="1" applyFill="1" applyBorder="1" applyAlignment="1" applyProtection="1">
      <alignment horizontal="centerContinuous" vertical="center"/>
    </xf>
    <xf numFmtId="247" fontId="16" fillId="3" borderId="0" xfId="13" applyNumberFormat="1" applyFont="1" applyFill="1" applyBorder="1" applyAlignment="1" applyProtection="1">
      <alignment horizontal="centerContinuous" vertical="center"/>
    </xf>
    <xf numFmtId="247" fontId="18" fillId="3" borderId="0" xfId="11" applyNumberFormat="1" applyFont="1" applyFill="1" applyBorder="1" applyAlignment="1" applyProtection="1">
      <alignment horizontal="centerContinuous"/>
    </xf>
    <xf numFmtId="247" fontId="18" fillId="42" borderId="0" xfId="11" applyNumberFormat="1" applyFont="1" applyFill="1" applyBorder="1" applyAlignment="1" applyProtection="1">
      <alignment horizontal="center"/>
    </xf>
    <xf numFmtId="247" fontId="18" fillId="4" borderId="0" xfId="11" applyNumberFormat="1" applyFont="1" applyFill="1" applyBorder="1" applyAlignment="1" applyProtection="1">
      <alignment horizontal="center"/>
    </xf>
    <xf numFmtId="247" fontId="19" fillId="0" borderId="0" xfId="10" applyNumberFormat="1" applyFont="1" applyFill="1" applyBorder="1" applyAlignment="1" applyProtection="1">
      <alignment horizontal="center"/>
    </xf>
    <xf numFmtId="247" fontId="30" fillId="0" borderId="0" xfId="10" applyNumberFormat="1" applyFont="1" applyFill="1" applyBorder="1" applyAlignment="1" applyProtection="1">
      <alignment horizontal="center"/>
    </xf>
    <xf numFmtId="247" fontId="19" fillId="0" borderId="0" xfId="13" applyNumberFormat="1" applyFont="1" applyBorder="1" applyProtection="1"/>
    <xf numFmtId="247" fontId="6" fillId="0" borderId="0" xfId="13" applyNumberFormat="1" applyFont="1" applyBorder="1" applyProtection="1"/>
    <xf numFmtId="247" fontId="42" fillId="12" borderId="0" xfId="10" applyNumberFormat="1" applyFont="1" applyFill="1" applyBorder="1" applyAlignment="1" applyProtection="1">
      <alignment horizontal="center"/>
    </xf>
    <xf numFmtId="247" fontId="19" fillId="45" borderId="0" xfId="20" applyNumberFormat="1" applyFont="1" applyFill="1" applyBorder="1" applyAlignment="1" applyProtection="1">
      <alignment horizontal="center"/>
      <protection locked="0"/>
    </xf>
    <xf numFmtId="247" fontId="19" fillId="45" borderId="0" xfId="11" applyNumberFormat="1" applyFont="1" applyFill="1" applyBorder="1" applyAlignment="1" applyProtection="1">
      <alignment horizontal="center"/>
      <protection locked="0"/>
    </xf>
    <xf numFmtId="247" fontId="19" fillId="52" borderId="0" xfId="10" applyNumberFormat="1" applyFont="1" applyFill="1" applyBorder="1" applyAlignment="1" applyProtection="1">
      <alignment horizontal="center"/>
    </xf>
    <xf numFmtId="247" fontId="19" fillId="13" borderId="40" xfId="13" applyNumberFormat="1" applyFont="1" applyFill="1" applyBorder="1" applyAlignment="1" applyProtection="1">
      <alignment horizontal="center"/>
    </xf>
    <xf numFmtId="247" fontId="18" fillId="4" borderId="0" xfId="11" applyNumberFormat="1" applyFont="1" applyFill="1" applyBorder="1" applyAlignment="1" applyProtection="1">
      <alignment horizontal="centerContinuous"/>
    </xf>
    <xf numFmtId="247" fontId="18" fillId="10" borderId="0" xfId="11" applyNumberFormat="1" applyFont="1" applyFill="1" applyBorder="1" applyAlignment="1" applyProtection="1">
      <alignment horizontal="center"/>
    </xf>
    <xf numFmtId="247" fontId="6" fillId="0" borderId="0" xfId="13" applyNumberFormat="1" applyFont="1" applyFill="1" applyBorder="1" applyAlignment="1" applyProtection="1">
      <alignment horizontal="center"/>
    </xf>
    <xf numFmtId="247" fontId="16" fillId="3" borderId="40" xfId="13" applyNumberFormat="1" applyFont="1" applyFill="1" applyBorder="1" applyAlignment="1" applyProtection="1">
      <alignment horizontal="centerContinuous" vertical="center"/>
    </xf>
    <xf numFmtId="247" fontId="18" fillId="3" borderId="12" xfId="11" applyNumberFormat="1" applyFont="1" applyFill="1" applyBorder="1" applyAlignment="1" applyProtection="1">
      <alignment horizontal="centerContinuous"/>
    </xf>
    <xf numFmtId="247" fontId="18" fillId="4" borderId="0" xfId="20" applyNumberFormat="1" applyFont="1" applyFill="1" applyBorder="1" applyAlignment="1" applyProtection="1">
      <alignment horizontal="center"/>
    </xf>
    <xf numFmtId="247" fontId="31" fillId="0" borderId="0" xfId="10" applyNumberFormat="1" applyFont="1" applyFill="1" applyBorder="1" applyAlignment="1" applyProtection="1">
      <alignment horizontal="center"/>
    </xf>
    <xf numFmtId="247" fontId="28" fillId="4" borderId="0" xfId="11" applyNumberFormat="1" applyFont="1" applyFill="1" applyBorder="1" applyAlignment="1" applyProtection="1">
      <alignment horizontal="center"/>
    </xf>
    <xf numFmtId="247" fontId="19" fillId="0" borderId="0" xfId="13" applyNumberFormat="1" applyFont="1" applyBorder="1" applyAlignment="1" applyProtection="1">
      <alignment horizontal="center"/>
    </xf>
    <xf numFmtId="247" fontId="28" fillId="38" borderId="0" xfId="11" applyNumberFormat="1" applyFont="1" applyFill="1" applyBorder="1" applyAlignment="1" applyProtection="1">
      <alignment horizontal="center"/>
    </xf>
    <xf numFmtId="247" fontId="6" fillId="39" borderId="24" xfId="13" applyNumberFormat="1" applyFont="1" applyFill="1" applyBorder="1" applyAlignment="1" applyProtection="1">
      <alignment horizontal="center"/>
    </xf>
    <xf numFmtId="247" fontId="6" fillId="0" borderId="0" xfId="13" applyNumberFormat="1" applyFont="1" applyProtection="1"/>
    <xf numFmtId="247" fontId="18" fillId="3" borderId="12" xfId="20" applyNumberFormat="1" applyFont="1" applyFill="1" applyBorder="1" applyAlignment="1" applyProtection="1">
      <alignment horizontal="centerContinuous"/>
    </xf>
    <xf numFmtId="247" fontId="18" fillId="42" borderId="24" xfId="13" applyNumberFormat="1" applyFont="1" applyFill="1" applyBorder="1" applyAlignment="1" applyProtection="1">
      <alignment horizontal="center" vertical="center"/>
    </xf>
    <xf numFmtId="0" fontId="148" fillId="49" borderId="0" xfId="10" applyFont="1" applyFill="1" applyBorder="1" applyAlignment="1" applyProtection="1">
      <alignment horizontal="centerContinuous"/>
    </xf>
    <xf numFmtId="203" fontId="148" fillId="50" borderId="0" xfId="10" applyNumberFormat="1" applyFont="1" applyFill="1" applyBorder="1" applyAlignment="1" applyProtection="1">
      <alignment horizontal="center"/>
    </xf>
    <xf numFmtId="203" fontId="148" fillId="50" borderId="12" xfId="10" applyNumberFormat="1" applyFont="1" applyFill="1" applyBorder="1" applyAlignment="1" applyProtection="1">
      <alignment horizontal="center"/>
    </xf>
    <xf numFmtId="170" fontId="132" fillId="34" borderId="40" xfId="10" applyNumberFormat="1" applyFont="1" applyFill="1" applyBorder="1" applyAlignment="1" applyProtection="1">
      <alignment horizontal="center"/>
    </xf>
    <xf numFmtId="0" fontId="4" fillId="38" borderId="38" xfId="10" applyFont="1" applyFill="1" applyBorder="1" applyProtection="1"/>
    <xf numFmtId="0" fontId="4" fillId="0" borderId="20" xfId="10" applyFont="1" applyBorder="1" applyProtection="1"/>
    <xf numFmtId="0" fontId="4" fillId="38" borderId="20" xfId="10" applyFont="1" applyFill="1" applyBorder="1" applyProtection="1"/>
    <xf numFmtId="0" fontId="4" fillId="0" borderId="20" xfId="10" applyFont="1" applyFill="1" applyBorder="1" applyProtection="1"/>
    <xf numFmtId="0" fontId="11" fillId="0" borderId="20" xfId="10" applyFont="1" applyBorder="1" applyProtection="1"/>
    <xf numFmtId="3" fontId="9" fillId="3" borderId="35" xfId="10" applyNumberFormat="1" applyFont="1" applyFill="1" applyBorder="1" applyAlignment="1" applyProtection="1">
      <alignment horizontal="center"/>
    </xf>
    <xf numFmtId="9" fontId="4" fillId="3" borderId="36" xfId="14" applyFont="1" applyFill="1" applyBorder="1" applyAlignment="1" applyProtection="1">
      <alignment horizontal="left"/>
    </xf>
    <xf numFmtId="0" fontId="9" fillId="3" borderId="41" xfId="0" applyFont="1" applyFill="1" applyBorder="1" applyAlignment="1">
      <alignment horizontal="center"/>
    </xf>
    <xf numFmtId="170" fontId="232" fillId="42" borderId="19" xfId="10" applyNumberFormat="1" applyFont="1" applyFill="1" applyBorder="1" applyAlignment="1" applyProtection="1">
      <alignment horizontal="center"/>
    </xf>
    <xf numFmtId="0" fontId="19" fillId="3" borderId="40" xfId="20" applyFont="1" applyFill="1" applyBorder="1" applyAlignment="1" applyProtection="1">
      <alignment horizontal="center"/>
    </xf>
    <xf numFmtId="3" fontId="12" fillId="42" borderId="0" xfId="20" applyNumberFormat="1" applyFont="1" applyFill="1" applyBorder="1" applyAlignment="1" applyProtection="1">
      <alignment horizontal="center"/>
    </xf>
    <xf numFmtId="187" fontId="4" fillId="3" borderId="0" xfId="20" applyNumberFormat="1" applyFont="1" applyFill="1" applyBorder="1" applyAlignment="1" applyProtection="1">
      <alignment horizontal="center"/>
      <protection locked="0"/>
    </xf>
    <xf numFmtId="0" fontId="4" fillId="2" borderId="12" xfId="10" applyFont="1" applyFill="1" applyBorder="1" applyAlignment="1" applyProtection="1">
      <alignment horizontal="center"/>
    </xf>
    <xf numFmtId="183" fontId="46" fillId="3" borderId="12" xfId="10" applyNumberFormat="1" applyFont="1" applyFill="1" applyBorder="1" applyAlignment="1" applyProtection="1">
      <alignment horizontal="center"/>
    </xf>
    <xf numFmtId="170" fontId="30" fillId="11" borderId="0" xfId="10" applyNumberFormat="1" applyFont="1" applyFill="1" applyBorder="1" applyAlignment="1" applyProtection="1">
      <alignment horizontal="center"/>
      <protection locked="0"/>
    </xf>
    <xf numFmtId="170" fontId="4" fillId="2" borderId="12" xfId="10" applyNumberFormat="1" applyFont="1" applyFill="1" applyBorder="1" applyAlignment="1" applyProtection="1">
      <alignment horizontal="center"/>
    </xf>
    <xf numFmtId="0" fontId="9" fillId="3" borderId="35" xfId="10" applyFont="1" applyFill="1" applyBorder="1" applyAlignment="1" applyProtection="1">
      <alignment horizontal="centerContinuous"/>
    </xf>
    <xf numFmtId="0" fontId="9" fillId="3" borderId="36" xfId="10" applyFont="1" applyFill="1" applyBorder="1" applyAlignment="1" applyProtection="1">
      <alignment horizontal="centerContinuous"/>
    </xf>
    <xf numFmtId="0" fontId="9" fillId="3" borderId="40" xfId="10" applyFont="1" applyFill="1" applyBorder="1" applyAlignment="1" applyProtection="1">
      <alignment horizontal="centerContinuous"/>
    </xf>
    <xf numFmtId="176" fontId="19" fillId="3" borderId="40" xfId="10" applyNumberFormat="1" applyFont="1" applyFill="1" applyBorder="1" applyAlignment="1" applyProtection="1">
      <alignment horizontal="centerContinuous" wrapText="1"/>
    </xf>
    <xf numFmtId="3" fontId="19" fillId="3" borderId="40" xfId="10" applyNumberFormat="1" applyFont="1" applyFill="1" applyBorder="1" applyAlignment="1" applyProtection="1">
      <alignment horizontal="centerContinuous" wrapText="1"/>
    </xf>
    <xf numFmtId="0" fontId="19" fillId="3" borderId="0" xfId="10" applyNumberFormat="1" applyFont="1" applyFill="1" applyBorder="1" applyAlignment="1" applyProtection="1">
      <alignment horizontal="center"/>
    </xf>
    <xf numFmtId="168" fontId="30" fillId="3" borderId="0" xfId="10" applyNumberFormat="1" applyFont="1" applyFill="1" applyBorder="1" applyAlignment="1" applyProtection="1">
      <alignment horizontal="right"/>
    </xf>
    <xf numFmtId="168" fontId="12" fillId="3" borderId="0" xfId="10" applyNumberFormat="1" applyFont="1" applyFill="1" applyBorder="1" applyAlignment="1" applyProtection="1">
      <alignment horizontal="right"/>
    </xf>
    <xf numFmtId="168" fontId="4" fillId="3" borderId="0" xfId="10" applyNumberFormat="1" applyFont="1" applyFill="1" applyBorder="1" applyAlignment="1" applyProtection="1">
      <alignment horizontal="right"/>
    </xf>
    <xf numFmtId="3" fontId="9" fillId="3" borderId="0" xfId="10" applyNumberFormat="1" applyFont="1" applyFill="1" applyBorder="1" applyAlignment="1" applyProtection="1">
      <alignment horizontal="center"/>
    </xf>
    <xf numFmtId="3" fontId="66" fillId="3" borderId="35" xfId="10" applyNumberFormat="1" applyFont="1" applyFill="1" applyBorder="1" applyAlignment="1" applyProtection="1">
      <alignment horizontal="center" wrapText="1"/>
    </xf>
    <xf numFmtId="176" fontId="66" fillId="3" borderId="36" xfId="10" applyNumberFormat="1" applyFont="1" applyFill="1" applyBorder="1" applyAlignment="1" applyProtection="1">
      <alignment horizontal="center" wrapText="1"/>
    </xf>
    <xf numFmtId="3" fontId="9" fillId="42" borderId="21" xfId="10" applyNumberFormat="1" applyFont="1" applyFill="1" applyBorder="1" applyAlignment="1" applyProtection="1">
      <alignment horizontal="center"/>
    </xf>
    <xf numFmtId="174" fontId="132" fillId="34" borderId="21" xfId="10" applyNumberFormat="1" applyFont="1" applyFill="1" applyBorder="1" applyAlignment="1" applyProtection="1">
      <alignment horizontal="center"/>
      <protection locked="0"/>
    </xf>
    <xf numFmtId="3" fontId="9" fillId="2" borderId="21" xfId="10" applyNumberFormat="1" applyFont="1" applyFill="1" applyBorder="1" applyAlignment="1" applyProtection="1">
      <alignment horizontal="center"/>
    </xf>
    <xf numFmtId="168" fontId="4" fillId="2" borderId="19" xfId="10" applyNumberFormat="1" applyFont="1" applyFill="1" applyBorder="1" applyAlignment="1" applyProtection="1">
      <alignment horizontal="right"/>
    </xf>
    <xf numFmtId="3" fontId="9" fillId="2" borderId="41" xfId="10" applyNumberFormat="1" applyFont="1" applyFill="1" applyBorder="1" applyAlignment="1" applyProtection="1">
      <alignment horizontal="center"/>
    </xf>
    <xf numFmtId="168" fontId="4" fillId="2" borderId="37" xfId="10" applyNumberFormat="1" applyFont="1" applyFill="1" applyBorder="1" applyAlignment="1" applyProtection="1">
      <alignment horizontal="right"/>
    </xf>
    <xf numFmtId="3" fontId="9" fillId="2" borderId="37" xfId="10" applyNumberFormat="1" applyFont="1" applyFill="1" applyBorder="1" applyAlignment="1" applyProtection="1">
      <alignment horizontal="center"/>
    </xf>
    <xf numFmtId="3" fontId="66" fillId="3" borderId="35" xfId="10" applyNumberFormat="1" applyFont="1" applyFill="1" applyBorder="1" applyAlignment="1" applyProtection="1">
      <alignment wrapText="1"/>
    </xf>
    <xf numFmtId="168" fontId="12" fillId="42" borderId="21" xfId="10" applyNumberFormat="1" applyFont="1" applyFill="1" applyBorder="1" applyAlignment="1" applyProtection="1">
      <alignment horizontal="right"/>
    </xf>
    <xf numFmtId="168" fontId="30" fillId="42" borderId="19" xfId="10" applyNumberFormat="1" applyFont="1" applyFill="1" applyBorder="1" applyAlignment="1" applyProtection="1">
      <alignment horizontal="right"/>
    </xf>
    <xf numFmtId="168" fontId="12" fillId="2" borderId="21" xfId="10" applyNumberFormat="1" applyFont="1" applyFill="1" applyBorder="1" applyAlignment="1" applyProtection="1">
      <alignment horizontal="right"/>
    </xf>
    <xf numFmtId="168" fontId="30" fillId="2" borderId="19" xfId="10" applyNumberFormat="1" applyFont="1" applyFill="1" applyBorder="1" applyAlignment="1" applyProtection="1">
      <alignment horizontal="right"/>
    </xf>
    <xf numFmtId="168" fontId="12" fillId="2" borderId="41" xfId="10" applyNumberFormat="1" applyFont="1" applyFill="1" applyBorder="1" applyAlignment="1" applyProtection="1">
      <alignment horizontal="right"/>
    </xf>
    <xf numFmtId="168" fontId="30" fillId="2" borderId="37" xfId="10" applyNumberFormat="1" applyFont="1" applyFill="1" applyBorder="1" applyAlignment="1" applyProtection="1">
      <alignment horizontal="right"/>
    </xf>
    <xf numFmtId="0" fontId="19" fillId="42" borderId="20" xfId="10" applyNumberFormat="1" applyFont="1" applyFill="1" applyBorder="1" applyAlignment="1" applyProtection="1">
      <alignment horizontal="center"/>
    </xf>
    <xf numFmtId="174" fontId="137" fillId="34" borderId="20" xfId="10" applyNumberFormat="1" applyFont="1" applyFill="1" applyBorder="1" applyAlignment="1" applyProtection="1">
      <alignment horizontal="center"/>
      <protection locked="0"/>
    </xf>
    <xf numFmtId="0" fontId="0" fillId="83" borderId="2" xfId="0" applyFill="1" applyBorder="1" applyAlignment="1">
      <alignment horizontal="centerContinuous"/>
    </xf>
    <xf numFmtId="0" fontId="0" fillId="56" borderId="2" xfId="0" applyFill="1" applyBorder="1" applyAlignment="1">
      <alignment horizontal="centerContinuous"/>
    </xf>
    <xf numFmtId="199" fontId="18" fillId="4" borderId="38" xfId="0" applyNumberFormat="1" applyFont="1" applyFill="1" applyBorder="1" applyAlignment="1">
      <alignment horizontal="center"/>
    </xf>
    <xf numFmtId="4" fontId="4" fillId="39" borderId="40" xfId="10" applyNumberFormat="1" applyFont="1" applyFill="1" applyBorder="1" applyAlignment="1" applyProtection="1"/>
    <xf numFmtId="4" fontId="4" fillId="39" borderId="0" xfId="10" applyNumberFormat="1" applyFont="1" applyFill="1" applyBorder="1" applyAlignment="1" applyProtection="1"/>
    <xf numFmtId="0" fontId="4" fillId="39" borderId="12" xfId="10" applyFont="1" applyFill="1" applyBorder="1" applyProtection="1"/>
    <xf numFmtId="2" fontId="11" fillId="39" borderId="0" xfId="10" applyNumberFormat="1" applyFont="1" applyFill="1" applyBorder="1" applyAlignment="1" applyProtection="1">
      <alignment horizontal="center"/>
    </xf>
    <xf numFmtId="1" fontId="11" fillId="39" borderId="0" xfId="10" applyNumberFormat="1" applyFont="1" applyFill="1" applyBorder="1" applyAlignment="1" applyProtection="1">
      <alignment horizontal="center"/>
    </xf>
    <xf numFmtId="1" fontId="4" fillId="39" borderId="0" xfId="10" applyNumberFormat="1" applyFont="1" applyFill="1" applyBorder="1" applyAlignment="1" applyProtection="1">
      <alignment horizontal="center"/>
    </xf>
    <xf numFmtId="239" fontId="4" fillId="0" borderId="0" xfId="10" applyNumberFormat="1" applyFont="1" applyFill="1" applyAlignment="1" applyProtection="1">
      <alignment horizontal="center"/>
    </xf>
    <xf numFmtId="9" fontId="16" fillId="38" borderId="39" xfId="0" applyNumberFormat="1" applyFont="1" applyFill="1" applyBorder="1" applyAlignment="1" applyProtection="1">
      <alignment horizontal="center"/>
    </xf>
    <xf numFmtId="0" fontId="4" fillId="38" borderId="12" xfId="10" applyFont="1" applyFill="1" applyBorder="1" applyProtection="1"/>
    <xf numFmtId="4" fontId="18" fillId="0" borderId="38" xfId="10" applyNumberFormat="1" applyFont="1" applyFill="1" applyBorder="1" applyAlignment="1" applyProtection="1">
      <alignment horizontal="center"/>
    </xf>
    <xf numFmtId="0" fontId="4" fillId="65" borderId="36" xfId="10" applyFont="1" applyFill="1" applyBorder="1" applyProtection="1"/>
    <xf numFmtId="0" fontId="19" fillId="65" borderId="19" xfId="10" applyFont="1" applyFill="1" applyBorder="1" applyProtection="1"/>
    <xf numFmtId="0" fontId="4" fillId="65" borderId="19" xfId="10" applyFont="1" applyFill="1" applyBorder="1" applyProtection="1"/>
    <xf numFmtId="0" fontId="6" fillId="38" borderId="23" xfId="10" applyFont="1" applyFill="1" applyBorder="1" applyAlignment="1" applyProtection="1">
      <alignment horizontal="center"/>
    </xf>
    <xf numFmtId="9" fontId="19" fillId="0" borderId="24" xfId="14" applyFont="1" applyBorder="1" applyAlignment="1" applyProtection="1">
      <alignment horizontal="center"/>
    </xf>
    <xf numFmtId="168" fontId="19" fillId="11" borderId="20" xfId="13" applyNumberFormat="1" applyFont="1" applyFill="1" applyBorder="1" applyAlignment="1" applyProtection="1">
      <alignment horizontal="center"/>
    </xf>
    <xf numFmtId="168" fontId="19" fillId="7" borderId="0" xfId="13" applyNumberFormat="1" applyFont="1" applyFill="1" applyBorder="1" applyAlignment="1" applyProtection="1">
      <alignment horizontal="center"/>
    </xf>
    <xf numFmtId="247" fontId="19" fillId="7" borderId="0" xfId="13" applyNumberFormat="1" applyFont="1" applyFill="1" applyBorder="1" applyAlignment="1" applyProtection="1">
      <alignment horizontal="center"/>
    </xf>
    <xf numFmtId="1" fontId="19" fillId="7" borderId="20" xfId="13" applyNumberFormat="1" applyFont="1" applyFill="1" applyBorder="1" applyAlignment="1" applyProtection="1">
      <alignment horizontal="center"/>
    </xf>
    <xf numFmtId="1" fontId="19" fillId="7" borderId="21" xfId="13" applyNumberFormat="1" applyFont="1" applyFill="1" applyBorder="1" applyAlignment="1" applyProtection="1">
      <alignment horizontal="center"/>
    </xf>
    <xf numFmtId="168" fontId="19" fillId="3" borderId="20" xfId="13" applyNumberFormat="1" applyFont="1" applyFill="1" applyBorder="1" applyAlignment="1" applyProtection="1">
      <alignment horizontal="center"/>
    </xf>
    <xf numFmtId="0" fontId="19" fillId="3" borderId="12" xfId="13" applyFont="1" applyFill="1" applyBorder="1" applyProtection="1"/>
    <xf numFmtId="0" fontId="19" fillId="3" borderId="39" xfId="13" applyFont="1" applyFill="1" applyBorder="1" applyProtection="1"/>
    <xf numFmtId="177" fontId="19" fillId="3" borderId="12" xfId="13" applyNumberFormat="1" applyFont="1" applyFill="1" applyBorder="1" applyAlignment="1" applyProtection="1">
      <alignment horizontal="centerContinuous"/>
    </xf>
    <xf numFmtId="0" fontId="19" fillId="3" borderId="12" xfId="13" applyFont="1" applyFill="1" applyBorder="1" applyAlignment="1" applyProtection="1">
      <alignment horizontal="centerContinuous"/>
    </xf>
    <xf numFmtId="247" fontId="19" fillId="3" borderId="12" xfId="13" applyNumberFormat="1" applyFont="1" applyFill="1" applyBorder="1" applyAlignment="1" applyProtection="1">
      <alignment horizontal="centerContinuous"/>
    </xf>
    <xf numFmtId="0" fontId="19" fillId="3" borderId="39" xfId="13" applyFont="1" applyFill="1" applyBorder="1" applyAlignment="1" applyProtection="1">
      <alignment horizontal="centerContinuous"/>
    </xf>
    <xf numFmtId="9" fontId="19" fillId="7" borderId="24" xfId="14" applyFont="1" applyFill="1" applyBorder="1" applyAlignment="1" applyProtection="1">
      <alignment horizontal="center"/>
    </xf>
    <xf numFmtId="168" fontId="19" fillId="11" borderId="16" xfId="13" applyNumberFormat="1" applyFont="1" applyFill="1" applyBorder="1" applyAlignment="1" applyProtection="1">
      <alignment horizontal="center"/>
    </xf>
    <xf numFmtId="168" fontId="19" fillId="7" borderId="24" xfId="13" applyNumberFormat="1" applyFont="1" applyFill="1" applyBorder="1" applyAlignment="1" applyProtection="1">
      <alignment horizontal="center"/>
    </xf>
    <xf numFmtId="247" fontId="19" fillId="7" borderId="24" xfId="13" applyNumberFormat="1" applyFont="1" applyFill="1" applyBorder="1" applyAlignment="1" applyProtection="1">
      <alignment horizontal="center"/>
    </xf>
    <xf numFmtId="1" fontId="19" fillId="7" borderId="16" xfId="13" applyNumberFormat="1" applyFont="1" applyFill="1" applyBorder="1" applyAlignment="1" applyProtection="1">
      <alignment horizontal="center"/>
    </xf>
    <xf numFmtId="1" fontId="19" fillId="7" borderId="22" xfId="13" applyNumberFormat="1" applyFont="1" applyFill="1" applyBorder="1" applyAlignment="1" applyProtection="1">
      <alignment horizontal="center"/>
    </xf>
    <xf numFmtId="168" fontId="19" fillId="3" borderId="16" xfId="13" applyNumberFormat="1" applyFont="1" applyFill="1" applyBorder="1" applyAlignment="1" applyProtection="1">
      <alignment horizontal="center"/>
    </xf>
    <xf numFmtId="167" fontId="19" fillId="3" borderId="41" xfId="10" applyNumberFormat="1" applyFont="1" applyFill="1" applyBorder="1" applyAlignment="1" applyProtection="1">
      <alignment horizontal="center"/>
    </xf>
    <xf numFmtId="0" fontId="19" fillId="3" borderId="39" xfId="10" applyFont="1" applyFill="1" applyBorder="1" applyAlignment="1" applyProtection="1">
      <alignment horizontal="center"/>
    </xf>
    <xf numFmtId="0" fontId="233" fillId="82" borderId="0" xfId="10" applyFont="1" applyFill="1" applyAlignment="1" applyProtection="1">
      <alignment horizontal="center"/>
    </xf>
    <xf numFmtId="0" fontId="233" fillId="82" borderId="22" xfId="10" applyFont="1" applyFill="1" applyBorder="1" applyAlignment="1" applyProtection="1">
      <alignment horizontal="center"/>
    </xf>
    <xf numFmtId="190" fontId="42" fillId="15" borderId="24" xfId="14" applyNumberFormat="1" applyFont="1" applyFill="1" applyBorder="1" applyAlignment="1" applyProtection="1">
      <alignment horizontal="center"/>
    </xf>
    <xf numFmtId="176" fontId="30" fillId="15" borderId="24" xfId="10" applyNumberFormat="1" applyFont="1" applyFill="1" applyBorder="1" applyAlignment="1" applyProtection="1">
      <alignment horizontal="center"/>
    </xf>
    <xf numFmtId="192" fontId="29" fillId="15" borderId="24" xfId="10" applyNumberFormat="1" applyFont="1" applyFill="1" applyBorder="1" applyAlignment="1" applyProtection="1">
      <alignment horizontal="center"/>
    </xf>
    <xf numFmtId="189" fontId="19" fillId="15" borderId="24" xfId="10" applyNumberFormat="1" applyFont="1" applyFill="1" applyBorder="1" applyAlignment="1" applyProtection="1">
      <alignment horizontal="center"/>
    </xf>
    <xf numFmtId="193" fontId="19" fillId="15" borderId="24" xfId="10" applyNumberFormat="1" applyFont="1" applyFill="1" applyBorder="1" applyAlignment="1" applyProtection="1">
      <alignment horizontal="center"/>
    </xf>
    <xf numFmtId="3" fontId="31" fillId="15" borderId="24" xfId="10" applyNumberFormat="1" applyFont="1" applyFill="1" applyBorder="1" applyAlignment="1" applyProtection="1">
      <alignment horizontal="center"/>
      <protection locked="0"/>
    </xf>
    <xf numFmtId="3" fontId="31" fillId="15" borderId="23" xfId="10" applyNumberFormat="1" applyFont="1" applyFill="1" applyBorder="1" applyAlignment="1" applyProtection="1">
      <alignment horizontal="center"/>
      <protection locked="0"/>
    </xf>
    <xf numFmtId="0" fontId="148" fillId="82" borderId="0" xfId="10" applyFont="1" applyFill="1" applyAlignment="1" applyProtection="1">
      <alignment horizontal="left"/>
    </xf>
    <xf numFmtId="4" fontId="9" fillId="3" borderId="38" xfId="10" applyNumberFormat="1" applyFont="1" applyFill="1" applyBorder="1" applyAlignment="1" applyProtection="1">
      <alignment horizontal="center"/>
    </xf>
    <xf numFmtId="4" fontId="18" fillId="0" borderId="16" xfId="10" applyNumberFormat="1" applyFont="1" applyFill="1" applyBorder="1" applyAlignment="1" applyProtection="1">
      <alignment horizontal="center"/>
    </xf>
    <xf numFmtId="170" fontId="65" fillId="34" borderId="0" xfId="20" applyNumberFormat="1" applyFont="1" applyFill="1" applyBorder="1" applyAlignment="1" applyProtection="1">
      <alignment horizontal="center"/>
    </xf>
    <xf numFmtId="0" fontId="18" fillId="3" borderId="21" xfId="10" applyFont="1" applyFill="1" applyBorder="1" applyAlignment="1" applyProtection="1">
      <alignment horizontal="center"/>
    </xf>
    <xf numFmtId="0" fontId="4" fillId="0" borderId="0" xfId="10" applyFont="1" applyFill="1" applyAlignment="1" applyProtection="1">
      <alignment horizontal="center"/>
    </xf>
    <xf numFmtId="0" fontId="19" fillId="3" borderId="19" xfId="10" applyNumberFormat="1" applyFont="1" applyFill="1" applyBorder="1" applyProtection="1"/>
    <xf numFmtId="0" fontId="18" fillId="47" borderId="40" xfId="10" applyFont="1" applyFill="1" applyBorder="1" applyAlignment="1" applyProtection="1">
      <alignment horizontal="center"/>
    </xf>
    <xf numFmtId="212" fontId="30" fillId="47" borderId="12" xfId="10" applyNumberFormat="1" applyFont="1" applyFill="1" applyBorder="1" applyAlignment="1" applyProtection="1">
      <alignment horizontal="center"/>
    </xf>
    <xf numFmtId="199" fontId="145" fillId="47" borderId="35" xfId="14" applyNumberFormat="1" applyFont="1" applyFill="1" applyBorder="1" applyAlignment="1" applyProtection="1">
      <alignment horizontal="center"/>
    </xf>
    <xf numFmtId="210" fontId="145" fillId="47" borderId="21" xfId="14" applyNumberFormat="1" applyFont="1" applyFill="1" applyBorder="1" applyAlignment="1" applyProtection="1">
      <alignment horizontal="center"/>
    </xf>
    <xf numFmtId="189" fontId="145" fillId="47" borderId="41" xfId="10" applyNumberFormat="1" applyFont="1" applyFill="1" applyBorder="1" applyAlignment="1" applyProtection="1">
      <alignment horizontal="center"/>
    </xf>
    <xf numFmtId="199" fontId="30" fillId="47" borderId="35" xfId="14" applyNumberFormat="1" applyFont="1" applyFill="1" applyBorder="1" applyAlignment="1" applyProtection="1">
      <alignment horizontal="center"/>
    </xf>
    <xf numFmtId="210" fontId="27" fillId="47" borderId="21" xfId="14" applyNumberFormat="1" applyFont="1" applyFill="1" applyBorder="1" applyAlignment="1" applyProtection="1">
      <alignment horizontal="center"/>
    </xf>
    <xf numFmtId="189" fontId="27" fillId="47" borderId="41" xfId="10" applyNumberFormat="1" applyFont="1" applyFill="1" applyBorder="1" applyAlignment="1" applyProtection="1">
      <alignment horizontal="center"/>
    </xf>
    <xf numFmtId="0" fontId="148" fillId="84" borderId="12" xfId="10" applyFont="1" applyFill="1" applyBorder="1" applyProtection="1"/>
    <xf numFmtId="0" fontId="42" fillId="51" borderId="12" xfId="10" applyFont="1" applyFill="1" applyBorder="1" applyAlignment="1" applyProtection="1">
      <alignment horizontal="center"/>
    </xf>
    <xf numFmtId="171" fontId="26" fillId="51" borderId="12" xfId="10" applyNumberFormat="1" applyFont="1" applyFill="1" applyBorder="1" applyAlignment="1" applyProtection="1">
      <alignment horizontal="center"/>
    </xf>
    <xf numFmtId="188" fontId="26" fillId="51" borderId="12" xfId="10" applyNumberFormat="1" applyFont="1" applyFill="1" applyBorder="1" applyAlignment="1" applyProtection="1">
      <alignment horizontal="right"/>
    </xf>
    <xf numFmtId="169" fontId="26" fillId="51" borderId="12" xfId="10" applyNumberFormat="1" applyFont="1" applyFill="1" applyBorder="1" applyAlignment="1" applyProtection="1">
      <alignment horizontal="left"/>
    </xf>
    <xf numFmtId="175" fontId="26" fillId="51" borderId="12" xfId="10" applyNumberFormat="1" applyFont="1" applyFill="1" applyBorder="1" applyAlignment="1" applyProtection="1">
      <alignment horizontal="left"/>
    </xf>
    <xf numFmtId="3" fontId="19" fillId="51" borderId="12" xfId="10" applyNumberFormat="1" applyFont="1" applyFill="1" applyBorder="1" applyAlignment="1" applyProtection="1">
      <alignment horizontal="center"/>
    </xf>
    <xf numFmtId="168" fontId="42" fillId="51" borderId="41" xfId="10" applyNumberFormat="1" applyFont="1" applyFill="1" applyBorder="1" applyAlignment="1" applyProtection="1">
      <alignment horizontal="center"/>
    </xf>
    <xf numFmtId="0" fontId="19" fillId="0" borderId="39" xfId="0" applyFont="1" applyBorder="1" applyAlignment="1" applyProtection="1">
      <alignment horizontal="right"/>
    </xf>
    <xf numFmtId="0" fontId="19" fillId="40" borderId="16" xfId="0" applyFont="1" applyFill="1" applyBorder="1" applyAlignment="1" applyProtection="1">
      <alignment horizontal="right"/>
    </xf>
    <xf numFmtId="0" fontId="19" fillId="6" borderId="16" xfId="0" applyFont="1" applyFill="1" applyBorder="1" applyProtection="1"/>
    <xf numFmtId="0" fontId="19" fillId="6" borderId="16" xfId="0" applyFont="1" applyFill="1" applyBorder="1" applyAlignment="1" applyProtection="1">
      <alignment horizontal="center"/>
    </xf>
    <xf numFmtId="4" fontId="205" fillId="6" borderId="20" xfId="9" applyNumberFormat="1" applyFont="1" applyFill="1" applyBorder="1" applyAlignment="1" applyProtection="1"/>
    <xf numFmtId="0" fontId="19" fillId="0" borderId="24" xfId="0" applyFont="1" applyBorder="1" applyProtection="1"/>
    <xf numFmtId="1" fontId="19" fillId="0" borderId="24" xfId="0" applyNumberFormat="1" applyFont="1" applyBorder="1" applyProtection="1"/>
    <xf numFmtId="0" fontId="234" fillId="3" borderId="35" xfId="0" applyFont="1" applyFill="1" applyBorder="1" applyProtection="1"/>
    <xf numFmtId="9" fontId="19" fillId="85" borderId="39" xfId="14" applyFont="1" applyFill="1" applyBorder="1" applyAlignment="1" applyProtection="1">
      <alignment horizontal="center"/>
      <protection locked="0"/>
    </xf>
    <xf numFmtId="0" fontId="86" fillId="60" borderId="35" xfId="6" applyFont="1" applyFill="1" applyBorder="1" applyAlignment="1">
      <alignment horizontal="center"/>
    </xf>
    <xf numFmtId="265" fontId="19" fillId="60" borderId="41" xfId="6" applyNumberFormat="1" applyFont="1" applyFill="1" applyBorder="1" applyAlignment="1">
      <alignment horizontal="center"/>
    </xf>
    <xf numFmtId="266" fontId="19" fillId="60" borderId="37" xfId="6" applyNumberFormat="1" applyFont="1" applyFill="1" applyBorder="1" applyAlignment="1">
      <alignment horizontal="center"/>
    </xf>
    <xf numFmtId="0" fontId="86" fillId="86" borderId="36" xfId="6" applyFont="1" applyFill="1" applyBorder="1" applyAlignment="1">
      <alignment horizontal="center"/>
    </xf>
    <xf numFmtId="267" fontId="19" fillId="86" borderId="16" xfId="6" applyNumberFormat="1" applyFont="1" applyFill="1" applyBorder="1" applyAlignment="1">
      <alignment horizontal="center"/>
    </xf>
    <xf numFmtId="193" fontId="4" fillId="39" borderId="40" xfId="14" applyNumberFormat="1" applyFont="1" applyFill="1" applyBorder="1" applyAlignment="1" applyProtection="1">
      <alignment horizontal="center"/>
    </xf>
    <xf numFmtId="203" fontId="17" fillId="47" borderId="0" xfId="14" applyNumberFormat="1" applyFont="1" applyFill="1" applyBorder="1" applyAlignment="1" applyProtection="1">
      <alignment horizontal="center"/>
    </xf>
    <xf numFmtId="210" fontId="148" fillId="50" borderId="12" xfId="14" applyNumberFormat="1" applyFont="1" applyFill="1" applyBorder="1" applyAlignment="1" applyProtection="1">
      <alignment horizontal="center"/>
    </xf>
    <xf numFmtId="203" fontId="4" fillId="47" borderId="24" xfId="10" applyNumberFormat="1" applyFont="1" applyFill="1" applyBorder="1" applyAlignment="1" applyProtection="1">
      <alignment horizontal="center"/>
    </xf>
    <xf numFmtId="0" fontId="4" fillId="58" borderId="0" xfId="10" applyFont="1" applyFill="1" applyProtection="1"/>
    <xf numFmtId="203" fontId="17" fillId="47" borderId="22" xfId="14" applyNumberFormat="1" applyFont="1" applyFill="1" applyBorder="1" applyAlignment="1" applyProtection="1">
      <alignment horizontal="center"/>
    </xf>
    <xf numFmtId="210" fontId="148" fillId="50" borderId="22" xfId="14" applyNumberFormat="1" applyFont="1" applyFill="1" applyBorder="1" applyAlignment="1" applyProtection="1">
      <alignment horizontal="center"/>
    </xf>
    <xf numFmtId="175" fontId="148" fillId="44" borderId="12" xfId="14" applyNumberFormat="1" applyFont="1" applyFill="1" applyBorder="1" applyAlignment="1" applyProtection="1">
      <alignment horizontal="center"/>
    </xf>
    <xf numFmtId="170" fontId="25" fillId="38" borderId="20" xfId="13" applyNumberFormat="1" applyFont="1" applyFill="1" applyBorder="1" applyAlignment="1" applyProtection="1">
      <alignment horizontal="center"/>
    </xf>
    <xf numFmtId="0" fontId="237" fillId="0" borderId="0" xfId="0" applyFont="1"/>
    <xf numFmtId="251" fontId="4" fillId="61" borderId="16" xfId="10" applyNumberFormat="1" applyFont="1" applyFill="1" applyBorder="1" applyAlignment="1" applyProtection="1">
      <alignment horizontal="center"/>
    </xf>
    <xf numFmtId="0" fontId="4" fillId="61" borderId="16" xfId="10" applyFont="1" applyFill="1" applyBorder="1" applyAlignment="1" applyProtection="1">
      <alignment horizontal="center"/>
    </xf>
    <xf numFmtId="251" fontId="4" fillId="61" borderId="16" xfId="10" applyNumberFormat="1" applyFont="1" applyFill="1" applyBorder="1" applyProtection="1"/>
    <xf numFmtId="251" fontId="4" fillId="0" borderId="0" xfId="10" applyNumberFormat="1" applyFont="1" applyProtection="1"/>
    <xf numFmtId="0" fontId="4" fillId="42" borderId="16" xfId="10" applyFont="1" applyFill="1" applyBorder="1" applyProtection="1"/>
    <xf numFmtId="251" fontId="4" fillId="0" borderId="0" xfId="10" applyNumberFormat="1" applyFont="1" applyProtection="1">
      <protection locked="0"/>
    </xf>
    <xf numFmtId="251" fontId="95" fillId="42" borderId="16" xfId="0" applyNumberFormat="1" applyFont="1" applyFill="1" applyBorder="1" applyAlignment="1" applyProtection="1">
      <alignment horizontal="center"/>
    </xf>
    <xf numFmtId="251" fontId="95" fillId="42" borderId="16" xfId="0" applyNumberFormat="1" applyFont="1" applyFill="1" applyBorder="1" applyAlignment="1" applyProtection="1">
      <alignment horizontal="centerContinuous"/>
    </xf>
    <xf numFmtId="251" fontId="95" fillId="2" borderId="16" xfId="0" applyNumberFormat="1" applyFont="1" applyFill="1" applyBorder="1" applyAlignment="1" applyProtection="1">
      <alignment horizontal="centerContinuous"/>
    </xf>
    <xf numFmtId="251" fontId="12" fillId="0" borderId="0" xfId="10" applyNumberFormat="1" applyFont="1" applyProtection="1"/>
    <xf numFmtId="251" fontId="18" fillId="72" borderId="24" xfId="0" applyNumberFormat="1" applyFont="1" applyFill="1" applyBorder="1" applyAlignment="1" applyProtection="1">
      <alignment horizontal="right"/>
    </xf>
    <xf numFmtId="251" fontId="18" fillId="72" borderId="24" xfId="10" applyNumberFormat="1" applyFont="1" applyFill="1" applyBorder="1" applyAlignment="1" applyProtection="1">
      <alignment horizontal="right"/>
    </xf>
    <xf numFmtId="251" fontId="18" fillId="72" borderId="24" xfId="10" applyNumberFormat="1" applyFont="1" applyFill="1" applyBorder="1" applyAlignment="1" applyProtection="1">
      <alignment horizontal="center"/>
    </xf>
    <xf numFmtId="223" fontId="204" fillId="3" borderId="0" xfId="1" applyNumberFormat="1" applyFont="1" applyFill="1" applyBorder="1" applyAlignment="1" applyProtection="1">
      <alignment horizontal="right"/>
    </xf>
    <xf numFmtId="251" fontId="5" fillId="58" borderId="20" xfId="10" applyNumberFormat="1" applyFont="1" applyFill="1" applyBorder="1" applyProtection="1"/>
    <xf numFmtId="251" fontId="4" fillId="58" borderId="0" xfId="10" applyNumberFormat="1" applyFont="1" applyFill="1" applyProtection="1"/>
    <xf numFmtId="9" fontId="4" fillId="58" borderId="0" xfId="14" applyFont="1" applyFill="1" applyBorder="1" applyAlignment="1" applyProtection="1">
      <alignment horizontal="left"/>
    </xf>
    <xf numFmtId="9" fontId="4" fillId="58" borderId="0" xfId="14" applyFont="1" applyFill="1" applyBorder="1" applyAlignment="1" applyProtection="1">
      <alignment horizontal="center"/>
    </xf>
    <xf numFmtId="251" fontId="9" fillId="58" borderId="0" xfId="10" applyNumberFormat="1" applyFont="1" applyFill="1" applyProtection="1"/>
    <xf numFmtId="9" fontId="9" fillId="58" borderId="0" xfId="14" applyFont="1" applyFill="1" applyBorder="1" applyAlignment="1" applyProtection="1">
      <alignment horizontal="left"/>
    </xf>
    <xf numFmtId="270" fontId="0" fillId="0" borderId="16" xfId="0" applyNumberFormat="1" applyBorder="1" applyAlignment="1">
      <alignment horizontal="center"/>
    </xf>
    <xf numFmtId="9" fontId="4" fillId="58" borderId="110" xfId="14" applyFont="1" applyFill="1" applyBorder="1" applyAlignment="1" applyProtection="1">
      <alignment horizontal="center"/>
    </xf>
    <xf numFmtId="9" fontId="4" fillId="0" borderId="110" xfId="14" applyFont="1" applyBorder="1" applyAlignment="1" applyProtection="1">
      <alignment horizontal="center"/>
    </xf>
    <xf numFmtId="1" fontId="23" fillId="39" borderId="16" xfId="0" applyNumberFormat="1" applyFont="1" applyFill="1" applyBorder="1" applyAlignment="1">
      <alignment horizontal="center"/>
    </xf>
    <xf numFmtId="167" fontId="23" fillId="39" borderId="16" xfId="0" applyNumberFormat="1" applyFont="1" applyFill="1" applyBorder="1" applyAlignment="1">
      <alignment horizontal="center"/>
    </xf>
    <xf numFmtId="0" fontId="9" fillId="39" borderId="16" xfId="0" applyFont="1" applyFill="1" applyBorder="1" applyAlignment="1">
      <alignment horizontal="center"/>
    </xf>
    <xf numFmtId="0" fontId="213" fillId="39" borderId="0" xfId="4" applyFont="1" applyFill="1"/>
    <xf numFmtId="0" fontId="0" fillId="39" borderId="35" xfId="0" applyFill="1" applyBorder="1" applyAlignment="1">
      <alignment horizontal="centerContinuous"/>
    </xf>
    <xf numFmtId="0" fontId="0" fillId="39" borderId="36" xfId="0" applyFill="1" applyBorder="1" applyAlignment="1">
      <alignment horizontal="centerContinuous"/>
    </xf>
    <xf numFmtId="0" fontId="0" fillId="39" borderId="35" xfId="0" applyFill="1" applyBorder="1"/>
    <xf numFmtId="0" fontId="0" fillId="39" borderId="36" xfId="0" applyFill="1" applyBorder="1" applyAlignment="1">
      <alignment horizontal="left"/>
    </xf>
    <xf numFmtId="0" fontId="0" fillId="39" borderId="21" xfId="0" applyFill="1" applyBorder="1"/>
    <xf numFmtId="0" fontId="0" fillId="39" borderId="19" xfId="0" applyFill="1" applyBorder="1" applyAlignment="1">
      <alignment horizontal="left"/>
    </xf>
    <xf numFmtId="0" fontId="0" fillId="39" borderId="41" xfId="0" applyFill="1" applyBorder="1"/>
    <xf numFmtId="0" fontId="0" fillId="39" borderId="37" xfId="0" applyFill="1" applyBorder="1" applyAlignment="1">
      <alignment horizontal="left"/>
    </xf>
    <xf numFmtId="164" fontId="19" fillId="40" borderId="16" xfId="4" applyNumberFormat="1" applyFont="1" applyFill="1" applyBorder="1" applyAlignment="1" applyProtection="1">
      <alignment horizontal="center"/>
    </xf>
    <xf numFmtId="0" fontId="19" fillId="0" borderId="35" xfId="0" applyFont="1" applyBorder="1" applyAlignment="1" applyProtection="1">
      <alignment horizontal="right"/>
    </xf>
    <xf numFmtId="0" fontId="19" fillId="0" borderId="36" xfId="0" applyFont="1" applyBorder="1" applyProtection="1"/>
    <xf numFmtId="0" fontId="19" fillId="0" borderId="21" xfId="0" applyFont="1" applyBorder="1" applyAlignment="1" applyProtection="1">
      <alignment horizontal="right"/>
    </xf>
    <xf numFmtId="165" fontId="0" fillId="0" borderId="19" xfId="0" applyNumberFormat="1" applyBorder="1" applyAlignment="1">
      <alignment horizontal="right"/>
    </xf>
    <xf numFmtId="165" fontId="4" fillId="0" borderId="19" xfId="0" applyNumberFormat="1" applyFont="1" applyBorder="1" applyAlignment="1">
      <alignment horizontal="right"/>
    </xf>
    <xf numFmtId="0" fontId="19" fillId="0" borderId="21" xfId="4" applyFont="1" applyBorder="1" applyAlignment="1" applyProtection="1">
      <alignment horizontal="right"/>
    </xf>
    <xf numFmtId="0" fontId="19" fillId="0" borderId="21" xfId="0" applyFont="1" applyBorder="1" applyAlignment="1" applyProtection="1">
      <alignment horizontal="center"/>
    </xf>
    <xf numFmtId="0" fontId="19" fillId="0" borderId="37" xfId="0" applyFont="1" applyBorder="1" applyProtection="1"/>
    <xf numFmtId="4" fontId="37" fillId="47" borderId="19" xfId="9" applyNumberFormat="1" applyFont="1" applyFill="1" applyBorder="1" applyAlignment="1" applyProtection="1">
      <alignment horizontal="right"/>
    </xf>
    <xf numFmtId="248" fontId="37" fillId="47" borderId="21" xfId="1" applyNumberFormat="1" applyFont="1" applyFill="1" applyBorder="1" applyProtection="1"/>
    <xf numFmtId="4" fontId="32" fillId="6" borderId="16" xfId="9" applyNumberFormat="1" applyFont="1" applyFill="1" applyBorder="1" applyAlignment="1" applyProtection="1"/>
    <xf numFmtId="0" fontId="19" fillId="6" borderId="16" xfId="0" applyFont="1" applyFill="1" applyBorder="1" applyAlignment="1" applyProtection="1">
      <alignment horizontal="left"/>
    </xf>
    <xf numFmtId="4" fontId="37" fillId="6" borderId="24" xfId="9" applyNumberFormat="1" applyFont="1" applyFill="1" applyBorder="1" applyAlignment="1" applyProtection="1"/>
    <xf numFmtId="223" fontId="19" fillId="6" borderId="24" xfId="1" applyNumberFormat="1" applyFont="1" applyFill="1" applyBorder="1" applyAlignment="1" applyProtection="1">
      <alignment horizontal="right"/>
    </xf>
    <xf numFmtId="1" fontId="19" fillId="6" borderId="22" xfId="0" applyNumberFormat="1" applyFont="1" applyFill="1" applyBorder="1" applyAlignment="1" applyProtection="1">
      <alignment horizontal="center"/>
    </xf>
    <xf numFmtId="0" fontId="19" fillId="6" borderId="23" xfId="0" applyFont="1" applyFill="1" applyBorder="1" applyProtection="1"/>
    <xf numFmtId="1" fontId="18" fillId="39" borderId="8" xfId="10" applyNumberFormat="1" applyFont="1" applyFill="1" applyBorder="1" applyAlignment="1" applyProtection="1">
      <alignment horizontal="center"/>
    </xf>
    <xf numFmtId="0" fontId="18" fillId="39" borderId="8" xfId="10" applyFont="1" applyFill="1" applyBorder="1" applyAlignment="1" applyProtection="1">
      <alignment horizontal="center"/>
    </xf>
    <xf numFmtId="0" fontId="18" fillId="39" borderId="10" xfId="10" applyFont="1" applyFill="1" applyBorder="1" applyAlignment="1" applyProtection="1">
      <alignment horizontal="center"/>
    </xf>
    <xf numFmtId="1" fontId="18" fillId="39" borderId="12" xfId="10" applyNumberFormat="1" applyFont="1" applyFill="1" applyBorder="1" applyAlignment="1" applyProtection="1">
      <alignment horizontal="center"/>
    </xf>
    <xf numFmtId="3" fontId="18" fillId="39" borderId="12" xfId="10" applyNumberFormat="1" applyFont="1" applyFill="1" applyBorder="1" applyAlignment="1" applyProtection="1">
      <alignment horizontal="center"/>
    </xf>
    <xf numFmtId="1" fontId="18" fillId="39" borderId="0" xfId="10" applyNumberFormat="1" applyFont="1" applyFill="1" applyBorder="1" applyAlignment="1" applyProtection="1">
      <alignment horizontal="center"/>
    </xf>
    <xf numFmtId="3" fontId="18" fillId="39" borderId="0" xfId="10" applyNumberFormat="1" applyFont="1" applyFill="1" applyBorder="1" applyAlignment="1" applyProtection="1">
      <alignment horizontal="center"/>
    </xf>
    <xf numFmtId="0" fontId="15" fillId="39" borderId="24" xfId="10" applyFont="1" applyFill="1" applyBorder="1" applyAlignment="1" applyProtection="1">
      <alignment horizontal="center" vertical="top"/>
    </xf>
    <xf numFmtId="208" fontId="37" fillId="39" borderId="23" xfId="9" applyNumberFormat="1" applyFont="1" applyFill="1" applyBorder="1" applyAlignment="1" applyProtection="1">
      <alignment horizontal="center"/>
    </xf>
    <xf numFmtId="169" fontId="37" fillId="39" borderId="16" xfId="9" applyNumberFormat="1" applyFont="1" applyFill="1" applyBorder="1" applyAlignment="1" applyProtection="1">
      <alignment horizontal="center"/>
    </xf>
    <xf numFmtId="0" fontId="16" fillId="39" borderId="22" xfId="0" applyFont="1" applyFill="1" applyBorder="1" applyProtection="1"/>
    <xf numFmtId="0" fontId="19" fillId="39" borderId="24" xfId="0" applyFont="1" applyFill="1" applyBorder="1" applyProtection="1"/>
    <xf numFmtId="1" fontId="19" fillId="39" borderId="24" xfId="0" applyNumberFormat="1" applyFont="1" applyFill="1" applyBorder="1" applyProtection="1"/>
    <xf numFmtId="0" fontId="19" fillId="39" borderId="23" xfId="0" applyFont="1" applyFill="1" applyBorder="1" applyProtection="1"/>
    <xf numFmtId="4" fontId="19" fillId="39" borderId="0" xfId="0" applyNumberFormat="1" applyFont="1" applyFill="1" applyAlignment="1" applyProtection="1">
      <alignment horizontal="right"/>
    </xf>
    <xf numFmtId="1" fontId="19" fillId="39" borderId="0" xfId="0" applyNumberFormat="1" applyFont="1" applyFill="1" applyProtection="1"/>
    <xf numFmtId="0" fontId="9" fillId="42" borderId="40" xfId="10" applyFont="1" applyFill="1" applyBorder="1" applyAlignment="1" applyProtection="1">
      <alignment horizontal="left"/>
    </xf>
    <xf numFmtId="0" fontId="9" fillId="42" borderId="40" xfId="10" applyFont="1" applyFill="1" applyBorder="1" applyAlignment="1" applyProtection="1">
      <alignment horizontal="center"/>
    </xf>
    <xf numFmtId="4" fontId="19" fillId="42" borderId="0" xfId="10" applyNumberFormat="1" applyFont="1" applyFill="1" applyBorder="1" applyAlignment="1" applyProtection="1">
      <alignment horizontal="left"/>
    </xf>
    <xf numFmtId="239" fontId="19" fillId="42" borderId="0" xfId="10" applyNumberFormat="1" applyFont="1" applyFill="1" applyBorder="1" applyAlignment="1" applyProtection="1">
      <alignment horizontal="center"/>
    </xf>
    <xf numFmtId="239" fontId="4" fillId="42" borderId="0" xfId="10" applyNumberFormat="1" applyFont="1" applyFill="1" applyBorder="1" applyAlignment="1" applyProtection="1">
      <alignment horizontal="center"/>
    </xf>
    <xf numFmtId="0" fontId="9" fillId="72" borderId="16" xfId="10" applyFont="1" applyFill="1" applyBorder="1" applyAlignment="1" applyProtection="1">
      <alignment horizontal="center"/>
    </xf>
    <xf numFmtId="251" fontId="19" fillId="72" borderId="16" xfId="10" applyNumberFormat="1" applyFont="1" applyFill="1" applyBorder="1" applyAlignment="1" applyProtection="1">
      <alignment horizontal="center"/>
    </xf>
    <xf numFmtId="0" fontId="19" fillId="72" borderId="16" xfId="10" applyFont="1" applyFill="1" applyBorder="1" applyAlignment="1" applyProtection="1">
      <alignment horizontal="center"/>
    </xf>
    <xf numFmtId="9" fontId="19" fillId="72" borderId="16" xfId="10" applyNumberFormat="1" applyFont="1" applyFill="1" applyBorder="1" applyAlignment="1" applyProtection="1">
      <alignment horizontal="center"/>
    </xf>
    <xf numFmtId="199" fontId="19" fillId="72" borderId="38" xfId="10" applyNumberFormat="1" applyFont="1" applyFill="1" applyBorder="1" applyAlignment="1" applyProtection="1">
      <alignment horizontal="center"/>
    </xf>
    <xf numFmtId="0" fontId="19" fillId="72" borderId="38" xfId="10" applyFont="1" applyFill="1" applyBorder="1" applyAlignment="1" applyProtection="1">
      <alignment horizontal="center"/>
    </xf>
    <xf numFmtId="0" fontId="9" fillId="72" borderId="40" xfId="10" applyFont="1" applyFill="1" applyBorder="1" applyProtection="1"/>
    <xf numFmtId="0" fontId="9" fillId="72" borderId="22" xfId="10" applyFont="1" applyFill="1" applyBorder="1" applyAlignment="1" applyProtection="1">
      <alignment horizontal="center"/>
    </xf>
    <xf numFmtId="251" fontId="9" fillId="72" borderId="16" xfId="10" applyNumberFormat="1" applyFont="1" applyFill="1" applyBorder="1" applyAlignment="1" applyProtection="1">
      <alignment horizontal="center"/>
    </xf>
    <xf numFmtId="203" fontId="19" fillId="72" borderId="16" xfId="10" applyNumberFormat="1" applyFont="1" applyFill="1" applyBorder="1" applyAlignment="1" applyProtection="1">
      <alignment horizontal="center"/>
    </xf>
    <xf numFmtId="251" fontId="6" fillId="72" borderId="16" xfId="10" applyNumberFormat="1" applyFont="1" applyFill="1" applyBorder="1" applyAlignment="1" applyProtection="1">
      <alignment horizontal="center"/>
    </xf>
    <xf numFmtId="0" fontId="9" fillId="72" borderId="40" xfId="0" applyFont="1" applyFill="1" applyBorder="1" applyAlignment="1" applyProtection="1">
      <alignment horizontal="right"/>
    </xf>
    <xf numFmtId="251" fontId="9" fillId="72" borderId="36" xfId="10" applyNumberFormat="1" applyFont="1" applyFill="1" applyBorder="1" applyAlignment="1" applyProtection="1">
      <alignment horizontal="center"/>
    </xf>
    <xf numFmtId="193" fontId="4" fillId="72" borderId="35" xfId="10" applyNumberFormat="1" applyFont="1" applyFill="1" applyBorder="1" applyAlignment="1" applyProtection="1">
      <alignment horizontal="center"/>
    </xf>
    <xf numFmtId="0" fontId="9" fillId="72" borderId="22" xfId="0" applyFont="1" applyFill="1" applyBorder="1" applyAlignment="1" applyProtection="1">
      <alignment horizontal="right"/>
    </xf>
    <xf numFmtId="183" fontId="4" fillId="72" borderId="40" xfId="10" applyNumberFormat="1" applyFont="1" applyFill="1" applyBorder="1" applyProtection="1"/>
    <xf numFmtId="3" fontId="4" fillId="72" borderId="40" xfId="10" applyNumberFormat="1" applyFont="1" applyFill="1" applyBorder="1" applyAlignment="1" applyProtection="1">
      <alignment horizontal="center"/>
    </xf>
    <xf numFmtId="251" fontId="4" fillId="72" borderId="19" xfId="10" applyNumberFormat="1" applyFont="1" applyFill="1" applyBorder="1" applyAlignment="1" applyProtection="1">
      <alignment horizontal="center"/>
    </xf>
    <xf numFmtId="193" fontId="19" fillId="72" borderId="16" xfId="10" applyNumberFormat="1" applyFont="1" applyFill="1" applyBorder="1" applyAlignment="1" applyProtection="1">
      <alignment horizontal="center"/>
    </xf>
    <xf numFmtId="203" fontId="4" fillId="72" borderId="16" xfId="10" applyNumberFormat="1" applyFont="1" applyFill="1" applyBorder="1" applyAlignment="1" applyProtection="1">
      <alignment horizontal="center"/>
    </xf>
    <xf numFmtId="0" fontId="4" fillId="72" borderId="0" xfId="10" applyFont="1" applyFill="1" applyBorder="1" applyProtection="1"/>
    <xf numFmtId="3" fontId="6" fillId="72" borderId="0" xfId="10" applyNumberFormat="1" applyFont="1" applyFill="1" applyBorder="1" applyAlignment="1" applyProtection="1">
      <alignment horizontal="center"/>
    </xf>
    <xf numFmtId="0" fontId="9" fillId="72" borderId="24" xfId="0" applyFont="1" applyFill="1" applyBorder="1" applyAlignment="1" applyProtection="1">
      <alignment horizontal="right"/>
    </xf>
    <xf numFmtId="251" fontId="6" fillId="72" borderId="38" xfId="10" applyNumberFormat="1" applyFont="1" applyFill="1" applyBorder="1" applyAlignment="1" applyProtection="1">
      <alignment horizontal="center"/>
    </xf>
    <xf numFmtId="167" fontId="6" fillId="72" borderId="38" xfId="10" applyNumberFormat="1" applyFont="1" applyFill="1" applyBorder="1" applyAlignment="1" applyProtection="1">
      <alignment horizontal="center"/>
    </xf>
    <xf numFmtId="234" fontId="19" fillId="72" borderId="38" xfId="10" applyNumberFormat="1" applyFont="1" applyFill="1" applyBorder="1" applyAlignment="1" applyProtection="1">
      <alignment horizontal="center"/>
    </xf>
    <xf numFmtId="3" fontId="9" fillId="72" borderId="0" xfId="10" applyNumberFormat="1" applyFont="1" applyFill="1" applyBorder="1" applyAlignment="1" applyProtection="1">
      <alignment horizontal="center"/>
    </xf>
    <xf numFmtId="251" fontId="6" fillId="72" borderId="19" xfId="14" applyNumberFormat="1" applyFont="1" applyFill="1" applyBorder="1" applyAlignment="1" applyProtection="1">
      <alignment horizontal="center"/>
    </xf>
    <xf numFmtId="251" fontId="4" fillId="72" borderId="37" xfId="14" applyNumberFormat="1" applyFont="1" applyFill="1" applyBorder="1" applyAlignment="1" applyProtection="1">
      <alignment horizontal="center"/>
    </xf>
    <xf numFmtId="0" fontId="18" fillId="72" borderId="41" xfId="0" applyFont="1" applyFill="1" applyBorder="1" applyAlignment="1" applyProtection="1">
      <alignment horizontal="right"/>
    </xf>
    <xf numFmtId="251" fontId="18" fillId="72" borderId="12" xfId="10" applyNumberFormat="1" applyFont="1" applyFill="1" applyBorder="1" applyAlignment="1" applyProtection="1">
      <alignment horizontal="center"/>
    </xf>
    <xf numFmtId="0" fontId="28" fillId="72" borderId="24" xfId="0" applyFont="1" applyFill="1" applyBorder="1" applyAlignment="1" applyProtection="1">
      <alignment horizontal="right"/>
    </xf>
    <xf numFmtId="0" fontId="19" fillId="72" borderId="12" xfId="10" applyFont="1" applyFill="1" applyBorder="1" applyProtection="1"/>
    <xf numFmtId="0" fontId="9" fillId="39" borderId="40" xfId="10" applyFont="1" applyFill="1" applyBorder="1" applyAlignment="1" applyProtection="1">
      <alignment horizontal="left"/>
      <protection locked="0"/>
    </xf>
    <xf numFmtId="183" fontId="27" fillId="87" borderId="90" xfId="14" applyNumberFormat="1" applyFont="1" applyFill="1" applyBorder="1" applyAlignment="1" applyProtection="1">
      <alignment horizontal="center"/>
    </xf>
    <xf numFmtId="183" fontId="27" fillId="87" borderId="91" xfId="14" applyNumberFormat="1" applyFont="1" applyFill="1" applyBorder="1" applyAlignment="1" applyProtection="1">
      <alignment horizontal="center"/>
    </xf>
    <xf numFmtId="183" fontId="27" fillId="87" borderId="16" xfId="14" applyNumberFormat="1" applyFont="1" applyFill="1" applyBorder="1" applyAlignment="1" applyProtection="1">
      <alignment horizontal="center"/>
    </xf>
    <xf numFmtId="0" fontId="19" fillId="87" borderId="84" xfId="10" applyFont="1" applyFill="1" applyBorder="1" applyAlignment="1" applyProtection="1">
      <alignment horizontal="center"/>
    </xf>
    <xf numFmtId="0" fontId="11" fillId="87" borderId="88" xfId="14" applyNumberFormat="1" applyFont="1" applyFill="1" applyBorder="1" applyAlignment="1" applyProtection="1">
      <alignment horizontal="center"/>
    </xf>
    <xf numFmtId="0" fontId="11" fillId="87" borderId="92" xfId="14" applyNumberFormat="1" applyFont="1" applyFill="1" applyBorder="1" applyAlignment="1" applyProtection="1">
      <alignment horizontal="center"/>
    </xf>
    <xf numFmtId="193" fontId="4" fillId="87" borderId="16" xfId="14" applyNumberFormat="1" applyFont="1" applyFill="1" applyBorder="1" applyAlignment="1" applyProtection="1">
      <alignment horizontal="center"/>
    </xf>
    <xf numFmtId="269" fontId="236" fillId="72" borderId="20" xfId="10" applyNumberFormat="1" applyFont="1" applyFill="1" applyBorder="1" applyAlignment="1" applyProtection="1">
      <alignment horizontal="center"/>
    </xf>
    <xf numFmtId="3" fontId="9" fillId="88" borderId="24" xfId="10" applyNumberFormat="1" applyFont="1" applyFill="1" applyBorder="1" applyAlignment="1" applyProtection="1"/>
    <xf numFmtId="0" fontId="86" fillId="72" borderId="38" xfId="6" applyFont="1" applyFill="1" applyBorder="1" applyAlignment="1">
      <alignment horizontal="center"/>
    </xf>
    <xf numFmtId="268" fontId="19" fillId="72" borderId="39" xfId="6" applyNumberFormat="1" applyFont="1" applyFill="1" applyBorder="1" applyAlignment="1">
      <alignment horizontal="center"/>
    </xf>
    <xf numFmtId="0" fontId="19" fillId="72" borderId="38" xfId="0" applyFont="1" applyFill="1" applyBorder="1" applyAlignment="1" applyProtection="1">
      <alignment horizontal="center"/>
    </xf>
    <xf numFmtId="0" fontId="19" fillId="72" borderId="20" xfId="0" applyFont="1" applyFill="1" applyBorder="1" applyAlignment="1" applyProtection="1">
      <alignment horizontal="center"/>
    </xf>
    <xf numFmtId="0" fontId="19" fillId="72" borderId="20" xfId="0" applyFont="1" applyFill="1" applyBorder="1" applyProtection="1"/>
    <xf numFmtId="3" fontId="19" fillId="72" borderId="20" xfId="0" applyNumberFormat="1" applyFont="1" applyFill="1" applyBorder="1" applyAlignment="1" applyProtection="1">
      <alignment horizontal="center"/>
    </xf>
    <xf numFmtId="0" fontId="19" fillId="72" borderId="0" xfId="0" applyFont="1" applyFill="1" applyAlignment="1" applyProtection="1">
      <alignment horizontal="centerContinuous"/>
    </xf>
    <xf numFmtId="0" fontId="19" fillId="72" borderId="0" xfId="0" applyFont="1" applyFill="1" applyProtection="1"/>
    <xf numFmtId="0" fontId="19" fillId="72" borderId="0" xfId="0" applyFont="1" applyFill="1" applyAlignment="1" applyProtection="1">
      <alignment horizontal="center"/>
    </xf>
    <xf numFmtId="0" fontId="19" fillId="72" borderId="0" xfId="0" applyFont="1" applyFill="1" applyAlignment="1" applyProtection="1">
      <alignment horizontal="right"/>
    </xf>
    <xf numFmtId="0" fontId="66" fillId="72" borderId="0" xfId="0" applyFont="1" applyFill="1"/>
    <xf numFmtId="2" fontId="19" fillId="72" borderId="0" xfId="0" applyNumberFormat="1" applyFont="1" applyFill="1" applyAlignment="1">
      <alignment horizontal="center"/>
    </xf>
    <xf numFmtId="168" fontId="19" fillId="72" borderId="0" xfId="0" applyNumberFormat="1" applyFont="1" applyFill="1" applyAlignment="1">
      <alignment horizontal="center"/>
    </xf>
    <xf numFmtId="168" fontId="19" fillId="72" borderId="0" xfId="0" applyNumberFormat="1" applyFont="1" applyFill="1" applyBorder="1" applyProtection="1"/>
    <xf numFmtId="0" fontId="18" fillId="3" borderId="2" xfId="0" applyFont="1" applyFill="1" applyBorder="1" applyAlignment="1" applyProtection="1">
      <alignment horizontal="center"/>
    </xf>
    <xf numFmtId="167" fontId="18" fillId="0" borderId="0" xfId="0" applyNumberFormat="1" applyFont="1" applyFill="1" applyBorder="1" applyAlignment="1" applyProtection="1">
      <alignment horizontal="center"/>
      <protection locked="0"/>
    </xf>
    <xf numFmtId="164" fontId="19" fillId="40" borderId="0" xfId="4" applyNumberFormat="1" applyFont="1" applyFill="1" applyBorder="1" applyAlignment="1" applyProtection="1">
      <alignment horizontal="center"/>
    </xf>
    <xf numFmtId="165" fontId="0" fillId="0" borderId="0" xfId="0" applyNumberFormat="1" applyBorder="1" applyAlignment="1">
      <alignment horizontal="right"/>
    </xf>
    <xf numFmtId="271" fontId="18" fillId="72" borderId="37" xfId="10" applyNumberFormat="1" applyFont="1" applyFill="1" applyBorder="1" applyAlignment="1" applyProtection="1">
      <alignment horizontal="center"/>
    </xf>
    <xf numFmtId="271" fontId="18" fillId="72" borderId="24" xfId="10" applyNumberFormat="1" applyFont="1" applyFill="1" applyBorder="1" applyAlignment="1" applyProtection="1">
      <alignment horizontal="center"/>
    </xf>
    <xf numFmtId="272" fontId="235" fillId="86" borderId="0" xfId="6" applyNumberFormat="1" applyFont="1" applyFill="1" applyAlignment="1">
      <alignment horizontal="center"/>
    </xf>
    <xf numFmtId="265" fontId="19" fillId="72" borderId="20" xfId="6" applyNumberFormat="1" applyFont="1" applyFill="1" applyBorder="1" applyAlignment="1">
      <alignment horizontal="center"/>
    </xf>
    <xf numFmtId="265" fontId="19" fillId="41" borderId="20" xfId="6" applyNumberFormat="1" applyFont="1" applyFill="1" applyBorder="1" applyAlignment="1">
      <alignment horizontal="center"/>
    </xf>
    <xf numFmtId="1" fontId="4" fillId="41" borderId="35" xfId="10" applyNumberFormat="1" applyFont="1" applyFill="1" applyBorder="1" applyAlignment="1" applyProtection="1">
      <alignment horizontal="center"/>
    </xf>
    <xf numFmtId="1" fontId="4" fillId="41" borderId="21" xfId="10" applyNumberFormat="1" applyFont="1" applyFill="1" applyBorder="1" applyAlignment="1" applyProtection="1">
      <alignment horizontal="center"/>
    </xf>
    <xf numFmtId="1" fontId="4" fillId="41" borderId="41" xfId="10" applyNumberFormat="1" applyFont="1" applyFill="1" applyBorder="1" applyAlignment="1" applyProtection="1">
      <alignment horizontal="center"/>
    </xf>
    <xf numFmtId="170" fontId="15" fillId="45" borderId="20" xfId="13" applyNumberFormat="1" applyFont="1" applyFill="1" applyBorder="1" applyAlignment="1" applyProtection="1">
      <alignment horizontal="center"/>
    </xf>
    <xf numFmtId="167" fontId="15" fillId="45" borderId="39" xfId="13" applyNumberFormat="1" applyFont="1" applyFill="1" applyBorder="1" applyAlignment="1" applyProtection="1">
      <alignment horizontal="center"/>
    </xf>
    <xf numFmtId="170" fontId="15" fillId="45" borderId="39" xfId="13" applyNumberFormat="1" applyFont="1" applyFill="1" applyBorder="1" applyAlignment="1" applyProtection="1">
      <alignment horizontal="center"/>
    </xf>
    <xf numFmtId="0" fontId="15" fillId="13" borderId="39" xfId="13" applyFont="1" applyFill="1" applyBorder="1" applyAlignment="1" applyProtection="1">
      <alignment horizontal="center"/>
    </xf>
    <xf numFmtId="0" fontId="19" fillId="0" borderId="12" xfId="13" applyFont="1" applyBorder="1" applyAlignment="1" applyProtection="1">
      <alignment horizontal="center"/>
    </xf>
    <xf numFmtId="0" fontId="9" fillId="67" borderId="16" xfId="0" applyFont="1" applyFill="1" applyBorder="1" applyAlignment="1">
      <alignment horizontal="center"/>
    </xf>
    <xf numFmtId="222" fontId="19" fillId="3" borderId="22" xfId="6" applyNumberFormat="1" applyFont="1" applyFill="1" applyBorder="1" applyAlignment="1">
      <alignment horizontal="center"/>
    </xf>
    <xf numFmtId="0" fontId="19" fillId="89" borderId="22" xfId="6" applyFont="1" applyFill="1" applyBorder="1"/>
    <xf numFmtId="0" fontId="19" fillId="89" borderId="24" xfId="6" applyFont="1" applyFill="1" applyBorder="1" applyAlignment="1">
      <alignment horizontal="center"/>
    </xf>
    <xf numFmtId="251" fontId="9" fillId="89" borderId="41" xfId="10" applyNumberFormat="1" applyFont="1" applyFill="1" applyBorder="1" applyAlignment="1" applyProtection="1">
      <alignment horizontal="center"/>
    </xf>
    <xf numFmtId="0" fontId="18" fillId="89" borderId="37" xfId="6" applyFont="1" applyFill="1" applyBorder="1" applyAlignment="1">
      <alignment horizontal="center"/>
    </xf>
    <xf numFmtId="0" fontId="19" fillId="0" borderId="22" xfId="6" applyFont="1" applyBorder="1" applyAlignment="1">
      <alignment horizontal="right"/>
    </xf>
    <xf numFmtId="273" fontId="19" fillId="0" borderId="23" xfId="6" applyNumberFormat="1" applyFont="1" applyBorder="1" applyAlignment="1">
      <alignment horizontal="center"/>
    </xf>
    <xf numFmtId="173" fontId="19" fillId="47" borderId="20" xfId="6" applyNumberFormat="1" applyFont="1" applyFill="1" applyBorder="1" applyAlignment="1">
      <alignment horizontal="center"/>
    </xf>
    <xf numFmtId="0" fontId="18" fillId="47" borderId="16" xfId="6" applyFont="1" applyFill="1" applyBorder="1" applyAlignment="1">
      <alignment horizontal="center"/>
    </xf>
    <xf numFmtId="251" fontId="19" fillId="47" borderId="16" xfId="6" applyNumberFormat="1" applyFont="1" applyFill="1" applyBorder="1" applyAlignment="1">
      <alignment horizontal="center"/>
    </xf>
    <xf numFmtId="271" fontId="19" fillId="47" borderId="16" xfId="6" applyNumberFormat="1" applyFont="1" applyFill="1" applyBorder="1" applyAlignment="1">
      <alignment horizontal="center"/>
    </xf>
    <xf numFmtId="273" fontId="19" fillId="47" borderId="16" xfId="6" applyNumberFormat="1" applyFont="1" applyFill="1" applyBorder="1" applyAlignment="1">
      <alignment horizontal="center"/>
    </xf>
    <xf numFmtId="0" fontId="19" fillId="90" borderId="38" xfId="6" applyFont="1" applyFill="1" applyBorder="1" applyAlignment="1">
      <alignment horizontal="center"/>
    </xf>
    <xf numFmtId="273" fontId="19" fillId="90" borderId="16" xfId="6" applyNumberFormat="1" applyFont="1" applyFill="1" applyBorder="1" applyAlignment="1">
      <alignment horizontal="center"/>
    </xf>
    <xf numFmtId="271" fontId="95" fillId="2" borderId="16" xfId="0" applyNumberFormat="1" applyFont="1" applyFill="1" applyBorder="1" applyAlignment="1" applyProtection="1">
      <alignment horizontal="center"/>
    </xf>
    <xf numFmtId="0" fontId="19" fillId="75" borderId="16" xfId="6" applyFont="1" applyFill="1" applyBorder="1" applyAlignment="1">
      <alignment horizontal="center"/>
    </xf>
    <xf numFmtId="271" fontId="5" fillId="42" borderId="16" xfId="10" applyNumberFormat="1" applyFont="1" applyFill="1" applyBorder="1" applyAlignment="1" applyProtection="1">
      <alignment horizontal="center"/>
    </xf>
    <xf numFmtId="0" fontId="15" fillId="75" borderId="0" xfId="6" applyFont="1" applyFill="1" applyAlignment="1">
      <alignment horizontal="center"/>
    </xf>
    <xf numFmtId="0" fontId="19" fillId="91" borderId="21" xfId="6" applyFont="1" applyFill="1" applyBorder="1"/>
    <xf numFmtId="0" fontId="19" fillId="91" borderId="0" xfId="6" applyFont="1" applyFill="1" applyBorder="1"/>
    <xf numFmtId="251" fontId="19" fillId="91" borderId="0" xfId="6" applyNumberFormat="1" applyFont="1" applyFill="1" applyBorder="1"/>
    <xf numFmtId="0" fontId="19" fillId="60" borderId="22" xfId="6" applyFont="1" applyFill="1" applyBorder="1"/>
    <xf numFmtId="0" fontId="19" fillId="60" borderId="24" xfId="6" applyFont="1" applyFill="1" applyBorder="1"/>
    <xf numFmtId="251" fontId="19" fillId="60" borderId="23" xfId="6" applyNumberFormat="1" applyFont="1" applyFill="1" applyBorder="1"/>
    <xf numFmtId="274" fontId="19" fillId="47" borderId="16" xfId="6" applyNumberFormat="1" applyFont="1" applyFill="1" applyBorder="1" applyAlignment="1">
      <alignment horizontal="center"/>
    </xf>
    <xf numFmtId="0" fontId="86" fillId="86" borderId="38" xfId="6" applyFont="1" applyFill="1" applyBorder="1" applyAlignment="1">
      <alignment horizontal="center"/>
    </xf>
    <xf numFmtId="265" fontId="19" fillId="86" borderId="20" xfId="6" applyNumberFormat="1" applyFont="1" applyFill="1" applyBorder="1" applyAlignment="1">
      <alignment horizontal="center"/>
    </xf>
    <xf numFmtId="268" fontId="19" fillId="86" borderId="39" xfId="6" applyNumberFormat="1" applyFont="1" applyFill="1" applyBorder="1" applyAlignment="1">
      <alignment horizontal="center"/>
    </xf>
    <xf numFmtId="0" fontId="18" fillId="86" borderId="16" xfId="6" applyFont="1" applyFill="1" applyBorder="1" applyAlignment="1">
      <alignment horizontal="center"/>
    </xf>
    <xf numFmtId="251" fontId="19" fillId="86" borderId="16" xfId="6" applyNumberFormat="1" applyFont="1" applyFill="1" applyBorder="1" applyAlignment="1">
      <alignment horizontal="center"/>
    </xf>
    <xf numFmtId="231" fontId="19" fillId="66" borderId="16" xfId="6" applyNumberFormat="1" applyFont="1" applyFill="1" applyBorder="1" applyAlignment="1" applyProtection="1">
      <alignment horizontal="center"/>
      <protection locked="0"/>
    </xf>
    <xf numFmtId="0" fontId="19" fillId="66" borderId="16" xfId="6" applyFont="1" applyFill="1" applyBorder="1" applyAlignment="1">
      <alignment horizontal="center"/>
    </xf>
    <xf numFmtId="4" fontId="32" fillId="47" borderId="20" xfId="9" applyNumberFormat="1" applyFont="1" applyFill="1" applyBorder="1" applyAlignment="1" applyProtection="1"/>
    <xf numFmtId="0" fontId="19" fillId="47" borderId="20" xfId="0" applyFont="1" applyFill="1" applyBorder="1" applyAlignment="1" applyProtection="1">
      <alignment horizontal="left"/>
    </xf>
    <xf numFmtId="0" fontId="121" fillId="47" borderId="21" xfId="0" applyFont="1" applyFill="1" applyBorder="1" applyAlignment="1" applyProtection="1">
      <alignment horizontal="center"/>
    </xf>
    <xf numFmtId="4" fontId="36" fillId="47" borderId="0" xfId="9" applyNumberFormat="1" applyFont="1" applyFill="1" applyBorder="1" applyAlignment="1" applyProtection="1"/>
    <xf numFmtId="4" fontId="36" fillId="47" borderId="19" xfId="9" applyNumberFormat="1" applyFont="1" applyFill="1" applyBorder="1" applyAlignment="1" applyProtection="1"/>
    <xf numFmtId="166" fontId="19" fillId="47" borderId="21" xfId="1" applyFont="1" applyFill="1" applyBorder="1" applyProtection="1"/>
    <xf numFmtId="166" fontId="19" fillId="47" borderId="0" xfId="1" applyFont="1" applyFill="1" applyBorder="1" applyProtection="1"/>
    <xf numFmtId="167" fontId="19" fillId="47" borderId="21" xfId="0" applyNumberFormat="1" applyFont="1" applyFill="1" applyBorder="1" applyProtection="1"/>
    <xf numFmtId="0" fontId="19" fillId="47" borderId="19" xfId="0" applyFont="1" applyFill="1" applyBorder="1" applyProtection="1"/>
    <xf numFmtId="1" fontId="19" fillId="47" borderId="21" xfId="0" applyNumberFormat="1" applyFont="1" applyFill="1" applyBorder="1" applyProtection="1"/>
    <xf numFmtId="0" fontId="19" fillId="47" borderId="19" xfId="0" applyFont="1" applyFill="1" applyBorder="1" applyAlignment="1" applyProtection="1">
      <alignment horizontal="center"/>
    </xf>
    <xf numFmtId="224" fontId="19" fillId="6" borderId="0" xfId="1" applyNumberFormat="1" applyFont="1" applyFill="1" applyBorder="1" applyAlignment="1" applyProtection="1">
      <alignment horizontal="right"/>
    </xf>
    <xf numFmtId="4" fontId="18" fillId="0" borderId="16" xfId="10" applyNumberFormat="1" applyFont="1" applyFill="1" applyBorder="1" applyAlignment="1" applyProtection="1">
      <alignment horizontal="center"/>
    </xf>
    <xf numFmtId="165" fontId="0" fillId="0" borderId="20" xfId="0" applyNumberFormat="1" applyBorder="1" applyAlignment="1">
      <alignment horizontal="center"/>
    </xf>
    <xf numFmtId="0" fontId="19" fillId="0" borderId="39" xfId="0" applyFont="1" applyBorder="1" applyProtection="1"/>
    <xf numFmtId="0" fontId="0" fillId="0" borderId="0" xfId="0" applyNumberFormat="1" applyBorder="1" applyAlignment="1">
      <alignment horizontal="right"/>
    </xf>
    <xf numFmtId="0" fontId="4" fillId="60" borderId="0" xfId="0" applyFont="1" applyFill="1"/>
    <xf numFmtId="0" fontId="0" fillId="60" borderId="0" xfId="0" applyFill="1"/>
    <xf numFmtId="275" fontId="0" fillId="60" borderId="0" xfId="0" applyNumberFormat="1" applyFill="1"/>
    <xf numFmtId="276" fontId="0" fillId="60" borderId="0" xfId="0" applyNumberFormat="1" applyFill="1"/>
    <xf numFmtId="0" fontId="19" fillId="60" borderId="20" xfId="0" applyFont="1" applyFill="1" applyBorder="1" applyAlignment="1" applyProtection="1">
      <alignment horizontal="center"/>
    </xf>
    <xf numFmtId="0" fontId="19" fillId="60" borderId="21" xfId="0" applyFont="1" applyFill="1" applyBorder="1" applyAlignment="1" applyProtection="1">
      <alignment horizontal="right"/>
    </xf>
    <xf numFmtId="0" fontId="19" fillId="60" borderId="19" xfId="0" applyFont="1" applyFill="1" applyBorder="1" applyProtection="1"/>
    <xf numFmtId="0" fontId="19" fillId="0" borderId="0" xfId="6" applyNumberFormat="1" applyFont="1"/>
    <xf numFmtId="251" fontId="19" fillId="92" borderId="38" xfId="6" applyNumberFormat="1" applyFont="1" applyFill="1" applyBorder="1"/>
    <xf numFmtId="251" fontId="19" fillId="92" borderId="20" xfId="6" applyNumberFormat="1" applyFont="1" applyFill="1" applyBorder="1"/>
    <xf numFmtId="251" fontId="19" fillId="92" borderId="94" xfId="6" applyNumberFormat="1" applyFont="1" applyFill="1" applyBorder="1"/>
    <xf numFmtId="251" fontId="19" fillId="92" borderId="39" xfId="6" applyNumberFormat="1" applyFont="1" applyFill="1" applyBorder="1"/>
    <xf numFmtId="209" fontId="238" fillId="4" borderId="38" xfId="6" applyNumberFormat="1" applyFont="1" applyFill="1" applyBorder="1" applyAlignment="1">
      <alignment horizontal="center"/>
    </xf>
    <xf numFmtId="0" fontId="66" fillId="4" borderId="16" xfId="14" applyNumberFormat="1" applyFont="1" applyFill="1" applyBorder="1" applyAlignment="1" applyProtection="1">
      <alignment horizontal="center"/>
    </xf>
    <xf numFmtId="0" fontId="239" fillId="4" borderId="16" xfId="20" applyFont="1" applyFill="1" applyBorder="1" applyAlignment="1" applyProtection="1">
      <alignment horizontal="center"/>
    </xf>
    <xf numFmtId="0" fontId="7" fillId="6" borderId="22" xfId="2" applyFill="1" applyBorder="1" applyAlignment="1" applyProtection="1">
      <alignment horizontal="left"/>
    </xf>
    <xf numFmtId="172" fontId="19" fillId="0" borderId="0" xfId="4" applyNumberFormat="1" applyFont="1" applyProtection="1"/>
    <xf numFmtId="40" fontId="19" fillId="0" borderId="0" xfId="4" applyNumberFormat="1" applyFont="1" applyProtection="1"/>
    <xf numFmtId="0" fontId="148" fillId="96" borderId="12" xfId="10" applyFont="1" applyFill="1" applyBorder="1" applyProtection="1"/>
    <xf numFmtId="0" fontId="148" fillId="97" borderId="12" xfId="10" applyFont="1" applyFill="1" applyBorder="1" applyProtection="1"/>
    <xf numFmtId="0" fontId="148" fillId="98" borderId="12" xfId="10" applyFont="1" applyFill="1" applyBorder="1" applyProtection="1"/>
    <xf numFmtId="0" fontId="148" fillId="99" borderId="12" xfId="10" applyFont="1" applyFill="1" applyBorder="1" applyProtection="1"/>
    <xf numFmtId="0" fontId="148" fillId="93" borderId="12" xfId="10" applyFont="1" applyFill="1" applyBorder="1" applyProtection="1"/>
    <xf numFmtId="0" fontId="148" fillId="100" borderId="12" xfId="10" applyFont="1" applyFill="1" applyBorder="1" applyProtection="1"/>
    <xf numFmtId="0" fontId="240" fillId="101" borderId="12" xfId="10" applyFont="1" applyFill="1" applyBorder="1" applyProtection="1"/>
    <xf numFmtId="0" fontId="148" fillId="102" borderId="12" xfId="10" applyFont="1" applyFill="1" applyBorder="1" applyProtection="1"/>
    <xf numFmtId="0" fontId="241" fillId="103" borderId="12" xfId="10" applyFont="1" applyFill="1" applyBorder="1" applyProtection="1"/>
    <xf numFmtId="0" fontId="148" fillId="49" borderId="12" xfId="10" applyFont="1" applyFill="1" applyBorder="1" applyProtection="1"/>
    <xf numFmtId="0" fontId="241" fillId="104" borderId="12" xfId="10" applyFont="1" applyFill="1" applyBorder="1" applyProtection="1"/>
    <xf numFmtId="0" fontId="241" fillId="95" borderId="12" xfId="10" applyFont="1" applyFill="1" applyBorder="1" applyProtection="1"/>
    <xf numFmtId="0" fontId="148" fillId="52" borderId="12" xfId="10" applyFont="1" applyFill="1" applyBorder="1" applyProtection="1"/>
    <xf numFmtId="0" fontId="241" fillId="94" borderId="12" xfId="10" applyFont="1" applyFill="1" applyBorder="1" applyProtection="1"/>
    <xf numFmtId="273" fontId="19" fillId="91" borderId="40" xfId="6" applyNumberFormat="1" applyFont="1" applyFill="1" applyBorder="1"/>
    <xf numFmtId="273" fontId="19" fillId="91" borderId="0" xfId="6" applyNumberFormat="1" applyFont="1" applyFill="1" applyBorder="1"/>
    <xf numFmtId="273" fontId="19" fillId="91" borderId="12" xfId="6" applyNumberFormat="1" applyFont="1" applyFill="1" applyBorder="1"/>
    <xf numFmtId="275" fontId="19" fillId="91" borderId="38" xfId="6" applyNumberFormat="1" applyFont="1" applyFill="1" applyBorder="1"/>
    <xf numFmtId="275" fontId="19" fillId="91" borderId="20" xfId="6" applyNumberFormat="1" applyFont="1" applyFill="1" applyBorder="1"/>
    <xf numFmtId="275" fontId="19" fillId="91" borderId="39" xfId="6" applyNumberFormat="1" applyFont="1" applyFill="1" applyBorder="1"/>
    <xf numFmtId="0" fontId="19" fillId="60" borderId="38" xfId="6" applyFont="1" applyFill="1" applyBorder="1" applyAlignment="1">
      <alignment horizontal="center"/>
    </xf>
    <xf numFmtId="0" fontId="99" fillId="32" borderId="19" xfId="6" applyFont="1" applyFill="1" applyBorder="1" applyAlignment="1">
      <alignment horizontal="center"/>
    </xf>
    <xf numFmtId="0" fontId="18" fillId="3" borderId="12" xfId="10" applyFont="1" applyFill="1" applyBorder="1" applyAlignment="1" applyProtection="1">
      <alignment horizontal="center"/>
    </xf>
    <xf numFmtId="0" fontId="19" fillId="0" borderId="0" xfId="0" applyFont="1" applyBorder="1" applyAlignment="1" applyProtection="1">
      <alignment horizontal="center"/>
    </xf>
    <xf numFmtId="165" fontId="0" fillId="0" borderId="0" xfId="0" applyNumberForma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167" fontId="19" fillId="3" borderId="21" xfId="20" applyNumberFormat="1" applyFont="1" applyFill="1" applyBorder="1" applyAlignment="1" applyProtection="1">
      <alignment horizontal="center"/>
    </xf>
    <xf numFmtId="0" fontId="18" fillId="60" borderId="0" xfId="0" applyFont="1" applyFill="1" applyAlignment="1">
      <alignment horizontal="center"/>
    </xf>
    <xf numFmtId="1" fontId="0" fillId="0" borderId="0" xfId="0" applyNumberForma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18" fillId="60" borderId="0" xfId="0" applyNumberFormat="1" applyFont="1" applyFill="1" applyAlignment="1">
      <alignment horizontal="center"/>
    </xf>
    <xf numFmtId="0" fontId="19" fillId="3" borderId="39" xfId="6" applyFont="1" applyFill="1" applyBorder="1" applyAlignment="1">
      <alignment horizontal="center" vertical="center"/>
    </xf>
    <xf numFmtId="0" fontId="238" fillId="39" borderId="38" xfId="6" applyFont="1" applyFill="1" applyBorder="1" applyAlignment="1">
      <alignment horizontal="center"/>
    </xf>
    <xf numFmtId="0" fontId="19" fillId="40" borderId="0" xfId="0" applyFont="1" applyFill="1" applyProtection="1"/>
    <xf numFmtId="228" fontId="242" fillId="34" borderId="0" xfId="14" applyNumberFormat="1" applyFont="1" applyFill="1" applyBorder="1" applyAlignment="1">
      <alignment horizontal="center"/>
    </xf>
    <xf numFmtId="1" fontId="148" fillId="34" borderId="0" xfId="10" applyNumberFormat="1" applyFont="1" applyFill="1" applyBorder="1" applyProtection="1"/>
    <xf numFmtId="4" fontId="37" fillId="6" borderId="0" xfId="9" applyNumberFormat="1" applyFont="1" applyFill="1" applyBorder="1" applyAlignment="1" applyProtection="1">
      <alignment horizontal="center"/>
    </xf>
    <xf numFmtId="0" fontId="19" fillId="6" borderId="19" xfId="0" applyNumberFormat="1" applyFont="1" applyFill="1" applyBorder="1" applyAlignment="1" applyProtection="1">
      <alignment horizontal="center"/>
    </xf>
    <xf numFmtId="248" fontId="19" fillId="6" borderId="21" xfId="1" applyNumberFormat="1" applyFont="1" applyFill="1" applyBorder="1" applyAlignment="1" applyProtection="1">
      <alignment horizontal="center"/>
    </xf>
    <xf numFmtId="223" fontId="19" fillId="6" borderId="0" xfId="1" applyNumberFormat="1" applyFont="1" applyFill="1" applyBorder="1" applyAlignment="1" applyProtection="1">
      <alignment horizontal="center"/>
    </xf>
    <xf numFmtId="0" fontId="19" fillId="6" borderId="19" xfId="0" applyFont="1" applyFill="1" applyBorder="1" applyAlignment="1" applyProtection="1">
      <alignment horizontal="center"/>
    </xf>
    <xf numFmtId="0" fontId="18" fillId="89" borderId="12" xfId="6" applyFont="1" applyFill="1" applyBorder="1" applyAlignment="1">
      <alignment horizontal="right"/>
    </xf>
    <xf numFmtId="0" fontId="4" fillId="89" borderId="16" xfId="10" applyFont="1" applyFill="1" applyBorder="1" applyAlignment="1" applyProtection="1">
      <alignment horizontal="right"/>
    </xf>
    <xf numFmtId="275" fontId="71" fillId="34" borderId="0" xfId="14" applyNumberFormat="1" applyFont="1" applyFill="1" applyBorder="1" applyAlignment="1">
      <alignment horizontal="center"/>
    </xf>
    <xf numFmtId="251" fontId="19" fillId="3" borderId="23" xfId="6" applyNumberFormat="1" applyFont="1" applyFill="1" applyBorder="1" applyAlignment="1">
      <alignment horizontal="left"/>
    </xf>
    <xf numFmtId="0" fontId="19" fillId="39" borderId="19" xfId="6" applyFont="1" applyFill="1" applyBorder="1"/>
    <xf numFmtId="0" fontId="19" fillId="47" borderId="20" xfId="6" applyFont="1" applyFill="1" applyBorder="1" applyAlignment="1">
      <alignment horizontal="center"/>
    </xf>
    <xf numFmtId="0" fontId="18" fillId="47" borderId="0" xfId="6" applyFont="1" applyFill="1" applyBorder="1" applyAlignment="1">
      <alignment horizontal="centerContinuous"/>
    </xf>
    <xf numFmtId="271" fontId="95" fillId="2" borderId="20" xfId="0" applyNumberFormat="1" applyFont="1" applyFill="1" applyBorder="1" applyAlignment="1" applyProtection="1">
      <alignment horizontal="center"/>
    </xf>
    <xf numFmtId="0" fontId="19" fillId="90" borderId="20" xfId="6" applyFont="1" applyFill="1" applyBorder="1" applyAlignment="1">
      <alignment horizontal="center"/>
    </xf>
    <xf numFmtId="273" fontId="19" fillId="90" borderId="20" xfId="6" applyNumberFormat="1" applyFont="1" applyFill="1" applyBorder="1" applyAlignment="1">
      <alignment horizontal="center"/>
    </xf>
    <xf numFmtId="0" fontId="18" fillId="47" borderId="20" xfId="6" applyFont="1" applyFill="1" applyBorder="1" applyAlignment="1">
      <alignment horizontal="center"/>
    </xf>
    <xf numFmtId="273" fontId="19" fillId="47" borderId="20" xfId="6" applyNumberFormat="1" applyFont="1" applyFill="1" applyBorder="1" applyAlignment="1">
      <alignment horizontal="center"/>
    </xf>
    <xf numFmtId="189" fontId="19" fillId="4" borderId="0" xfId="6" applyNumberFormat="1" applyFont="1" applyFill="1" applyBorder="1" applyAlignment="1">
      <alignment horizontal="center"/>
    </xf>
    <xf numFmtId="267" fontId="19" fillId="86" borderId="20" xfId="6" applyNumberFormat="1" applyFont="1" applyFill="1" applyBorder="1" applyAlignment="1">
      <alignment horizontal="center"/>
    </xf>
    <xf numFmtId="3" fontId="19" fillId="39" borderId="39" xfId="6" applyNumberFormat="1" applyFont="1" applyFill="1" applyBorder="1" applyAlignment="1">
      <alignment horizontal="center"/>
    </xf>
    <xf numFmtId="0" fontId="18" fillId="39" borderId="38" xfId="6" applyFont="1" applyFill="1" applyBorder="1" applyAlignment="1">
      <alignment horizontal="centerContinuous"/>
    </xf>
    <xf numFmtId="0" fontId="18" fillId="39" borderId="20" xfId="6" applyFont="1" applyFill="1" applyBorder="1" applyAlignment="1">
      <alignment horizontal="center"/>
    </xf>
    <xf numFmtId="3" fontId="19" fillId="39" borderId="20" xfId="6" applyNumberFormat="1" applyFont="1" applyFill="1" applyBorder="1" applyAlignment="1">
      <alignment horizontal="center"/>
    </xf>
    <xf numFmtId="0" fontId="243" fillId="34" borderId="0" xfId="10" applyFont="1" applyFill="1" applyBorder="1" applyAlignment="1" applyProtection="1">
      <alignment horizontal="center"/>
    </xf>
    <xf numFmtId="3" fontId="30" fillId="105" borderId="16" xfId="10" applyNumberFormat="1" applyFont="1" applyFill="1" applyBorder="1" applyAlignment="1" applyProtection="1">
      <alignment horizontal="center"/>
    </xf>
    <xf numFmtId="4" fontId="244" fillId="3" borderId="20" xfId="9" applyNumberFormat="1" applyFont="1" applyFill="1" applyBorder="1" applyAlignment="1" applyProtection="1">
      <protection locked="0"/>
    </xf>
    <xf numFmtId="169" fontId="245" fillId="0" borderId="20" xfId="9" applyNumberFormat="1" applyFont="1" applyBorder="1" applyAlignment="1" applyProtection="1">
      <alignment horizontal="left"/>
    </xf>
    <xf numFmtId="3" fontId="245" fillId="0" borderId="21" xfId="9" applyNumberFormat="1" applyFont="1" applyBorder="1" applyAlignment="1" applyProtection="1">
      <alignment horizontal="center"/>
    </xf>
    <xf numFmtId="0" fontId="246" fillId="0" borderId="0" xfId="9" applyFont="1" applyBorder="1" applyAlignment="1" applyProtection="1">
      <alignment horizontal="center" vertical="top" wrapText="1"/>
    </xf>
    <xf numFmtId="208" fontId="245" fillId="0" borderId="19" xfId="9" applyNumberFormat="1" applyFont="1" applyFill="1" applyBorder="1" applyAlignment="1" applyProtection="1">
      <alignment horizontal="center"/>
    </xf>
    <xf numFmtId="3" fontId="245" fillId="0" borderId="21" xfId="1" applyNumberFormat="1" applyFont="1" applyBorder="1" applyAlignment="1" applyProtection="1">
      <alignment horizontal="center"/>
    </xf>
    <xf numFmtId="224" fontId="245" fillId="3" borderId="0" xfId="1" applyNumberFormat="1" applyFont="1" applyFill="1" applyBorder="1" applyAlignment="1" applyProtection="1">
      <alignment horizontal="right"/>
    </xf>
    <xf numFmtId="1" fontId="245" fillId="3" borderId="21" xfId="20" applyNumberFormat="1" applyFont="1" applyFill="1" applyBorder="1" applyAlignment="1" applyProtection="1">
      <alignment horizontal="center"/>
    </xf>
    <xf numFmtId="0" fontId="245" fillId="0" borderId="19" xfId="9" applyFont="1" applyBorder="1" applyProtection="1"/>
    <xf numFmtId="237" fontId="245" fillId="0" borderId="20" xfId="0" applyNumberFormat="1" applyFont="1" applyBorder="1" applyAlignment="1" applyProtection="1">
      <alignment horizontal="center"/>
    </xf>
    <xf numFmtId="253" fontId="245" fillId="0" borderId="0" xfId="14" applyNumberFormat="1" applyFont="1" applyAlignment="1" applyProtection="1">
      <alignment horizontal="right"/>
    </xf>
    <xf numFmtId="0" fontId="245" fillId="0" borderId="0" xfId="0" applyFont="1" applyFill="1" applyBorder="1" applyProtection="1"/>
    <xf numFmtId="254" fontId="245" fillId="0" borderId="0" xfId="1" applyNumberFormat="1" applyFont="1" applyFill="1" applyBorder="1" applyAlignment="1" applyProtection="1">
      <alignment horizontal="center"/>
    </xf>
    <xf numFmtId="0" fontId="245" fillId="0" borderId="0" xfId="0" applyFont="1" applyProtection="1"/>
    <xf numFmtId="0" fontId="218" fillId="0" borderId="0" xfId="0" applyFont="1" applyBorder="1" applyAlignment="1">
      <alignment vertical="center"/>
    </xf>
    <xf numFmtId="0" fontId="218" fillId="0" borderId="0" xfId="0" applyFont="1" applyBorder="1" applyAlignment="1">
      <alignment horizontal="left" vertical="center" indent="4"/>
    </xf>
    <xf numFmtId="0" fontId="218" fillId="0" borderId="0" xfId="0" applyFont="1" applyBorder="1" applyAlignment="1">
      <alignment horizontal="center" vertical="center"/>
    </xf>
    <xf numFmtId="1" fontId="19" fillId="58" borderId="38" xfId="6" applyNumberFormat="1" applyFont="1" applyFill="1" applyBorder="1" applyAlignment="1">
      <alignment horizontal="center"/>
    </xf>
    <xf numFmtId="0" fontId="19" fillId="0" borderId="0" xfId="4" applyFont="1" applyAlignment="1" applyProtection="1">
      <alignment horizontal="center"/>
    </xf>
    <xf numFmtId="9" fontId="144" fillId="4" borderId="21" xfId="14" applyFont="1" applyFill="1" applyBorder="1" applyAlignment="1" applyProtection="1">
      <alignment horizontal="center"/>
    </xf>
    <xf numFmtId="223" fontId="144" fillId="3" borderId="0" xfId="1" applyNumberFormat="1" applyFont="1" applyFill="1" applyBorder="1" applyAlignment="1" applyProtection="1">
      <alignment horizontal="right"/>
    </xf>
    <xf numFmtId="169" fontId="37" fillId="0" borderId="21" xfId="9" applyNumberFormat="1" applyFont="1" applyBorder="1" applyAlignment="1" applyProtection="1">
      <alignment horizontal="left"/>
    </xf>
    <xf numFmtId="3" fontId="19" fillId="0" borderId="0" xfId="9" applyNumberFormat="1" applyFont="1" applyBorder="1" applyAlignment="1" applyProtection="1">
      <alignment horizontal="center"/>
    </xf>
    <xf numFmtId="0" fontId="19" fillId="4" borderId="0" xfId="0" applyFont="1" applyFill="1" applyBorder="1" applyProtection="1"/>
    <xf numFmtId="0" fontId="19" fillId="31" borderId="0" xfId="10" applyFont="1" applyFill="1" applyBorder="1" applyProtection="1"/>
    <xf numFmtId="0" fontId="4" fillId="38" borderId="0" xfId="10" applyFont="1" applyFill="1" applyProtection="1"/>
    <xf numFmtId="0" fontId="4" fillId="38" borderId="0" xfId="10" applyFont="1" applyFill="1" applyAlignment="1" applyProtection="1">
      <alignment horizontal="center"/>
    </xf>
    <xf numFmtId="251" fontId="4" fillId="38" borderId="0" xfId="10" applyNumberFormat="1" applyFont="1" applyFill="1" applyProtection="1"/>
    <xf numFmtId="276" fontId="19" fillId="31" borderId="37" xfId="10" applyNumberFormat="1" applyFont="1" applyFill="1" applyBorder="1" applyProtection="1"/>
    <xf numFmtId="276" fontId="19" fillId="40" borderId="16" xfId="4" applyNumberFormat="1" applyFont="1" applyFill="1" applyBorder="1" applyAlignment="1" applyProtection="1">
      <alignment horizontal="center"/>
    </xf>
    <xf numFmtId="276" fontId="19" fillId="4" borderId="19" xfId="0" applyNumberFormat="1" applyFont="1" applyFill="1" applyBorder="1" applyProtection="1"/>
    <xf numFmtId="276" fontId="18" fillId="60" borderId="0" xfId="0" applyNumberFormat="1" applyFont="1" applyFill="1" applyAlignment="1">
      <alignment horizontal="center"/>
    </xf>
    <xf numFmtId="276" fontId="19" fillId="0" borderId="0" xfId="0" applyNumberFormat="1" applyFont="1" applyFill="1" applyBorder="1" applyProtection="1"/>
    <xf numFmtId="276" fontId="0" fillId="0" borderId="19" xfId="0" applyNumberFormat="1" applyBorder="1" applyAlignment="1">
      <alignment horizontal="right"/>
    </xf>
    <xf numFmtId="276" fontId="0" fillId="0" borderId="0" xfId="0" applyNumberFormat="1"/>
    <xf numFmtId="277" fontId="18" fillId="60" borderId="0" xfId="0" applyNumberFormat="1" applyFont="1" applyFill="1" applyAlignment="1">
      <alignment horizontal="center"/>
    </xf>
    <xf numFmtId="276" fontId="0" fillId="39" borderId="19" xfId="0" applyNumberFormat="1" applyFill="1" applyBorder="1" applyAlignment="1">
      <alignment horizontal="right"/>
    </xf>
    <xf numFmtId="276" fontId="245" fillId="0" borderId="0" xfId="0" applyNumberFormat="1" applyFont="1" applyProtection="1"/>
    <xf numFmtId="276" fontId="19" fillId="0" borderId="0" xfId="4" applyNumberFormat="1" applyFont="1" applyProtection="1"/>
    <xf numFmtId="276" fontId="37" fillId="3" borderId="0" xfId="1" applyNumberFormat="1" applyFont="1" applyFill="1" applyBorder="1" applyAlignment="1" applyProtection="1">
      <alignment horizontal="right"/>
    </xf>
    <xf numFmtId="276" fontId="37" fillId="3" borderId="0" xfId="22" applyNumberFormat="1" applyFont="1" applyFill="1" applyBorder="1" applyAlignment="1" applyProtection="1">
      <alignment horizontal="right"/>
    </xf>
    <xf numFmtId="276" fontId="19" fillId="0" borderId="0" xfId="0" applyNumberFormat="1" applyFont="1" applyProtection="1"/>
    <xf numFmtId="276" fontId="19" fillId="0" borderId="0" xfId="1" applyNumberFormat="1" applyFont="1" applyFill="1" applyBorder="1" applyAlignment="1" applyProtection="1">
      <alignment horizontal="center"/>
    </xf>
    <xf numFmtId="276" fontId="19" fillId="4" borderId="0" xfId="0" applyNumberFormat="1" applyFont="1" applyFill="1" applyBorder="1" applyProtection="1"/>
    <xf numFmtId="276" fontId="19" fillId="31" borderId="0" xfId="10" applyNumberFormat="1" applyFont="1" applyFill="1" applyBorder="1" applyProtection="1"/>
    <xf numFmtId="0" fontId="211" fillId="106" borderId="16" xfId="0" applyFont="1" applyFill="1" applyBorder="1" applyAlignment="1">
      <alignment horizontal="center" vertical="center"/>
    </xf>
    <xf numFmtId="0" fontId="211" fillId="106" borderId="39" xfId="0" applyFont="1" applyFill="1" applyBorder="1" applyAlignment="1">
      <alignment horizontal="center" vertical="center"/>
    </xf>
    <xf numFmtId="0" fontId="211" fillId="106" borderId="16" xfId="0" applyFont="1" applyFill="1" applyBorder="1" applyAlignment="1">
      <alignment horizontal="center"/>
    </xf>
    <xf numFmtId="0" fontId="211" fillId="106" borderId="16" xfId="0" applyFont="1" applyFill="1" applyBorder="1"/>
    <xf numFmtId="250" fontId="19" fillId="0" borderId="0" xfId="6" applyNumberFormat="1" applyFont="1" applyBorder="1" applyAlignment="1">
      <alignment horizontal="left"/>
    </xf>
    <xf numFmtId="256" fontId="19" fillId="4" borderId="39" xfId="6" applyNumberFormat="1" applyFont="1" applyFill="1" applyBorder="1" applyAlignment="1">
      <alignment horizontal="center"/>
    </xf>
    <xf numFmtId="168" fontId="7" fillId="0" borderId="0" xfId="2" applyNumberFormat="1" applyAlignment="1" applyProtection="1">
      <alignment vertical="center"/>
    </xf>
    <xf numFmtId="0" fontId="19" fillId="38" borderId="0" xfId="3" applyFont="1" applyFill="1" applyAlignment="1">
      <alignment horizontal="center"/>
    </xf>
    <xf numFmtId="0" fontId="19" fillId="38" borderId="0" xfId="3" applyFont="1" applyFill="1"/>
    <xf numFmtId="0" fontId="19" fillId="38" borderId="0" xfId="4" applyFont="1" applyFill="1"/>
    <xf numFmtId="218" fontId="19" fillId="57" borderId="0" xfId="6" applyNumberFormat="1" applyFont="1" applyFill="1" applyBorder="1" applyAlignment="1">
      <alignment horizontal="center"/>
    </xf>
    <xf numFmtId="218" fontId="19" fillId="57" borderId="12" xfId="6" applyNumberFormat="1" applyFont="1" applyFill="1" applyBorder="1" applyAlignment="1">
      <alignment horizontal="center"/>
    </xf>
    <xf numFmtId="168" fontId="19" fillId="3" borderId="0" xfId="0" applyNumberFormat="1" applyFont="1" applyFill="1" applyBorder="1" applyAlignment="1" applyProtection="1">
      <alignment horizontal="center"/>
    </xf>
    <xf numFmtId="170" fontId="148" fillId="34" borderId="0" xfId="10" applyNumberFormat="1" applyFont="1" applyFill="1" applyBorder="1" applyProtection="1"/>
    <xf numFmtId="257" fontId="148" fillId="34" borderId="0" xfId="10" applyNumberFormat="1" applyFont="1" applyFill="1" applyBorder="1" applyAlignment="1" applyProtection="1">
      <alignment horizontal="center"/>
    </xf>
    <xf numFmtId="169" fontId="148" fillId="34" borderId="38" xfId="10" applyNumberFormat="1" applyFont="1" applyFill="1" applyBorder="1" applyAlignment="1" applyProtection="1">
      <alignment horizontal="left"/>
    </xf>
    <xf numFmtId="170" fontId="19" fillId="0" borderId="0" xfId="6" applyNumberFormat="1" applyFont="1"/>
    <xf numFmtId="250" fontId="0" fillId="0" borderId="0" xfId="0" applyNumberFormat="1"/>
    <xf numFmtId="0" fontId="19" fillId="72" borderId="0" xfId="0" applyFont="1" applyFill="1" applyBorder="1" applyAlignment="1" applyProtection="1">
      <alignment horizontal="center"/>
    </xf>
    <xf numFmtId="0" fontId="19" fillId="72" borderId="0" xfId="0" applyFont="1" applyFill="1" applyBorder="1" applyProtection="1"/>
    <xf numFmtId="0" fontId="85" fillId="0" borderId="40" xfId="13" applyFont="1" applyFill="1" applyBorder="1" applyAlignment="1" applyProtection="1">
      <alignment horizontal="center" textRotation="90"/>
    </xf>
    <xf numFmtId="0" fontId="85" fillId="0" borderId="0" xfId="13" applyFont="1" applyFill="1" applyBorder="1" applyAlignment="1" applyProtection="1">
      <alignment horizontal="center" textRotation="90"/>
    </xf>
    <xf numFmtId="0" fontId="6" fillId="0" borderId="0" xfId="13" applyFont="1" applyFill="1" applyAlignment="1" applyProtection="1">
      <alignment horizontal="center"/>
    </xf>
    <xf numFmtId="170" fontId="41" fillId="0" borderId="0" xfId="13" applyNumberFormat="1" applyFont="1" applyFill="1" applyAlignment="1" applyProtection="1">
      <alignment horizontal="center"/>
    </xf>
    <xf numFmtId="0" fontId="41" fillId="0" borderId="0" xfId="13" applyFont="1" applyFill="1" applyAlignment="1" applyProtection="1">
      <alignment horizontal="center"/>
    </xf>
    <xf numFmtId="168" fontId="41" fillId="0" borderId="0" xfId="13" applyNumberFormat="1" applyFont="1" applyFill="1" applyBorder="1" applyAlignment="1" applyProtection="1">
      <alignment horizontal="center"/>
    </xf>
    <xf numFmtId="0" fontId="41" fillId="0" borderId="0" xfId="13" applyFont="1" applyFill="1" applyBorder="1" applyAlignment="1" applyProtection="1">
      <alignment horizontal="center"/>
    </xf>
    <xf numFmtId="0" fontId="41" fillId="0" borderId="40" xfId="13" applyFont="1" applyFill="1" applyBorder="1" applyAlignment="1" applyProtection="1">
      <alignment horizontal="center"/>
    </xf>
    <xf numFmtId="0" fontId="41" fillId="0" borderId="12" xfId="13" applyFont="1" applyFill="1" applyBorder="1" applyAlignment="1" applyProtection="1">
      <alignment horizontal="center"/>
    </xf>
    <xf numFmtId="0" fontId="248" fillId="0" borderId="40" xfId="13" applyFont="1" applyFill="1" applyBorder="1" applyAlignment="1" applyProtection="1">
      <alignment horizontal="center" textRotation="90"/>
    </xf>
    <xf numFmtId="0" fontId="248" fillId="0" borderId="0" xfId="13" applyFont="1" applyFill="1" applyBorder="1" applyAlignment="1" applyProtection="1">
      <alignment horizontal="center" textRotation="90"/>
    </xf>
    <xf numFmtId="0" fontId="248" fillId="0" borderId="12" xfId="13" applyFont="1" applyFill="1" applyBorder="1" applyAlignment="1" applyProtection="1">
      <alignment horizontal="center" textRotation="90"/>
    </xf>
    <xf numFmtId="170" fontId="41" fillId="0" borderId="0" xfId="13" applyNumberFormat="1" applyFont="1" applyFill="1" applyBorder="1" applyAlignment="1" applyProtection="1">
      <alignment horizontal="center"/>
    </xf>
    <xf numFmtId="2" fontId="41" fillId="0" borderId="0" xfId="13" applyNumberFormat="1" applyFont="1" applyFill="1" applyBorder="1" applyAlignment="1" applyProtection="1">
      <alignment horizontal="center"/>
    </xf>
    <xf numFmtId="168" fontId="71" fillId="0" borderId="0" xfId="13" applyNumberFormat="1" applyFont="1" applyFill="1" applyBorder="1" applyAlignment="1" applyProtection="1">
      <alignment horizontal="center"/>
    </xf>
    <xf numFmtId="0" fontId="41" fillId="0" borderId="24" xfId="13" applyFont="1" applyFill="1" applyBorder="1" applyAlignment="1" applyProtection="1">
      <alignment horizontal="center"/>
    </xf>
    <xf numFmtId="168" fontId="71" fillId="0" borderId="0" xfId="13" applyNumberFormat="1" applyFont="1" applyFill="1" applyAlignment="1" applyProtection="1">
      <alignment horizontal="center"/>
    </xf>
    <xf numFmtId="0" fontId="41" fillId="0" borderId="0" xfId="6" applyFont="1" applyFill="1" applyAlignment="1">
      <alignment horizontal="center"/>
    </xf>
    <xf numFmtId="170" fontId="41" fillId="61" borderId="0" xfId="13" applyNumberFormat="1" applyFont="1" applyFill="1" applyAlignment="1" applyProtection="1">
      <alignment horizontal="center"/>
    </xf>
    <xf numFmtId="170" fontId="19" fillId="72" borderId="0" xfId="0" applyNumberFormat="1" applyFont="1" applyFill="1" applyBorder="1" applyAlignment="1" applyProtection="1">
      <alignment horizontal="center"/>
    </xf>
    <xf numFmtId="0" fontId="19" fillId="72" borderId="38" xfId="0" applyFont="1" applyFill="1" applyBorder="1" applyAlignment="1" applyProtection="1">
      <alignment horizontal="centerContinuous"/>
    </xf>
    <xf numFmtId="168" fontId="19" fillId="72" borderId="0" xfId="0" applyNumberFormat="1" applyFont="1" applyFill="1" applyBorder="1" applyAlignment="1" applyProtection="1">
      <alignment horizontal="center"/>
    </xf>
    <xf numFmtId="0" fontId="222" fillId="3" borderId="36" xfId="2" applyFont="1" applyFill="1" applyBorder="1" applyAlignment="1" applyProtection="1">
      <alignment horizontal="center"/>
    </xf>
    <xf numFmtId="0" fontId="18" fillId="3" borderId="21" xfId="10" applyFont="1" applyFill="1" applyBorder="1" applyAlignment="1" applyProtection="1">
      <alignment horizontal="center"/>
    </xf>
    <xf numFmtId="170" fontId="65" fillId="34" borderId="0" xfId="20" applyNumberFormat="1" applyFont="1" applyFill="1" applyBorder="1" applyAlignment="1" applyProtection="1">
      <alignment horizontal="center"/>
    </xf>
    <xf numFmtId="251" fontId="18" fillId="72" borderId="24" xfId="10" applyNumberFormat="1" applyFont="1" applyFill="1" applyBorder="1" applyAlignment="1" applyProtection="1">
      <alignment horizontal="right"/>
    </xf>
    <xf numFmtId="0" fontId="4" fillId="0" borderId="0" xfId="10" applyFont="1" applyFill="1" applyAlignment="1" applyProtection="1">
      <alignment horizontal="center"/>
    </xf>
    <xf numFmtId="3" fontId="213" fillId="65" borderId="41" xfId="4" applyNumberFormat="1" applyFont="1" applyFill="1" applyBorder="1" applyAlignment="1">
      <alignment horizontal="center"/>
    </xf>
    <xf numFmtId="3" fontId="213" fillId="65" borderId="103" xfId="4" applyNumberFormat="1" applyFont="1" applyFill="1" applyBorder="1" applyAlignment="1">
      <alignment horizontal="center"/>
    </xf>
    <xf numFmtId="3" fontId="243" fillId="58" borderId="21" xfId="4" applyNumberFormat="1" applyFont="1" applyFill="1" applyBorder="1" applyAlignment="1">
      <alignment horizontal="center"/>
    </xf>
    <xf numFmtId="3" fontId="243" fillId="58" borderId="15" xfId="4" applyNumberFormat="1" applyFont="1" applyFill="1" applyBorder="1" applyAlignment="1">
      <alignment horizontal="center"/>
    </xf>
    <xf numFmtId="3" fontId="243" fillId="0" borderId="21" xfId="4" applyNumberFormat="1" applyFont="1" applyBorder="1" applyAlignment="1">
      <alignment horizontal="center"/>
    </xf>
    <xf numFmtId="3" fontId="243" fillId="0" borderId="15" xfId="4" applyNumberFormat="1" applyFont="1" applyBorder="1" applyAlignment="1">
      <alignment horizontal="center"/>
    </xf>
    <xf numFmtId="3" fontId="243" fillId="0" borderId="93" xfId="4" applyNumberFormat="1" applyFont="1" applyBorder="1" applyAlignment="1">
      <alignment horizontal="center"/>
    </xf>
    <xf numFmtId="3" fontId="243" fillId="0" borderId="105" xfId="4" applyNumberFormat="1" applyFont="1" applyBorder="1" applyAlignment="1">
      <alignment horizontal="center"/>
    </xf>
    <xf numFmtId="3" fontId="249" fillId="66" borderId="41" xfId="4" applyNumberFormat="1" applyFont="1" applyFill="1" applyBorder="1" applyAlignment="1">
      <alignment horizontal="center"/>
    </xf>
    <xf numFmtId="3" fontId="249" fillId="66" borderId="103" xfId="4" applyNumberFormat="1" applyFont="1" applyFill="1" applyBorder="1" applyAlignment="1">
      <alignment horizontal="center"/>
    </xf>
    <xf numFmtId="3" fontId="243" fillId="58" borderId="22" xfId="4" applyNumberFormat="1" applyFont="1" applyFill="1" applyBorder="1" applyAlignment="1">
      <alignment horizontal="center"/>
    </xf>
    <xf numFmtId="3" fontId="4" fillId="58" borderId="22" xfId="4" applyNumberFormat="1" applyFill="1" applyBorder="1" applyAlignment="1">
      <alignment horizontal="center"/>
    </xf>
    <xf numFmtId="3" fontId="243" fillId="58" borderId="17" xfId="4" applyNumberFormat="1" applyFont="1" applyFill="1" applyBorder="1" applyAlignment="1">
      <alignment horizontal="center"/>
    </xf>
    <xf numFmtId="3" fontId="243" fillId="0" borderId="96" xfId="4" applyNumberFormat="1" applyFont="1" applyBorder="1" applyAlignment="1">
      <alignment horizontal="center"/>
    </xf>
    <xf numFmtId="3" fontId="243" fillId="0" borderId="107" xfId="4" applyNumberFormat="1" applyFont="1" applyBorder="1" applyAlignment="1">
      <alignment horizontal="center"/>
    </xf>
    <xf numFmtId="3" fontId="249" fillId="66" borderId="0" xfId="4" applyNumberFormat="1" applyFont="1" applyFill="1" applyBorder="1" applyAlignment="1">
      <alignment horizontal="center"/>
    </xf>
    <xf numFmtId="3" fontId="209" fillId="66" borderId="21" xfId="4" applyNumberFormat="1" applyFont="1" applyFill="1" applyBorder="1" applyAlignment="1">
      <alignment horizontal="center"/>
    </xf>
    <xf numFmtId="3" fontId="249" fillId="66" borderId="15" xfId="4" applyNumberFormat="1" applyFont="1" applyFill="1" applyBorder="1" applyAlignment="1">
      <alignment horizontal="center"/>
    </xf>
    <xf numFmtId="3" fontId="213" fillId="39" borderId="108" xfId="4" applyNumberFormat="1" applyFont="1" applyFill="1" applyBorder="1" applyAlignment="1">
      <alignment horizontal="center"/>
    </xf>
    <xf numFmtId="3" fontId="213" fillId="39" borderId="109" xfId="4" applyNumberFormat="1" applyFont="1" applyFill="1" applyBorder="1" applyAlignment="1">
      <alignment horizontal="center"/>
    </xf>
    <xf numFmtId="0" fontId="1" fillId="39" borderId="38" xfId="19" applyFont="1" applyFill="1" applyBorder="1" applyAlignment="1">
      <alignment horizontal="center"/>
    </xf>
    <xf numFmtId="0" fontId="1" fillId="39" borderId="39" xfId="19" applyFont="1" applyFill="1" applyBorder="1" applyAlignment="1">
      <alignment horizontal="center"/>
    </xf>
    <xf numFmtId="1" fontId="3" fillId="0" borderId="16" xfId="19" applyNumberFormat="1" applyBorder="1" applyAlignment="1">
      <alignment horizontal="center"/>
    </xf>
    <xf numFmtId="0" fontId="215" fillId="39" borderId="35" xfId="19" applyFont="1" applyFill="1" applyBorder="1" applyAlignment="1"/>
    <xf numFmtId="0" fontId="215" fillId="39" borderId="0" xfId="19" applyFont="1" applyFill="1" applyBorder="1" applyAlignment="1">
      <alignment horizontal="centerContinuous"/>
    </xf>
    <xf numFmtId="0" fontId="215" fillId="39" borderId="38" xfId="19" applyFont="1" applyFill="1" applyBorder="1" applyAlignment="1">
      <alignment horizontal="center"/>
    </xf>
    <xf numFmtId="0" fontId="215" fillId="39" borderId="39" xfId="19" applyFont="1" applyFill="1" applyBorder="1" applyAlignment="1">
      <alignment horizontal="center"/>
    </xf>
    <xf numFmtId="0" fontId="215" fillId="39" borderId="20" xfId="19" applyFont="1" applyFill="1" applyBorder="1" applyAlignment="1">
      <alignment horizontal="center"/>
    </xf>
    <xf numFmtId="0" fontId="215" fillId="39" borderId="22" xfId="19" applyFont="1" applyFill="1" applyBorder="1" applyAlignment="1">
      <alignment horizontal="center"/>
    </xf>
    <xf numFmtId="0" fontId="215" fillId="39" borderId="24" xfId="19" applyFont="1" applyFill="1" applyBorder="1" applyAlignment="1">
      <alignment horizontal="center"/>
    </xf>
    <xf numFmtId="0" fontId="215" fillId="39" borderId="23" xfId="19" applyFont="1" applyFill="1" applyBorder="1" applyAlignment="1">
      <alignment horizontal="center"/>
    </xf>
    <xf numFmtId="0" fontId="215" fillId="39" borderId="35" xfId="19" applyFont="1" applyFill="1" applyBorder="1" applyAlignment="1">
      <alignment horizontal="center"/>
    </xf>
    <xf numFmtId="0" fontId="215" fillId="39" borderId="36" xfId="19" applyFont="1" applyFill="1" applyBorder="1" applyAlignment="1">
      <alignment horizontal="center"/>
    </xf>
    <xf numFmtId="3" fontId="9" fillId="65" borderId="22" xfId="4" applyNumberFormat="1" applyFont="1" applyFill="1" applyBorder="1" applyAlignment="1">
      <alignment horizontal="center"/>
    </xf>
    <xf numFmtId="3" fontId="9" fillId="65" borderId="24" xfId="4" applyNumberFormat="1" applyFont="1" applyFill="1" applyBorder="1" applyAlignment="1">
      <alignment horizontal="center"/>
    </xf>
    <xf numFmtId="3" fontId="9" fillId="65" borderId="46" xfId="4" applyNumberFormat="1" applyFont="1" applyFill="1" applyBorder="1" applyAlignment="1">
      <alignment horizontal="center"/>
    </xf>
    <xf numFmtId="3" fontId="9" fillId="65" borderId="35" xfId="4" applyNumberFormat="1" applyFont="1" applyFill="1" applyBorder="1" applyAlignment="1">
      <alignment horizontal="center"/>
    </xf>
    <xf numFmtId="3" fontId="9" fillId="65" borderId="36" xfId="4" applyNumberFormat="1" applyFont="1" applyFill="1" applyBorder="1" applyAlignment="1">
      <alignment horizontal="center"/>
    </xf>
    <xf numFmtId="3" fontId="9" fillId="65" borderId="21" xfId="4" applyNumberFormat="1" applyFont="1" applyFill="1" applyBorder="1" applyAlignment="1">
      <alignment horizontal="center"/>
    </xf>
    <xf numFmtId="3" fontId="9" fillId="65" borderId="0" xfId="4" applyNumberFormat="1" applyFont="1" applyFill="1" applyBorder="1" applyAlignment="1">
      <alignment horizontal="center"/>
    </xf>
    <xf numFmtId="3" fontId="9" fillId="65" borderId="4" xfId="4" applyNumberFormat="1" applyFont="1" applyFill="1" applyBorder="1" applyAlignment="1">
      <alignment horizontal="center"/>
    </xf>
    <xf numFmtId="0" fontId="211" fillId="39" borderId="16" xfId="0" applyFont="1" applyFill="1" applyBorder="1" applyAlignment="1">
      <alignment horizontal="center" vertical="center"/>
    </xf>
    <xf numFmtId="0" fontId="211" fillId="39" borderId="38" xfId="0" applyFont="1" applyFill="1" applyBorder="1" applyAlignment="1">
      <alignment horizontal="center" vertical="center"/>
    </xf>
    <xf numFmtId="0" fontId="211" fillId="39" borderId="39" xfId="0" applyFont="1" applyFill="1" applyBorder="1" applyAlignment="1">
      <alignment horizontal="center" vertical="center"/>
    </xf>
    <xf numFmtId="0" fontId="211" fillId="39" borderId="16" xfId="0" applyFont="1" applyFill="1" applyBorder="1" applyAlignment="1">
      <alignment horizontal="center"/>
    </xf>
    <xf numFmtId="0" fontId="9" fillId="39" borderId="22" xfId="0" applyFont="1" applyFill="1" applyBorder="1" applyAlignment="1">
      <alignment horizontal="center"/>
    </xf>
    <xf numFmtId="0" fontId="9" fillId="39" borderId="23" xfId="0" applyFont="1" applyFill="1" applyBorder="1" applyAlignment="1">
      <alignment horizontal="center"/>
    </xf>
    <xf numFmtId="0" fontId="15" fillId="3" borderId="16" xfId="13" applyFont="1" applyFill="1" applyBorder="1" applyAlignment="1" applyProtection="1">
      <alignment horizontal="center" textRotation="90"/>
    </xf>
    <xf numFmtId="0" fontId="16" fillId="4" borderId="35" xfId="13" applyFont="1" applyFill="1" applyBorder="1" applyAlignment="1" applyProtection="1">
      <alignment horizontal="right"/>
    </xf>
    <xf numFmtId="0" fontId="16" fillId="4" borderId="40" xfId="13" applyFont="1" applyFill="1" applyBorder="1" applyAlignment="1" applyProtection="1">
      <alignment horizontal="right"/>
    </xf>
    <xf numFmtId="0" fontId="16" fillId="4" borderId="35" xfId="13" applyFont="1" applyFill="1" applyBorder="1" applyAlignment="1" applyProtection="1">
      <alignment horizontal="center"/>
    </xf>
    <xf numFmtId="0" fontId="16" fillId="4" borderId="36" xfId="13" applyFont="1" applyFill="1" applyBorder="1" applyAlignment="1" applyProtection="1">
      <alignment horizontal="center"/>
    </xf>
    <xf numFmtId="0" fontId="18" fillId="0" borderId="0" xfId="13" applyFont="1" applyFill="1" applyBorder="1" applyAlignment="1" applyProtection="1">
      <alignment horizontal="center" vertical="center" textRotation="90" wrapText="1"/>
    </xf>
    <xf numFmtId="0" fontId="16" fillId="3" borderId="24" xfId="13" applyFont="1" applyFill="1" applyBorder="1" applyAlignment="1" applyProtection="1">
      <alignment horizontal="center"/>
    </xf>
    <xf numFmtId="0" fontId="6" fillId="0" borderId="21" xfId="13" applyNumberFormat="1" applyFont="1" applyBorder="1" applyAlignment="1" applyProtection="1">
      <alignment horizontal="center"/>
      <protection locked="0"/>
    </xf>
    <xf numFmtId="0" fontId="6" fillId="0" borderId="19" xfId="13" applyNumberFormat="1" applyFont="1" applyBorder="1" applyAlignment="1" applyProtection="1">
      <alignment horizontal="center"/>
      <protection locked="0"/>
    </xf>
    <xf numFmtId="4" fontId="19" fillId="0" borderId="21" xfId="10" applyNumberFormat="1" applyFont="1" applyFill="1" applyBorder="1" applyAlignment="1" applyProtection="1">
      <alignment horizontal="center"/>
      <protection locked="0"/>
    </xf>
    <xf numFmtId="4" fontId="19" fillId="0" borderId="19" xfId="10" applyNumberFormat="1" applyFont="1" applyFill="1" applyBorder="1" applyAlignment="1" applyProtection="1">
      <alignment horizontal="center"/>
      <protection locked="0"/>
    </xf>
    <xf numFmtId="0" fontId="59" fillId="4" borderId="6" xfId="3" applyFont="1" applyFill="1" applyBorder="1" applyAlignment="1">
      <alignment horizontal="left"/>
    </xf>
    <xf numFmtId="0" fontId="59" fillId="4" borderId="47" xfId="3" applyFont="1" applyFill="1" applyBorder="1" applyAlignment="1">
      <alignment horizontal="left"/>
    </xf>
    <xf numFmtId="0" fontId="59" fillId="4" borderId="0" xfId="3" applyFont="1" applyFill="1" applyBorder="1" applyAlignment="1">
      <alignment horizontal="left"/>
    </xf>
    <xf numFmtId="0" fontId="59" fillId="4" borderId="19" xfId="3" applyFont="1" applyFill="1" applyBorder="1" applyAlignment="1">
      <alignment horizontal="left"/>
    </xf>
    <xf numFmtId="0" fontId="59" fillId="4" borderId="12" xfId="3" applyFont="1" applyFill="1" applyBorder="1" applyAlignment="1">
      <alignment horizontal="left"/>
    </xf>
    <xf numFmtId="0" fontId="59" fillId="4" borderId="37" xfId="3" applyFont="1" applyFill="1" applyBorder="1" applyAlignment="1">
      <alignment horizontal="left"/>
    </xf>
    <xf numFmtId="4" fontId="18" fillId="0" borderId="35" xfId="10" applyNumberFormat="1" applyFont="1" applyFill="1" applyBorder="1" applyAlignment="1" applyProtection="1">
      <alignment horizontal="center"/>
    </xf>
    <xf numFmtId="4" fontId="18" fillId="0" borderId="40" xfId="10" applyNumberFormat="1" applyFont="1" applyFill="1" applyBorder="1" applyAlignment="1" applyProtection="1">
      <alignment horizontal="center"/>
    </xf>
    <xf numFmtId="4" fontId="18" fillId="0" borderId="36" xfId="10" applyNumberFormat="1" applyFont="1" applyFill="1" applyBorder="1" applyAlignment="1" applyProtection="1">
      <alignment horizontal="center"/>
    </xf>
    <xf numFmtId="0" fontId="18" fillId="3" borderId="7" xfId="0" applyFont="1" applyFill="1" applyBorder="1" applyAlignment="1" applyProtection="1">
      <alignment horizontal="center"/>
    </xf>
    <xf numFmtId="0" fontId="18" fillId="3" borderId="6" xfId="0" applyFont="1" applyFill="1" applyBorder="1" applyAlignment="1" applyProtection="1">
      <alignment horizontal="center"/>
    </xf>
    <xf numFmtId="0" fontId="18" fillId="3" borderId="10" xfId="0" applyFont="1" applyFill="1" applyBorder="1" applyAlignment="1" applyProtection="1">
      <alignment horizontal="center"/>
    </xf>
    <xf numFmtId="0" fontId="99" fillId="32" borderId="22" xfId="6" applyFont="1" applyFill="1" applyBorder="1" applyAlignment="1">
      <alignment horizontal="center"/>
    </xf>
    <xf numFmtId="0" fontId="99" fillId="32" borderId="23" xfId="6" applyFont="1" applyFill="1" applyBorder="1" applyAlignment="1">
      <alignment horizontal="center"/>
    </xf>
    <xf numFmtId="209" fontId="110" fillId="3" borderId="22" xfId="6" applyNumberFormat="1" applyFont="1" applyFill="1" applyBorder="1" applyAlignment="1" applyProtection="1">
      <alignment horizontal="center"/>
      <protection locked="0"/>
    </xf>
    <xf numFmtId="209" fontId="110" fillId="3" borderId="23" xfId="6" applyNumberFormat="1" applyFont="1" applyFill="1" applyBorder="1" applyAlignment="1" applyProtection="1">
      <alignment horizontal="center"/>
      <protection locked="0"/>
    </xf>
    <xf numFmtId="0" fontId="18" fillId="0" borderId="40" xfId="0" applyFont="1" applyFill="1" applyBorder="1" applyAlignment="1" applyProtection="1">
      <alignment horizontal="center"/>
    </xf>
    <xf numFmtId="0" fontId="18" fillId="0" borderId="36" xfId="0" applyFont="1" applyFill="1" applyBorder="1" applyAlignment="1" applyProtection="1">
      <alignment horizontal="center"/>
    </xf>
    <xf numFmtId="0" fontId="99" fillId="32" borderId="21" xfId="6" applyFont="1" applyFill="1" applyBorder="1" applyAlignment="1">
      <alignment horizontal="center"/>
    </xf>
    <xf numFmtId="0" fontId="99" fillId="32" borderId="19" xfId="6" applyFont="1" applyFill="1" applyBorder="1" applyAlignment="1">
      <alignment horizontal="center"/>
    </xf>
    <xf numFmtId="209" fontId="110" fillId="3" borderId="16" xfId="6" applyNumberFormat="1" applyFont="1" applyFill="1" applyBorder="1" applyAlignment="1" applyProtection="1">
      <alignment horizontal="center"/>
      <protection locked="0"/>
    </xf>
    <xf numFmtId="0" fontId="18" fillId="3" borderId="79" xfId="0" applyFont="1" applyFill="1" applyBorder="1" applyAlignment="1" applyProtection="1">
      <alignment horizontal="center"/>
    </xf>
    <xf numFmtId="0" fontId="18" fillId="3" borderId="80" xfId="0" applyFont="1" applyFill="1" applyBorder="1" applyAlignment="1" applyProtection="1">
      <alignment horizontal="center"/>
    </xf>
    <xf numFmtId="0" fontId="18" fillId="3" borderId="81" xfId="0" applyFont="1" applyFill="1" applyBorder="1" applyAlignment="1" applyProtection="1">
      <alignment horizontal="center"/>
    </xf>
    <xf numFmtId="0" fontId="18" fillId="39" borderId="79" xfId="0" applyFont="1" applyFill="1" applyBorder="1" applyAlignment="1" applyProtection="1">
      <alignment horizontal="center"/>
    </xf>
    <xf numFmtId="0" fontId="18" fillId="39" borderId="80" xfId="0" applyFont="1" applyFill="1" applyBorder="1" applyAlignment="1" applyProtection="1">
      <alignment horizontal="center"/>
    </xf>
    <xf numFmtId="0" fontId="18" fillId="39" borderId="81" xfId="0" applyFont="1" applyFill="1" applyBorder="1" applyAlignment="1" applyProtection="1">
      <alignment horizontal="center"/>
    </xf>
    <xf numFmtId="0" fontId="18" fillId="47" borderId="16" xfId="6" applyFont="1" applyFill="1" applyBorder="1" applyAlignment="1">
      <alignment horizontal="center"/>
    </xf>
    <xf numFmtId="0" fontId="19" fillId="0" borderId="24" xfId="6" applyFont="1" applyFill="1" applyBorder="1" applyAlignment="1" applyProtection="1">
      <alignment horizontal="center"/>
      <protection locked="0"/>
    </xf>
    <xf numFmtId="0" fontId="19" fillId="0" borderId="23" xfId="6" applyFont="1" applyFill="1" applyBorder="1" applyAlignment="1" applyProtection="1">
      <alignment horizontal="center"/>
      <protection locked="0"/>
    </xf>
    <xf numFmtId="0" fontId="19" fillId="42" borderId="20" xfId="6" applyFont="1" applyFill="1" applyBorder="1" applyAlignment="1">
      <alignment horizontal="center" vertical="center" textRotation="90"/>
    </xf>
    <xf numFmtId="0" fontId="19" fillId="42" borderId="19" xfId="6" applyFont="1" applyFill="1" applyBorder="1" applyAlignment="1">
      <alignment horizontal="center" vertical="center" textRotation="90"/>
    </xf>
    <xf numFmtId="0" fontId="19" fillId="42" borderId="24" xfId="6" applyFont="1" applyFill="1" applyBorder="1" applyAlignment="1">
      <alignment horizontal="right"/>
    </xf>
    <xf numFmtId="0" fontId="19" fillId="42" borderId="12" xfId="6" applyFont="1" applyFill="1" applyBorder="1" applyAlignment="1">
      <alignment horizontal="right"/>
    </xf>
    <xf numFmtId="0" fontId="117" fillId="41" borderId="22" xfId="6" applyFont="1" applyFill="1" applyBorder="1" applyAlignment="1">
      <alignment horizontal="center"/>
    </xf>
    <xf numFmtId="0" fontId="117" fillId="41" borderId="24" xfId="6" applyFont="1" applyFill="1" applyBorder="1" applyAlignment="1">
      <alignment horizontal="center"/>
    </xf>
    <xf numFmtId="219" fontId="19" fillId="2" borderId="21" xfId="6" applyNumberFormat="1" applyFont="1" applyFill="1" applyBorder="1" applyAlignment="1">
      <alignment horizontal="left"/>
    </xf>
    <xf numFmtId="219" fontId="19" fillId="2" borderId="0" xfId="6" applyNumberFormat="1" applyFont="1" applyFill="1" applyBorder="1" applyAlignment="1">
      <alignment horizontal="left"/>
    </xf>
    <xf numFmtId="219" fontId="19" fillId="2" borderId="41" xfId="6" applyNumberFormat="1" applyFont="1" applyFill="1" applyBorder="1" applyAlignment="1">
      <alignment horizontal="left"/>
    </xf>
    <xf numFmtId="219" fontId="19" fillId="2" borderId="12" xfId="6" applyNumberFormat="1" applyFont="1" applyFill="1" applyBorder="1" applyAlignment="1">
      <alignment horizontal="left"/>
    </xf>
    <xf numFmtId="0" fontId="80" fillId="3" borderId="34" xfId="6" applyFont="1" applyFill="1" applyBorder="1" applyAlignment="1" applyProtection="1">
      <alignment horizontal="center"/>
      <protection locked="0"/>
    </xf>
    <xf numFmtId="0" fontId="110" fillId="3" borderId="16" xfId="6" applyFont="1" applyFill="1" applyBorder="1" applyAlignment="1" applyProtection="1">
      <alignment horizontal="center"/>
      <protection locked="0"/>
    </xf>
    <xf numFmtId="4" fontId="32" fillId="0" borderId="22" xfId="10" applyNumberFormat="1" applyFont="1" applyFill="1" applyBorder="1" applyAlignment="1" applyProtection="1">
      <alignment horizontal="center"/>
      <protection locked="0"/>
    </xf>
    <xf numFmtId="4" fontId="117" fillId="0" borderId="24" xfId="10" applyNumberFormat="1" applyFont="1" applyFill="1" applyBorder="1" applyAlignment="1" applyProtection="1">
      <alignment horizontal="center"/>
      <protection locked="0"/>
    </xf>
    <xf numFmtId="4" fontId="117" fillId="0" borderId="23" xfId="10" applyNumberFormat="1" applyFont="1" applyFill="1" applyBorder="1" applyAlignment="1" applyProtection="1">
      <alignment horizontal="center"/>
      <protection locked="0"/>
    </xf>
    <xf numFmtId="4" fontId="117" fillId="0" borderId="22" xfId="10" applyNumberFormat="1" applyFont="1" applyFill="1" applyBorder="1" applyAlignment="1" applyProtection="1">
      <alignment horizontal="center"/>
      <protection locked="0"/>
    </xf>
    <xf numFmtId="219" fontId="19" fillId="42" borderId="35" xfId="6" applyNumberFormat="1" applyFont="1" applyFill="1" applyBorder="1" applyAlignment="1">
      <alignment horizontal="left"/>
    </xf>
    <xf numFmtId="219" fontId="19" fillId="42" borderId="40" xfId="6" applyNumberFormat="1" applyFont="1" applyFill="1" applyBorder="1" applyAlignment="1">
      <alignment horizontal="left"/>
    </xf>
    <xf numFmtId="9" fontId="23" fillId="3" borderId="21" xfId="15" applyFont="1" applyFill="1" applyBorder="1" applyAlignment="1" applyProtection="1">
      <alignment horizontal="center"/>
    </xf>
    <xf numFmtId="9" fontId="23" fillId="3" borderId="0" xfId="15" applyFont="1" applyFill="1" applyBorder="1" applyAlignment="1" applyProtection="1">
      <alignment horizontal="center"/>
    </xf>
    <xf numFmtId="0" fontId="19" fillId="4" borderId="22" xfId="6" applyFont="1" applyFill="1" applyBorder="1" applyAlignment="1">
      <alignment horizontal="center"/>
    </xf>
    <xf numFmtId="0" fontId="19" fillId="4" borderId="23" xfId="6" applyFont="1" applyFill="1" applyBorder="1" applyAlignment="1">
      <alignment horizontal="center"/>
    </xf>
    <xf numFmtId="0" fontId="114" fillId="3" borderId="22" xfId="6" applyFont="1" applyFill="1" applyBorder="1" applyAlignment="1">
      <alignment horizontal="right"/>
    </xf>
    <xf numFmtId="0" fontId="114" fillId="3" borderId="23" xfId="6" applyFont="1" applyFill="1" applyBorder="1" applyAlignment="1">
      <alignment horizontal="right"/>
    </xf>
    <xf numFmtId="0" fontId="129" fillId="11" borderId="22" xfId="6" applyFont="1" applyFill="1" applyBorder="1" applyAlignment="1" applyProtection="1">
      <alignment horizontal="center"/>
      <protection locked="0"/>
    </xf>
    <xf numFmtId="0" fontId="129" fillId="11" borderId="23" xfId="6" applyFont="1" applyFill="1" applyBorder="1" applyAlignment="1" applyProtection="1">
      <alignment horizontal="center"/>
      <protection locked="0"/>
    </xf>
    <xf numFmtId="4" fontId="117" fillId="0" borderId="35" xfId="10" applyNumberFormat="1" applyFont="1" applyFill="1" applyBorder="1" applyAlignment="1" applyProtection="1">
      <alignment horizontal="center"/>
      <protection locked="0"/>
    </xf>
    <xf numFmtId="0" fontId="166" fillId="39" borderId="21" xfId="6" applyFont="1" applyFill="1" applyBorder="1" applyAlignment="1">
      <alignment horizontal="center"/>
    </xf>
    <xf numFmtId="0" fontId="166" fillId="39" borderId="0" xfId="6" applyFont="1" applyFill="1" applyBorder="1" applyAlignment="1">
      <alignment horizontal="center"/>
    </xf>
    <xf numFmtId="168" fontId="127" fillId="3" borderId="22" xfId="6" applyNumberFormat="1" applyFont="1" applyFill="1" applyBorder="1" applyAlignment="1" applyProtection="1">
      <alignment horizontal="left"/>
      <protection locked="0"/>
    </xf>
    <xf numFmtId="168" fontId="127" fillId="3" borderId="24" xfId="6" applyNumberFormat="1" applyFont="1" applyFill="1" applyBorder="1" applyAlignment="1" applyProtection="1">
      <alignment horizontal="left"/>
      <protection locked="0"/>
    </xf>
    <xf numFmtId="168" fontId="127" fillId="3" borderId="23" xfId="6" applyNumberFormat="1" applyFont="1" applyFill="1" applyBorder="1" applyAlignment="1" applyProtection="1">
      <alignment horizontal="left"/>
      <protection locked="0"/>
    </xf>
    <xf numFmtId="0" fontId="222" fillId="3" borderId="82" xfId="2" applyFont="1" applyFill="1" applyBorder="1" applyAlignment="1" applyProtection="1">
      <alignment horizontal="center"/>
    </xf>
    <xf numFmtId="0" fontId="222" fillId="3" borderId="36" xfId="2" applyFont="1" applyFill="1" applyBorder="1" applyAlignment="1" applyProtection="1">
      <alignment horizontal="center"/>
    </xf>
    <xf numFmtId="0" fontId="19" fillId="38" borderId="16" xfId="6" applyFont="1" applyFill="1" applyBorder="1" applyAlignment="1">
      <alignment horizontal="center" textRotation="90"/>
    </xf>
    <xf numFmtId="0" fontId="19" fillId="38" borderId="23" xfId="6" applyFont="1" applyFill="1" applyBorder="1" applyAlignment="1">
      <alignment horizontal="center" textRotation="90"/>
    </xf>
    <xf numFmtId="0" fontId="19" fillId="42" borderId="38" xfId="6" applyFont="1" applyFill="1" applyBorder="1" applyAlignment="1">
      <alignment horizontal="center" vertical="center" textRotation="90"/>
    </xf>
    <xf numFmtId="0" fontId="19" fillId="42" borderId="39" xfId="6" applyFont="1" applyFill="1" applyBorder="1" applyAlignment="1">
      <alignment horizontal="center" vertical="center" textRotation="90"/>
    </xf>
    <xf numFmtId="0" fontId="19" fillId="3" borderId="56" xfId="6" applyFont="1" applyFill="1" applyBorder="1" applyAlignment="1">
      <alignment horizontal="right" textRotation="90"/>
    </xf>
    <xf numFmtId="0" fontId="19" fillId="3" borderId="77" xfId="6" applyFont="1" applyFill="1" applyBorder="1" applyAlignment="1">
      <alignment horizontal="right" textRotation="90"/>
    </xf>
    <xf numFmtId="0" fontId="19" fillId="3" borderId="78" xfId="6" applyFont="1" applyFill="1" applyBorder="1" applyAlignment="1">
      <alignment horizontal="right" textRotation="90"/>
    </xf>
    <xf numFmtId="0" fontId="247" fillId="0" borderId="0" xfId="13" applyFont="1" applyFill="1" applyBorder="1" applyAlignment="1" applyProtection="1">
      <alignment horizontal="center"/>
    </xf>
    <xf numFmtId="0" fontId="247" fillId="0" borderId="19" xfId="13" applyFont="1" applyFill="1" applyBorder="1" applyAlignment="1" applyProtection="1">
      <alignment horizontal="center"/>
    </xf>
    <xf numFmtId="0" fontId="85" fillId="42" borderId="38" xfId="13" applyFont="1" applyFill="1" applyBorder="1" applyAlignment="1" applyProtection="1">
      <alignment horizontal="center" textRotation="90"/>
    </xf>
    <xf numFmtId="0" fontId="85" fillId="42" borderId="20" xfId="13" applyFont="1" applyFill="1" applyBorder="1" applyAlignment="1" applyProtection="1">
      <alignment horizontal="center" textRotation="90"/>
    </xf>
    <xf numFmtId="0" fontId="85" fillId="42" borderId="39" xfId="13" applyFont="1" applyFill="1" applyBorder="1" applyAlignment="1" applyProtection="1">
      <alignment horizontal="center" textRotation="90"/>
    </xf>
    <xf numFmtId="0" fontId="85" fillId="0" borderId="38" xfId="13" applyFont="1" applyFill="1" applyBorder="1" applyAlignment="1" applyProtection="1">
      <alignment horizontal="center" textRotation="90"/>
    </xf>
    <xf numFmtId="0" fontId="85" fillId="0" borderId="20" xfId="13" applyFont="1" applyFill="1" applyBorder="1" applyAlignment="1" applyProtection="1">
      <alignment horizontal="center" textRotation="90"/>
    </xf>
    <xf numFmtId="0" fontId="85" fillId="0" borderId="39" xfId="13" applyFont="1" applyFill="1" applyBorder="1" applyAlignment="1" applyProtection="1">
      <alignment horizontal="center" textRotation="90"/>
    </xf>
    <xf numFmtId="0" fontId="25" fillId="3" borderId="38" xfId="13" applyFont="1" applyFill="1" applyBorder="1" applyAlignment="1" applyProtection="1">
      <alignment horizontal="center" vertical="center" textRotation="90" wrapText="1"/>
    </xf>
    <xf numFmtId="0" fontId="25" fillId="3" borderId="20" xfId="13" applyFont="1" applyFill="1" applyBorder="1" applyAlignment="1" applyProtection="1">
      <alignment horizontal="center" vertical="center" textRotation="90" wrapText="1"/>
    </xf>
    <xf numFmtId="0" fontId="25" fillId="3" borderId="39" xfId="13" applyFont="1" applyFill="1" applyBorder="1" applyAlignment="1" applyProtection="1">
      <alignment horizontal="center" vertical="center" textRotation="90" wrapText="1"/>
    </xf>
    <xf numFmtId="4" fontId="18" fillId="4" borderId="21" xfId="10" applyNumberFormat="1" applyFont="1" applyFill="1" applyBorder="1" applyAlignment="1" applyProtection="1">
      <alignment horizontal="center"/>
    </xf>
    <xf numFmtId="4" fontId="18" fillId="4" borderId="0" xfId="10" applyNumberFormat="1" applyFont="1" applyFill="1" applyBorder="1" applyAlignment="1" applyProtection="1">
      <alignment horizontal="center"/>
    </xf>
    <xf numFmtId="4" fontId="18" fillId="47" borderId="21" xfId="13" applyNumberFormat="1" applyFont="1" applyFill="1" applyBorder="1" applyAlignment="1" applyProtection="1">
      <alignment horizontal="center"/>
    </xf>
    <xf numFmtId="4" fontId="18" fillId="47" borderId="0" xfId="13" applyNumberFormat="1" applyFont="1" applyFill="1" applyBorder="1" applyAlignment="1" applyProtection="1">
      <alignment horizontal="center"/>
    </xf>
    <xf numFmtId="0" fontId="18" fillId="3" borderId="38" xfId="13" applyFont="1" applyFill="1" applyBorder="1" applyAlignment="1" applyProtection="1">
      <alignment horizontal="center" vertical="center" textRotation="90" wrapText="1"/>
    </xf>
    <xf numFmtId="0" fontId="18" fillId="3" borderId="20" xfId="13" applyFont="1" applyFill="1" applyBorder="1" applyAlignment="1" applyProtection="1">
      <alignment horizontal="center" vertical="center" textRotation="90" wrapText="1"/>
    </xf>
    <xf numFmtId="0" fontId="18" fillId="3" borderId="39" xfId="13" applyFont="1" applyFill="1" applyBorder="1" applyAlignment="1" applyProtection="1">
      <alignment horizontal="center" vertical="center" textRotation="90" wrapText="1"/>
    </xf>
    <xf numFmtId="0" fontId="18" fillId="3" borderId="36" xfId="13" applyFont="1" applyFill="1" applyBorder="1" applyAlignment="1" applyProtection="1">
      <alignment horizontal="center" vertical="center" textRotation="90" wrapText="1"/>
    </xf>
    <xf numFmtId="0" fontId="18" fillId="3" borderId="19" xfId="13" applyFont="1" applyFill="1" applyBorder="1" applyAlignment="1" applyProtection="1">
      <alignment horizontal="center" vertical="center" textRotation="90" wrapText="1"/>
    </xf>
    <xf numFmtId="0" fontId="18" fillId="3" borderId="37" xfId="13" applyFont="1" applyFill="1" applyBorder="1" applyAlignment="1" applyProtection="1">
      <alignment horizontal="center" vertical="center" textRotation="90" wrapText="1"/>
    </xf>
    <xf numFmtId="0" fontId="85" fillId="42" borderId="40" xfId="13" applyFont="1" applyFill="1" applyBorder="1" applyAlignment="1" applyProtection="1">
      <alignment horizontal="center" textRotation="90"/>
    </xf>
    <xf numFmtId="0" fontId="85" fillId="42" borderId="0" xfId="13" applyFont="1" applyFill="1" applyBorder="1" applyAlignment="1" applyProtection="1">
      <alignment horizontal="center" textRotation="90"/>
    </xf>
    <xf numFmtId="0" fontId="85" fillId="42" borderId="12" xfId="13" applyFont="1" applyFill="1" applyBorder="1" applyAlignment="1" applyProtection="1">
      <alignment horizontal="center" textRotation="90"/>
    </xf>
    <xf numFmtId="167" fontId="25" fillId="3" borderId="38" xfId="13" applyNumberFormat="1" applyFont="1" applyFill="1" applyBorder="1" applyAlignment="1" applyProtection="1">
      <alignment horizontal="center" vertical="center" textRotation="90" wrapText="1"/>
    </xf>
    <xf numFmtId="167" fontId="25" fillId="3" borderId="20" xfId="13" applyNumberFormat="1" applyFont="1" applyFill="1" applyBorder="1" applyAlignment="1" applyProtection="1">
      <alignment horizontal="center" vertical="center" textRotation="90" wrapText="1"/>
    </xf>
    <xf numFmtId="0" fontId="85" fillId="58" borderId="38" xfId="13" applyFont="1" applyFill="1" applyBorder="1" applyAlignment="1" applyProtection="1">
      <alignment horizontal="center" textRotation="90"/>
    </xf>
    <xf numFmtId="0" fontId="85" fillId="58" borderId="20" xfId="13" applyFont="1" applyFill="1" applyBorder="1" applyAlignment="1" applyProtection="1">
      <alignment horizontal="center" textRotation="90"/>
    </xf>
    <xf numFmtId="0" fontId="85" fillId="58" borderId="39" xfId="13" applyFont="1" applyFill="1" applyBorder="1" applyAlignment="1" applyProtection="1">
      <alignment horizontal="center" textRotation="90"/>
    </xf>
    <xf numFmtId="3" fontId="18" fillId="3" borderId="0" xfId="11" applyNumberFormat="1" applyFont="1" applyFill="1" applyBorder="1" applyAlignment="1" applyProtection="1">
      <alignment horizontal="center"/>
    </xf>
    <xf numFmtId="4" fontId="18" fillId="0" borderId="22" xfId="10" applyNumberFormat="1" applyFont="1" applyFill="1" applyBorder="1" applyAlignment="1" applyProtection="1">
      <alignment horizontal="left"/>
    </xf>
    <xf numFmtId="4" fontId="18" fillId="0" borderId="24" xfId="10" applyNumberFormat="1" applyFont="1" applyFill="1" applyBorder="1" applyAlignment="1" applyProtection="1">
      <alignment horizontal="left"/>
    </xf>
    <xf numFmtId="4" fontId="18" fillId="0" borderId="23" xfId="10" applyNumberFormat="1" applyFont="1" applyFill="1" applyBorder="1" applyAlignment="1" applyProtection="1">
      <alignment horizontal="left"/>
    </xf>
    <xf numFmtId="167" fontId="18" fillId="3" borderId="38" xfId="13" applyNumberFormat="1" applyFont="1" applyFill="1" applyBorder="1" applyAlignment="1" applyProtection="1">
      <alignment horizontal="center" vertical="center" textRotation="90" wrapText="1"/>
    </xf>
    <xf numFmtId="167" fontId="18" fillId="3" borderId="20" xfId="13" applyNumberFormat="1" applyFont="1" applyFill="1" applyBorder="1" applyAlignment="1" applyProtection="1">
      <alignment horizontal="center" vertical="center" textRotation="90" wrapText="1"/>
    </xf>
    <xf numFmtId="3" fontId="18" fillId="3" borderId="38" xfId="11" applyNumberFormat="1" applyFont="1" applyFill="1" applyBorder="1" applyAlignment="1" applyProtection="1">
      <alignment horizontal="center" vertical="center" textRotation="90" wrapText="1"/>
    </xf>
    <xf numFmtId="3" fontId="18" fillId="3" borderId="20" xfId="11" applyNumberFormat="1" applyFont="1" applyFill="1" applyBorder="1" applyAlignment="1" applyProtection="1">
      <alignment horizontal="center" vertical="center" textRotation="90" wrapText="1"/>
    </xf>
    <xf numFmtId="3" fontId="18" fillId="3" borderId="35" xfId="11" applyNumberFormat="1" applyFont="1" applyFill="1" applyBorder="1" applyAlignment="1" applyProtection="1">
      <alignment horizontal="center" vertical="center" textRotation="90" wrapText="1"/>
    </xf>
    <xf numFmtId="3" fontId="18" fillId="3" borderId="21" xfId="11" applyNumberFormat="1" applyFont="1" applyFill="1" applyBorder="1" applyAlignment="1" applyProtection="1">
      <alignment horizontal="center" vertical="center" textRotation="90" wrapText="1"/>
    </xf>
    <xf numFmtId="0" fontId="25" fillId="3" borderId="36" xfId="13" applyFont="1" applyFill="1" applyBorder="1" applyAlignment="1" applyProtection="1">
      <alignment horizontal="center" vertical="center" textRotation="90" wrapText="1"/>
    </xf>
    <xf numFmtId="0" fontId="25" fillId="3" borderId="19" xfId="13" applyFont="1" applyFill="1" applyBorder="1" applyAlignment="1" applyProtection="1">
      <alignment horizontal="center" vertical="center" textRotation="90" wrapText="1"/>
    </xf>
    <xf numFmtId="0" fontId="4" fillId="0" borderId="0" xfId="10" applyFont="1" applyFill="1" applyAlignment="1" applyProtection="1">
      <alignment horizontal="center" vertical="center" wrapText="1"/>
    </xf>
    <xf numFmtId="0" fontId="4" fillId="0" borderId="0" xfId="10" applyFont="1" applyFill="1" applyAlignment="1" applyProtection="1">
      <alignment horizontal="center"/>
    </xf>
    <xf numFmtId="0" fontId="217" fillId="72" borderId="22" xfId="2" applyFont="1" applyFill="1" applyBorder="1" applyAlignment="1" applyProtection="1">
      <alignment horizontal="left"/>
    </xf>
    <xf numFmtId="0" fontId="217" fillId="72" borderId="24" xfId="2" applyFont="1" applyFill="1" applyBorder="1" applyAlignment="1" applyProtection="1">
      <alignment horizontal="left"/>
    </xf>
    <xf numFmtId="0" fontId="217" fillId="72" borderId="23" xfId="2" applyFont="1" applyFill="1" applyBorder="1" applyAlignment="1" applyProtection="1">
      <alignment horizontal="left"/>
    </xf>
    <xf numFmtId="0" fontId="71" fillId="34" borderId="21" xfId="10" applyFont="1" applyFill="1" applyBorder="1" applyAlignment="1" applyProtection="1">
      <alignment horizontal="left"/>
    </xf>
    <xf numFmtId="0" fontId="71" fillId="34" borderId="0" xfId="10" applyFont="1" applyFill="1" applyBorder="1" applyAlignment="1" applyProtection="1">
      <alignment horizontal="left"/>
    </xf>
    <xf numFmtId="251" fontId="18" fillId="72" borderId="24" xfId="10" applyNumberFormat="1" applyFont="1" applyFill="1" applyBorder="1" applyAlignment="1" applyProtection="1">
      <alignment horizontal="right"/>
    </xf>
    <xf numFmtId="193" fontId="4" fillId="39" borderId="24" xfId="10" applyNumberFormat="1" applyFont="1" applyFill="1" applyBorder="1" applyAlignment="1" applyProtection="1">
      <alignment horizontal="center"/>
    </xf>
    <xf numFmtId="229" fontId="4" fillId="39" borderId="24" xfId="10" applyNumberFormat="1" applyFont="1" applyFill="1" applyBorder="1" applyAlignment="1" applyProtection="1">
      <alignment horizontal="center"/>
    </xf>
    <xf numFmtId="234" fontId="4" fillId="48" borderId="24" xfId="10" applyNumberFormat="1" applyFont="1" applyFill="1" applyBorder="1" applyAlignment="1" applyProtection="1">
      <alignment horizontal="center"/>
    </xf>
    <xf numFmtId="179" fontId="26" fillId="34" borderId="40" xfId="10" applyNumberFormat="1" applyFont="1" applyFill="1" applyBorder="1" applyAlignment="1" applyProtection="1">
      <alignment horizontal="right"/>
    </xf>
    <xf numFmtId="170" fontId="65" fillId="34" borderId="0" xfId="20" applyNumberFormat="1" applyFont="1" applyFill="1" applyBorder="1" applyAlignment="1" applyProtection="1">
      <alignment horizontal="center"/>
    </xf>
    <xf numFmtId="0" fontId="18" fillId="3" borderId="21" xfId="10" applyFont="1" applyFill="1" applyBorder="1" applyAlignment="1" applyProtection="1">
      <alignment horizontal="center"/>
    </xf>
    <xf numFmtId="0" fontId="18" fillId="3" borderId="19" xfId="10" applyFont="1" applyFill="1" applyBorder="1" applyAlignment="1" applyProtection="1">
      <alignment horizontal="center"/>
    </xf>
    <xf numFmtId="0" fontId="18" fillId="3" borderId="41" xfId="10" applyFont="1" applyFill="1" applyBorder="1" applyAlignment="1" applyProtection="1">
      <alignment horizontal="center"/>
    </xf>
    <xf numFmtId="0" fontId="18" fillId="3" borderId="12" xfId="10" applyFont="1" applyFill="1" applyBorder="1" applyAlignment="1" applyProtection="1">
      <alignment horizontal="center"/>
    </xf>
    <xf numFmtId="0" fontId="18" fillId="3" borderId="37" xfId="10" applyFont="1" applyFill="1" applyBorder="1" applyAlignment="1" applyProtection="1">
      <alignment horizontal="center"/>
    </xf>
    <xf numFmtId="0" fontId="19" fillId="3" borderId="21" xfId="10" applyFont="1" applyFill="1" applyBorder="1" applyAlignment="1" applyProtection="1">
      <alignment horizontal="center"/>
    </xf>
    <xf numFmtId="0" fontId="19" fillId="3" borderId="19" xfId="10" applyFont="1" applyFill="1" applyBorder="1" applyAlignment="1" applyProtection="1">
      <alignment horizontal="center"/>
    </xf>
    <xf numFmtId="9" fontId="4" fillId="4" borderId="24" xfId="14" applyFont="1" applyFill="1" applyBorder="1" applyAlignment="1" applyProtection="1">
      <alignment horizontal="center"/>
    </xf>
    <xf numFmtId="0" fontId="5" fillId="0" borderId="24" xfId="10" applyFont="1" applyFill="1" applyBorder="1" applyAlignment="1" applyProtection="1">
      <alignment horizontal="center"/>
    </xf>
    <xf numFmtId="251" fontId="9" fillId="61" borderId="35" xfId="10" applyNumberFormat="1" applyFont="1" applyFill="1" applyBorder="1" applyAlignment="1" applyProtection="1">
      <alignment horizontal="center"/>
    </xf>
    <xf numFmtId="251" fontId="9" fillId="61" borderId="36" xfId="10" applyNumberFormat="1" applyFont="1" applyFill="1" applyBorder="1" applyAlignment="1" applyProtection="1">
      <alignment horizontal="center"/>
    </xf>
    <xf numFmtId="3" fontId="154" fillId="56" borderId="40" xfId="10" applyNumberFormat="1" applyFont="1" applyFill="1" applyBorder="1" applyAlignment="1" applyProtection="1">
      <alignment horizontal="center" vertical="center"/>
      <protection locked="0"/>
    </xf>
    <xf numFmtId="4" fontId="18" fillId="3" borderId="0" xfId="10" applyNumberFormat="1" applyFont="1" applyFill="1" applyBorder="1" applyAlignment="1" applyProtection="1">
      <alignment horizontal="center"/>
      <protection locked="0"/>
    </xf>
    <xf numFmtId="0" fontId="18" fillId="3" borderId="0" xfId="10" applyFont="1" applyFill="1" applyBorder="1" applyAlignment="1" applyProtection="1">
      <alignment horizontal="right"/>
    </xf>
    <xf numFmtId="169" fontId="19" fillId="0" borderId="12" xfId="10" applyNumberFormat="1" applyFont="1" applyFill="1" applyBorder="1" applyAlignment="1" applyProtection="1">
      <alignment horizontal="left"/>
    </xf>
  </cellXfs>
  <cellStyles count="23">
    <cellStyle name="Comma" xfId="1" builtinId="3"/>
    <cellStyle name="Comma 2" xfId="22"/>
    <cellStyle name="Hyperlink" xfId="2" builtinId="8"/>
    <cellStyle name="Normal" xfId="0" builtinId="0"/>
    <cellStyle name="Normal 2" xfId="3"/>
    <cellStyle name="Normal 2 2" xfId="4"/>
    <cellStyle name="Normal 2 3" xfId="5"/>
    <cellStyle name="Normal 3" xfId="6"/>
    <cellStyle name="Normal 4" xfId="7"/>
    <cellStyle name="Normal 4 2" xfId="21"/>
    <cellStyle name="Normal 4 6" xfId="8"/>
    <cellStyle name="Normal 5" xfId="19"/>
    <cellStyle name="Normal_Arc06BasicCapacity" xfId="9"/>
    <cellStyle name="Normal_Arc06CapacityPlanningTool" xfId="10"/>
    <cellStyle name="Normal_Arc06CapacityPlanningTool 2" xfId="11"/>
    <cellStyle name="Normal_Arc06CapacityPlanningTool 2 2" xfId="20"/>
    <cellStyle name="Normal_CapacityPlanningFundamentalsnet" xfId="12"/>
    <cellStyle name="Normal_CapacityPlanningWorkbook" xfId="13"/>
    <cellStyle name="Percent" xfId="14" builtinId="5"/>
    <cellStyle name="Percent 2" xfId="15"/>
    <cellStyle name="Percent 2 2" xfId="16"/>
    <cellStyle name="Percent 2 3" xfId="17"/>
    <cellStyle name="Percent 2 4" xfId="18"/>
  </cellStyles>
  <dxfs count="184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99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 patternType="solid">
          <fgColor auto="1"/>
          <bgColor theme="3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9900"/>
        </patternFill>
      </fill>
    </dxf>
    <dxf>
      <font>
        <b/>
        <i val="0"/>
        <color theme="0"/>
        <name val="Cambria"/>
        <scheme val="none"/>
      </font>
      <fill>
        <patternFill>
          <bgColor rgb="FFFF0000"/>
        </patternFill>
      </fill>
    </dxf>
    <dxf>
      <font>
        <b val="0"/>
        <i val="0"/>
        <color theme="1"/>
      </font>
      <fill>
        <patternFill>
          <bgColor rgb="FFFFCC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66FF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FF99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669900"/>
        </patternFill>
      </fill>
    </dxf>
    <dxf>
      <font>
        <b val="0"/>
        <i val="0"/>
        <color theme="1"/>
        <name val="Cambria"/>
        <scheme val="none"/>
      </font>
      <fill>
        <patternFill patternType="solid">
          <bgColor rgb="FF66FFCC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0099FF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0000FF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 val="0"/>
        <i val="0"/>
        <color auto="1"/>
        <name val="Cambria"/>
        <scheme val="none"/>
      </font>
      <fill>
        <patternFill patternType="lightGray">
          <fgColor rgb="FFC0C0C0"/>
          <bgColor rgb="FFFFFF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gray125">
          <fgColor theme="0" tint="-0.34998626667073579"/>
          <bgColor rgb="FFFFCC99"/>
        </patternFill>
      </fill>
    </dxf>
    <dxf>
      <font>
        <b/>
        <i val="0"/>
        <color theme="0"/>
      </font>
      <fill>
        <patternFill>
          <fgColor rgb="FFFF0000"/>
          <bgColor rgb="FFFF0000"/>
        </patternFill>
      </fill>
    </dxf>
    <dxf>
      <font>
        <b val="0"/>
        <i val="0"/>
      </font>
      <fill>
        <patternFill patternType="solid">
          <fgColor auto="1"/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9933"/>
        </patternFill>
      </fill>
    </dxf>
    <dxf>
      <font>
        <b/>
        <i val="0"/>
        <color theme="1"/>
      </font>
      <fill>
        <patternFill>
          <bgColor rgb="FFFFCC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FF"/>
        </patternFill>
      </fill>
    </dxf>
    <dxf>
      <font>
        <b/>
        <i val="0"/>
        <color theme="0"/>
      </font>
      <fill>
        <patternFill>
          <bgColor rgb="FF048273"/>
        </patternFill>
      </fill>
    </dxf>
    <dxf>
      <fill>
        <patternFill>
          <bgColor rgb="FFAF00FF"/>
        </patternFill>
      </fill>
    </dxf>
    <dxf>
      <font>
        <b val="0"/>
        <i val="0"/>
        <color theme="1"/>
      </font>
      <fill>
        <patternFill>
          <bgColor rgb="FF00D600"/>
        </patternFill>
      </fill>
    </dxf>
    <dxf>
      <fill>
        <patternFill>
          <bgColor rgb="FF00FFFF"/>
        </patternFill>
      </fill>
    </dxf>
    <dxf>
      <font>
        <color theme="1"/>
      </font>
      <fill>
        <patternFill>
          <bgColor rgb="FF00D99D"/>
        </patternFill>
      </fill>
    </dxf>
    <dxf>
      <font>
        <b/>
        <i val="0"/>
        <color auto="1"/>
      </font>
      <fill>
        <patternFill>
          <bgColor rgb="FF78B4FF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00CCFF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color theme="0"/>
      </font>
      <fill>
        <patternFill patternType="solid">
          <bgColor rgb="FF6699FF"/>
        </patternFill>
      </fill>
    </dxf>
    <dxf>
      <font>
        <b val="0"/>
        <i val="0"/>
        <color theme="0"/>
      </font>
      <fill>
        <patternFill patternType="solid">
          <bgColor rgb="FF008080"/>
        </patternFill>
      </fill>
    </dxf>
    <dxf>
      <font>
        <color theme="0"/>
      </font>
      <fill>
        <patternFill patternType="solid">
          <bgColor rgb="FF0066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FF7C80"/>
        </patternFill>
      </fill>
    </dxf>
    <dxf>
      <font>
        <color theme="0"/>
      </font>
      <fill>
        <patternFill>
          <bgColor rgb="FF0000CC"/>
        </patternFill>
      </fill>
    </dxf>
    <dxf>
      <font>
        <b val="0"/>
        <i val="0"/>
        <color auto="1"/>
      </font>
      <fill>
        <patternFill>
          <bgColor rgb="FF00FF99"/>
        </patternFill>
      </fill>
    </dxf>
    <dxf>
      <font>
        <color theme="0"/>
      </font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969696"/>
        </patternFill>
      </fill>
    </dxf>
    <dxf>
      <font>
        <b val="0"/>
        <i val="0"/>
      </font>
      <fill>
        <patternFill>
          <bgColor rgb="FFFFFFFF"/>
        </patternFill>
      </fill>
    </dxf>
    <dxf>
      <font>
        <b val="0"/>
        <i val="0"/>
      </font>
      <fill>
        <patternFill>
          <bgColor rgb="FFFF99FF"/>
        </patternFill>
      </fill>
    </dxf>
    <dxf>
      <font>
        <b val="0"/>
        <i val="0"/>
        <color theme="0"/>
      </font>
      <fill>
        <patternFill>
          <bgColor rgb="FF990099"/>
        </patternFill>
      </fill>
    </dxf>
    <dxf>
      <font>
        <b val="0"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ont>
        <color theme="0"/>
      </font>
      <fill>
        <patternFill>
          <bgColor rgb="FF0000FF"/>
        </patternFill>
      </fill>
    </dxf>
    <dxf>
      <font>
        <b/>
        <i val="0"/>
        <color theme="1"/>
        <name val="Cambria"/>
        <scheme val="none"/>
      </font>
      <fill>
        <patternFill>
          <bgColor rgb="FFFF8764"/>
        </patternFill>
      </fill>
    </dxf>
    <dxf>
      <fill>
        <patternFill patternType="lightTrellis">
          <fgColor theme="0" tint="-0.24994659260841701"/>
        </patternFill>
      </fill>
    </dxf>
    <dxf>
      <font>
        <b val="0"/>
        <i val="0"/>
        <color auto="1"/>
        <name val="Cambria"/>
        <scheme val="none"/>
      </font>
      <fill>
        <patternFill>
          <bgColor rgb="FFFFFFCC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color theme="1"/>
      </font>
      <fill>
        <patternFill>
          <bgColor rgb="FFFF9900"/>
        </patternFill>
      </fill>
    </dxf>
    <dxf>
      <font>
        <b/>
        <i val="0"/>
        <color theme="0"/>
        <name val="Cambria"/>
        <scheme val="none"/>
      </font>
      <fill>
        <patternFill>
          <bgColor rgb="FFFF0000"/>
        </patternFill>
      </fill>
    </dxf>
    <dxf>
      <font>
        <b val="0"/>
        <i val="0"/>
        <color theme="1"/>
      </font>
      <fill>
        <patternFill>
          <bgColor rgb="FFFFCC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66FF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FF99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669900"/>
        </patternFill>
      </fill>
    </dxf>
    <dxf>
      <font>
        <b val="0"/>
        <i val="0"/>
        <color theme="1"/>
        <name val="Cambria"/>
        <scheme val="none"/>
      </font>
      <fill>
        <patternFill patternType="solid">
          <bgColor rgb="FF66FFCC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0099FF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0000FF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 val="0"/>
        <i val="0"/>
        <color auto="1"/>
        <name val="Cambria"/>
        <scheme val="none"/>
      </font>
      <fill>
        <patternFill patternType="lightGray">
          <fgColor rgb="FFC0C0C0"/>
          <bgColor rgb="FFFFFF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gray125">
          <fgColor theme="0" tint="-0.34998626667073579"/>
          <bgColor rgb="FFFFCC99"/>
        </patternFill>
      </fill>
    </dxf>
    <dxf>
      <font>
        <b/>
        <i val="0"/>
        <color theme="0"/>
      </font>
      <fill>
        <patternFill>
          <fgColor rgb="FFFF0000"/>
          <bgColor rgb="FFFF0000"/>
        </patternFill>
      </fill>
    </dxf>
    <dxf>
      <font>
        <b val="0"/>
        <i val="0"/>
      </font>
      <fill>
        <patternFill patternType="solid">
          <fgColor auto="1"/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9933"/>
        </patternFill>
      </fill>
    </dxf>
    <dxf>
      <font>
        <b/>
        <i val="0"/>
        <color theme="1"/>
      </font>
      <fill>
        <patternFill>
          <bgColor rgb="FFFFCC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FF"/>
        </patternFill>
      </fill>
    </dxf>
    <dxf>
      <font>
        <b/>
        <i val="0"/>
        <color theme="0"/>
      </font>
      <fill>
        <patternFill>
          <bgColor rgb="FF048273"/>
        </patternFill>
      </fill>
    </dxf>
    <dxf>
      <fill>
        <patternFill>
          <bgColor rgb="FFAF00FF"/>
        </patternFill>
      </fill>
    </dxf>
    <dxf>
      <font>
        <b val="0"/>
        <i val="0"/>
        <color theme="1"/>
      </font>
      <fill>
        <patternFill>
          <bgColor rgb="FF00D600"/>
        </patternFill>
      </fill>
    </dxf>
    <dxf>
      <fill>
        <patternFill>
          <bgColor rgb="FF00FFFF"/>
        </patternFill>
      </fill>
    </dxf>
    <dxf>
      <font>
        <color theme="1"/>
      </font>
      <fill>
        <patternFill>
          <bgColor rgb="FF00D99D"/>
        </patternFill>
      </fill>
    </dxf>
    <dxf>
      <font>
        <b/>
        <i val="0"/>
        <color auto="1"/>
      </font>
      <fill>
        <patternFill>
          <bgColor rgb="FF78B4FF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00CCFF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color theme="0"/>
      </font>
      <fill>
        <patternFill patternType="solid">
          <bgColor rgb="FF6699FF"/>
        </patternFill>
      </fill>
    </dxf>
    <dxf>
      <font>
        <b val="0"/>
        <i val="0"/>
        <color theme="0"/>
      </font>
      <fill>
        <patternFill patternType="solid">
          <bgColor rgb="FF008080"/>
        </patternFill>
      </fill>
    </dxf>
    <dxf>
      <font>
        <color theme="0"/>
      </font>
      <fill>
        <patternFill patternType="solid">
          <bgColor rgb="FF0066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FF7C80"/>
        </patternFill>
      </fill>
    </dxf>
    <dxf>
      <font>
        <color theme="0"/>
      </font>
      <fill>
        <patternFill>
          <bgColor rgb="FF0000CC"/>
        </patternFill>
      </fill>
    </dxf>
    <dxf>
      <font>
        <b val="0"/>
        <i val="0"/>
        <color auto="1"/>
      </font>
      <fill>
        <patternFill>
          <bgColor rgb="FF00FF99"/>
        </patternFill>
      </fill>
    </dxf>
    <dxf>
      <font>
        <color theme="0"/>
      </font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969696"/>
        </patternFill>
      </fill>
    </dxf>
    <dxf>
      <font>
        <b val="0"/>
        <i val="0"/>
      </font>
      <fill>
        <patternFill>
          <bgColor rgb="FFFFFFFF"/>
        </patternFill>
      </fill>
    </dxf>
    <dxf>
      <font>
        <b val="0"/>
        <i val="0"/>
      </font>
      <fill>
        <patternFill>
          <bgColor rgb="FFFF99FF"/>
        </patternFill>
      </fill>
    </dxf>
    <dxf>
      <font>
        <b val="0"/>
        <i val="0"/>
        <color theme="0"/>
      </font>
      <fill>
        <patternFill>
          <bgColor rgb="FF990099"/>
        </patternFill>
      </fill>
    </dxf>
    <dxf>
      <font>
        <b val="0"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ont>
        <color theme="0"/>
      </font>
      <fill>
        <patternFill>
          <bgColor rgb="FF0000FF"/>
        </patternFill>
      </fill>
    </dxf>
    <dxf>
      <font>
        <b/>
        <i val="0"/>
        <color theme="1"/>
        <name val="Cambria"/>
        <scheme val="none"/>
      </font>
      <fill>
        <patternFill>
          <bgColor rgb="FFFF8764"/>
        </patternFill>
      </fill>
    </dxf>
    <dxf>
      <fill>
        <patternFill patternType="lightTrellis">
          <fgColor theme="0" tint="-0.24994659260841701"/>
        </patternFill>
      </fill>
    </dxf>
    <dxf>
      <font>
        <b val="0"/>
        <i val="0"/>
        <color auto="1"/>
        <name val="Cambria"/>
        <scheme val="none"/>
      </font>
      <fill>
        <patternFill>
          <bgColor rgb="FFFFFFCC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99CCFF"/>
      </font>
      <fill>
        <patternFill>
          <bgColor rgb="FF99CCFF"/>
        </patternFill>
      </fill>
    </dxf>
    <dxf>
      <font>
        <color theme="1"/>
      </font>
      <fill>
        <patternFill>
          <bgColor rgb="FFFF9900"/>
        </patternFill>
      </fill>
    </dxf>
    <dxf>
      <font>
        <b/>
        <i val="0"/>
        <color theme="0"/>
        <name val="Cambria"/>
        <scheme val="none"/>
      </font>
      <fill>
        <patternFill>
          <bgColor rgb="FFFF0000"/>
        </patternFill>
      </fill>
    </dxf>
    <dxf>
      <font>
        <b val="0"/>
        <i val="0"/>
        <color theme="1"/>
      </font>
      <fill>
        <patternFill>
          <bgColor rgb="FFFFCC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66FF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FFFFCC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ont>
        <b/>
        <i val="0"/>
        <color theme="0"/>
      </font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993366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rgb="FF333333"/>
      </font>
    </dxf>
    <dxf>
      <fill>
        <patternFill>
          <bgColor rgb="FFFFCCFF"/>
        </patternFill>
      </fill>
    </dxf>
    <dxf>
      <fill>
        <patternFill>
          <bgColor rgb="FFFFFF66"/>
        </patternFill>
      </fill>
    </dxf>
    <dxf>
      <font>
        <b/>
        <i val="0"/>
        <color theme="1"/>
      </font>
      <fill>
        <patternFill>
          <bgColor rgb="FFFFFF66"/>
        </patternFill>
      </fill>
    </dxf>
    <dxf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rgb="FF333333"/>
      </font>
    </dxf>
    <dxf>
      <fill>
        <patternFill>
          <bgColor rgb="FFFFCCFF"/>
        </patternFill>
      </fill>
    </dxf>
    <dxf>
      <fill>
        <patternFill>
          <bgColor rgb="FFFFFF66"/>
        </patternFill>
      </fill>
    </dxf>
    <dxf>
      <font>
        <b/>
        <i val="0"/>
        <color theme="1"/>
      </font>
      <fill>
        <patternFill>
          <bgColor rgb="FFFFFF66"/>
        </patternFill>
      </fill>
    </dxf>
    <dxf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FF9900"/>
        </patternFill>
      </fill>
    </dxf>
    <dxf>
      <font>
        <b val="0"/>
        <i val="0"/>
        <color theme="0"/>
      </font>
      <fill>
        <patternFill patternType="solid">
          <bgColor theme="9" tint="-0.24994659260841701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669900"/>
        </patternFill>
      </fill>
    </dxf>
    <dxf>
      <font>
        <b val="0"/>
        <i val="0"/>
        <color theme="0"/>
      </font>
      <fill>
        <patternFill patternType="solid">
          <bgColor theme="9" tint="-0.24994659260841701"/>
        </patternFill>
      </fill>
    </dxf>
    <dxf>
      <fill>
        <patternFill>
          <bgColor rgb="FFFFFFFF"/>
        </patternFill>
      </fill>
    </dxf>
    <dxf>
      <font>
        <b val="0"/>
        <i val="0"/>
        <color theme="1"/>
        <name val="Cambria"/>
        <scheme val="none"/>
      </font>
      <fill>
        <patternFill patternType="solid">
          <bgColor rgb="FF66FFCC"/>
        </patternFill>
      </fill>
    </dxf>
    <dxf>
      <font>
        <b val="0"/>
        <i val="0"/>
        <color theme="0"/>
      </font>
      <fill>
        <patternFill patternType="solid">
          <bgColor theme="9" tint="-0.24994659260841701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0099FF"/>
        </patternFill>
      </fill>
    </dxf>
    <dxf>
      <font>
        <b val="0"/>
        <i val="0"/>
        <color theme="0"/>
      </font>
      <fill>
        <patternFill patternType="solid">
          <bgColor theme="9" tint="-0.24994659260841701"/>
        </patternFill>
      </fill>
    </dxf>
    <dxf>
      <fill>
        <patternFill>
          <bgColor rgb="FFFFFFFF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0000FF"/>
        </patternFill>
      </fill>
    </dxf>
    <dxf>
      <font>
        <b val="0"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color theme="0"/>
      </font>
    </dxf>
    <dxf>
      <font>
        <color rgb="FF333333"/>
      </font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F0000"/>
      </font>
      <fill>
        <patternFill>
          <bgColor rgb="FFFFFF99"/>
        </patternFill>
      </fill>
    </dxf>
    <dxf>
      <fill>
        <patternFill>
          <bgColor rgb="FF993366"/>
        </patternFill>
      </fill>
    </dxf>
    <dxf>
      <font>
        <color theme="0"/>
      </font>
    </dxf>
    <dxf>
      <font>
        <color rgb="FF333333"/>
      </font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F0000"/>
      </font>
      <fill>
        <patternFill>
          <bgColor rgb="FFFFFF99"/>
        </patternFill>
      </fill>
    </dxf>
    <dxf>
      <fill>
        <patternFill>
          <bgColor rgb="FF993366"/>
        </patternFill>
      </fill>
    </dxf>
    <dxf>
      <font>
        <color theme="0"/>
      </font>
    </dxf>
    <dxf>
      <font>
        <color rgb="FF333333"/>
      </font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F0000"/>
      </font>
      <fill>
        <patternFill>
          <bgColor rgb="FFFFFF99"/>
        </patternFill>
      </fill>
    </dxf>
    <dxf>
      <fill>
        <patternFill>
          <bgColor rgb="FF993366"/>
        </patternFill>
      </fill>
    </dxf>
    <dxf>
      <font>
        <color theme="0"/>
      </font>
    </dxf>
    <dxf>
      <font>
        <color rgb="FF333333"/>
      </font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F0000"/>
      </font>
      <fill>
        <patternFill>
          <bgColor rgb="FFFFFF99"/>
        </patternFill>
      </fill>
    </dxf>
    <dxf>
      <fill>
        <patternFill>
          <bgColor rgb="FF993366"/>
        </patternFill>
      </fill>
    </dxf>
    <dxf>
      <font>
        <color theme="0"/>
      </font>
    </dxf>
    <dxf>
      <font>
        <color rgb="FF333333"/>
      </font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F0000"/>
      </font>
      <fill>
        <patternFill>
          <bgColor rgb="FFFFFF99"/>
        </patternFill>
      </fill>
    </dxf>
    <dxf>
      <fill>
        <patternFill>
          <bgColor rgb="FF993366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auto="1"/>
        <name val="Cambria"/>
        <scheme val="none"/>
      </font>
      <fill>
        <patternFill patternType="lightGray">
          <fgColor rgb="FFC0C0C0"/>
          <bgColor rgb="FFFFFF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gray125">
          <fgColor theme="0" tint="-0.34998626667073579"/>
          <bgColor rgb="FFFFCC99"/>
        </patternFill>
      </fill>
    </dxf>
    <dxf>
      <font>
        <b/>
        <i val="0"/>
        <color theme="0"/>
      </font>
      <fill>
        <patternFill>
          <fgColor rgb="FFFF0000"/>
          <bgColor rgb="FFFF0000"/>
        </patternFill>
      </fill>
    </dxf>
    <dxf>
      <font>
        <b val="0"/>
        <i val="0"/>
      </font>
      <fill>
        <patternFill patternType="solid">
          <fgColor auto="1"/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lightGray">
          <fgColor rgb="FFB2B2B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color theme="0"/>
      </font>
      <fill>
        <patternFill>
          <bgColor rgb="FF990099"/>
        </patternFill>
      </fill>
    </dxf>
    <dxf>
      <fill>
        <patternFill>
          <bgColor rgb="FFFF9933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ont>
        <b/>
        <i val="0"/>
        <color theme="1"/>
      </font>
      <fill>
        <patternFill>
          <bgColor rgb="FFFFCC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ill>
        <patternFill>
          <bgColor rgb="FFFFCCFF"/>
        </patternFill>
      </fill>
    </dxf>
    <dxf>
      <fill>
        <patternFill>
          <bgColor rgb="FFCC99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66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66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lightHorizontal">
          <fgColor theme="6" tint="0.39994506668294322"/>
          <bgColor theme="4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333333"/>
      </font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FF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ill>
        <patternFill>
          <bgColor rgb="FFFFCCFF"/>
        </patternFill>
      </fill>
    </dxf>
    <dxf>
      <fill>
        <patternFill>
          <bgColor rgb="FFFFFF66"/>
        </patternFill>
      </fill>
    </dxf>
    <dxf>
      <fill>
        <patternFill>
          <bgColor rgb="FFFFCCFF"/>
        </patternFill>
      </fill>
    </dxf>
    <dxf>
      <fill>
        <patternFill>
          <bgColor rgb="FFFFFF66"/>
        </patternFill>
      </fill>
    </dxf>
    <dxf>
      <fill>
        <patternFill>
          <bgColor rgb="FFFFCCFF"/>
        </patternFill>
      </fill>
    </dxf>
    <dxf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048273"/>
        </patternFill>
      </fill>
    </dxf>
    <dxf>
      <fill>
        <patternFill>
          <bgColor rgb="FFAF00FF"/>
        </patternFill>
      </fill>
    </dxf>
    <dxf>
      <font>
        <b val="0"/>
        <i val="0"/>
        <color theme="1"/>
      </font>
      <fill>
        <patternFill>
          <bgColor rgb="FF00D600"/>
        </patternFill>
      </fill>
    </dxf>
    <dxf>
      <fill>
        <patternFill>
          <bgColor rgb="FF00FFFF"/>
        </patternFill>
      </fill>
    </dxf>
    <dxf>
      <font>
        <color theme="1"/>
      </font>
      <fill>
        <patternFill>
          <bgColor rgb="FF00D99D"/>
        </patternFill>
      </fill>
    </dxf>
    <dxf>
      <font>
        <b/>
        <i val="0"/>
        <color auto="1"/>
      </font>
      <fill>
        <patternFill>
          <bgColor rgb="FF78B4FF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66"/>
        </patternFill>
      </fill>
    </dxf>
    <dxf>
      <fill>
        <patternFill>
          <bgColor rgb="FF993366"/>
        </patternFill>
      </fill>
    </dxf>
    <dxf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93366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F0000"/>
      </font>
      <fill>
        <patternFill>
          <bgColor rgb="FFFFFF99"/>
        </patternFill>
      </fill>
    </dxf>
    <dxf>
      <font>
        <color auto="1"/>
      </font>
      <fill>
        <patternFill>
          <bgColor rgb="FF00CCFF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color theme="0"/>
      </font>
      <fill>
        <patternFill patternType="solid">
          <bgColor rgb="FF6699FF"/>
        </patternFill>
      </fill>
    </dxf>
    <dxf>
      <font>
        <b val="0"/>
        <i val="0"/>
        <color theme="0"/>
      </font>
      <fill>
        <patternFill patternType="solid">
          <bgColor rgb="FF008080"/>
        </patternFill>
      </fill>
    </dxf>
    <dxf>
      <font>
        <color theme="0"/>
      </font>
      <fill>
        <patternFill patternType="solid">
          <bgColor rgb="FF0066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FF7C80"/>
        </patternFill>
      </fill>
    </dxf>
    <dxf>
      <font>
        <color theme="0"/>
      </font>
      <fill>
        <patternFill>
          <bgColor rgb="FF0000CC"/>
        </patternFill>
      </fill>
    </dxf>
    <dxf>
      <font>
        <b val="0"/>
        <i val="0"/>
        <color auto="1"/>
      </font>
      <fill>
        <patternFill>
          <bgColor rgb="FF00FF99"/>
        </patternFill>
      </fill>
    </dxf>
    <dxf>
      <font>
        <color theme="0"/>
      </font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969696"/>
        </patternFill>
      </fill>
    </dxf>
    <dxf>
      <font>
        <b val="0"/>
        <i val="0"/>
      </font>
      <fill>
        <patternFill>
          <bgColor rgb="FFFFFFFF"/>
        </patternFill>
      </fill>
    </dxf>
    <dxf>
      <font>
        <b val="0"/>
        <i val="0"/>
      </font>
      <fill>
        <patternFill>
          <bgColor rgb="FFFF99FF"/>
        </patternFill>
      </fill>
    </dxf>
    <dxf>
      <font>
        <b val="0"/>
        <i val="0"/>
        <color theme="0"/>
      </font>
      <fill>
        <patternFill>
          <bgColor rgb="FF990099"/>
        </patternFill>
      </fill>
    </dxf>
    <dxf>
      <font>
        <b val="0"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ont>
        <color theme="0"/>
      </font>
      <fill>
        <patternFill>
          <bgColor rgb="FF0000FF"/>
        </patternFill>
      </fill>
    </dxf>
    <dxf>
      <font>
        <b/>
        <i val="0"/>
        <color theme="1"/>
        <name val="Cambria"/>
        <scheme val="none"/>
      </font>
      <fill>
        <patternFill>
          <bgColor rgb="FFFF8764"/>
        </patternFill>
      </fill>
    </dxf>
    <dxf>
      <fill>
        <patternFill patternType="lightTrellis">
          <fgColor theme="0" tint="-0.24994659260841701"/>
        </patternFill>
      </fill>
    </dxf>
    <dxf>
      <fill>
        <patternFill>
          <bgColor rgb="FF993366"/>
        </patternFill>
      </fill>
    </dxf>
    <dxf>
      <fill>
        <patternFill>
          <bgColor rgb="FF66FF33"/>
        </patternFill>
      </fill>
    </dxf>
    <dxf>
      <font>
        <b/>
        <i val="0"/>
        <color theme="0"/>
      </font>
      <fill>
        <patternFill>
          <bgColor rgb="FF048273"/>
        </patternFill>
      </fill>
    </dxf>
    <dxf>
      <font>
        <b val="0"/>
        <i val="0"/>
        <color theme="1"/>
      </font>
      <fill>
        <patternFill>
          <bgColor rgb="FFFFFF00"/>
        </patternFill>
      </fill>
    </dxf>
    <dxf>
      <fill>
        <patternFill>
          <bgColor rgb="FFAF00FF"/>
        </patternFill>
      </fill>
    </dxf>
    <dxf>
      <font>
        <b val="0"/>
        <i val="0"/>
        <color theme="1"/>
      </font>
      <fill>
        <patternFill>
          <bgColor rgb="FF00D600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color theme="0"/>
      </font>
      <fill>
        <patternFill patternType="solid">
          <bgColor rgb="FF003300"/>
        </patternFill>
      </fill>
    </dxf>
    <dxf>
      <font>
        <b val="0"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666633"/>
        </patternFill>
      </fill>
    </dxf>
    <dxf>
      <font>
        <b val="0"/>
        <i val="0"/>
        <color theme="0"/>
      </font>
      <fill>
        <patternFill patternType="solid">
          <bgColor rgb="FF996633"/>
        </patternFill>
      </fill>
    </dxf>
    <dxf>
      <fill>
        <patternFill>
          <bgColor rgb="FF99CC00"/>
        </patternFill>
      </fill>
    </dxf>
    <dxf>
      <fill>
        <patternFill>
          <bgColor rgb="FF66FF33"/>
        </patternFill>
      </fill>
    </dxf>
    <dxf>
      <font>
        <b val="0"/>
        <i val="0"/>
        <color theme="0"/>
      </font>
      <fill>
        <patternFill>
          <bgColor rgb="FF0080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ont>
        <b val="0"/>
        <i val="0"/>
        <color theme="0"/>
      </font>
      <fill>
        <patternFill>
          <bgColor rgb="FF0000FF"/>
        </patternFill>
      </fill>
    </dxf>
    <dxf>
      <fill>
        <patternFill>
          <bgColor rgb="FFC0C0C0"/>
        </patternFill>
      </fill>
    </dxf>
    <dxf>
      <font>
        <b val="0"/>
        <i val="0"/>
      </font>
      <fill>
        <patternFill>
          <bgColor rgb="FFFFFFFF"/>
        </patternFill>
      </fill>
    </dxf>
    <dxf>
      <font>
        <b val="0"/>
        <i val="0"/>
      </font>
      <fill>
        <patternFill>
          <bgColor rgb="FFFF99FF"/>
        </patternFill>
      </fill>
    </dxf>
    <dxf>
      <font>
        <b val="0"/>
        <i val="0"/>
        <color theme="0"/>
      </font>
      <fill>
        <patternFill>
          <bgColor rgb="FF990099"/>
        </patternFill>
      </fill>
    </dxf>
    <dxf>
      <font>
        <b val="0"/>
        <i val="0"/>
        <color auto="1"/>
        <name val="Cambria"/>
        <scheme val="none"/>
      </font>
      <fill>
        <patternFill>
          <bgColor rgb="FFFFFFCC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ont>
        <color theme="0"/>
      </font>
      <fill>
        <patternFill>
          <bgColor rgb="FF0000FF"/>
        </patternFill>
      </fill>
    </dxf>
    <dxf>
      <font>
        <b/>
        <i val="0"/>
        <color theme="1"/>
        <name val="Cambria"/>
        <scheme val="none"/>
      </font>
      <fill>
        <patternFill>
          <bgColor rgb="FFFF8764"/>
        </patternFill>
      </fill>
    </dxf>
    <dxf>
      <font>
        <color theme="1"/>
      </font>
      <fill>
        <patternFill>
          <bgColor rgb="FF00D99D"/>
        </patternFill>
      </fill>
    </dxf>
    <dxf>
      <font>
        <b/>
        <i val="0"/>
        <color auto="1"/>
      </font>
      <fill>
        <patternFill>
          <bgColor rgb="FF78B4FF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 patternType="solid">
          <fgColor auto="1"/>
          <bgColor theme="3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99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9900"/>
        </patternFill>
      </fill>
    </dxf>
    <dxf>
      <font>
        <b/>
        <i val="0"/>
        <color theme="0"/>
        <name val="Cambria"/>
        <scheme val="none"/>
      </font>
      <fill>
        <patternFill>
          <bgColor rgb="FFFF0000"/>
        </patternFill>
      </fill>
    </dxf>
    <dxf>
      <font>
        <b val="0"/>
        <i val="0"/>
        <color theme="1"/>
      </font>
      <fill>
        <patternFill>
          <bgColor rgb="FFFFCC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66FF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FF99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669900"/>
        </patternFill>
      </fill>
    </dxf>
    <dxf>
      <font>
        <b val="0"/>
        <i val="0"/>
        <color theme="1"/>
        <name val="Cambria"/>
        <scheme val="none"/>
      </font>
      <fill>
        <patternFill patternType="solid">
          <bgColor rgb="FF66FFCC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0099FF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0000FF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 val="0"/>
        <i val="0"/>
        <color auto="1"/>
        <name val="Cambria"/>
        <scheme val="none"/>
      </font>
      <fill>
        <patternFill patternType="lightGray">
          <fgColor rgb="FFC0C0C0"/>
          <bgColor rgb="FFFFFF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gray125">
          <fgColor theme="0" tint="-0.34998626667073579"/>
          <bgColor rgb="FFFFCC99"/>
        </patternFill>
      </fill>
    </dxf>
    <dxf>
      <font>
        <b/>
        <i val="0"/>
        <color theme="0"/>
      </font>
      <fill>
        <patternFill>
          <fgColor rgb="FFFF0000"/>
          <bgColor rgb="FFFF0000"/>
        </patternFill>
      </fill>
    </dxf>
    <dxf>
      <font>
        <b val="0"/>
        <i val="0"/>
      </font>
      <fill>
        <patternFill patternType="solid">
          <fgColor auto="1"/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9933"/>
        </patternFill>
      </fill>
    </dxf>
    <dxf>
      <font>
        <b/>
        <i val="0"/>
        <color theme="1"/>
      </font>
      <fill>
        <patternFill>
          <bgColor rgb="FFFFCC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FF"/>
        </patternFill>
      </fill>
    </dxf>
    <dxf>
      <font>
        <b/>
        <i val="0"/>
        <color theme="0"/>
      </font>
      <fill>
        <patternFill>
          <bgColor rgb="FF048273"/>
        </patternFill>
      </fill>
    </dxf>
    <dxf>
      <fill>
        <patternFill>
          <bgColor rgb="FFAF00FF"/>
        </patternFill>
      </fill>
    </dxf>
    <dxf>
      <font>
        <b val="0"/>
        <i val="0"/>
        <color theme="1"/>
      </font>
      <fill>
        <patternFill>
          <bgColor rgb="FF00D600"/>
        </patternFill>
      </fill>
    </dxf>
    <dxf>
      <fill>
        <patternFill>
          <bgColor rgb="FF00FFFF"/>
        </patternFill>
      </fill>
    </dxf>
    <dxf>
      <font>
        <color theme="1"/>
      </font>
      <fill>
        <patternFill>
          <bgColor rgb="FF00D99D"/>
        </patternFill>
      </fill>
    </dxf>
    <dxf>
      <font>
        <b/>
        <i val="0"/>
        <color auto="1"/>
      </font>
      <fill>
        <patternFill>
          <bgColor rgb="FF78B4FF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00CCFF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color theme="0"/>
      </font>
      <fill>
        <patternFill patternType="solid">
          <bgColor rgb="FF6699FF"/>
        </patternFill>
      </fill>
    </dxf>
    <dxf>
      <font>
        <b val="0"/>
        <i val="0"/>
        <color theme="0"/>
      </font>
      <fill>
        <patternFill patternType="solid">
          <bgColor rgb="FF008080"/>
        </patternFill>
      </fill>
    </dxf>
    <dxf>
      <font>
        <color theme="0"/>
      </font>
      <fill>
        <patternFill patternType="solid">
          <bgColor rgb="FF0066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FF7C80"/>
        </patternFill>
      </fill>
    </dxf>
    <dxf>
      <font>
        <color theme="0"/>
      </font>
      <fill>
        <patternFill>
          <bgColor rgb="FF0000CC"/>
        </patternFill>
      </fill>
    </dxf>
    <dxf>
      <font>
        <b val="0"/>
        <i val="0"/>
        <color auto="1"/>
      </font>
      <fill>
        <patternFill>
          <bgColor rgb="FF00FF99"/>
        </patternFill>
      </fill>
    </dxf>
    <dxf>
      <font>
        <color theme="0"/>
      </font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969696"/>
        </patternFill>
      </fill>
    </dxf>
    <dxf>
      <font>
        <b val="0"/>
        <i val="0"/>
      </font>
      <fill>
        <patternFill>
          <bgColor rgb="FFFFFFFF"/>
        </patternFill>
      </fill>
    </dxf>
    <dxf>
      <font>
        <b val="0"/>
        <i val="0"/>
      </font>
      <fill>
        <patternFill>
          <bgColor rgb="FFFF99FF"/>
        </patternFill>
      </fill>
    </dxf>
    <dxf>
      <font>
        <b val="0"/>
        <i val="0"/>
        <color theme="0"/>
      </font>
      <fill>
        <patternFill>
          <bgColor rgb="FF990099"/>
        </patternFill>
      </fill>
    </dxf>
    <dxf>
      <font>
        <b val="0"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ont>
        <color theme="0"/>
      </font>
      <fill>
        <patternFill>
          <bgColor rgb="FF0000FF"/>
        </patternFill>
      </fill>
    </dxf>
    <dxf>
      <font>
        <b/>
        <i val="0"/>
        <color theme="1"/>
        <name val="Cambria"/>
        <scheme val="none"/>
      </font>
      <fill>
        <patternFill>
          <bgColor rgb="FFFF8764"/>
        </patternFill>
      </fill>
    </dxf>
    <dxf>
      <fill>
        <patternFill patternType="lightTrellis">
          <fgColor theme="0" tint="-0.24994659260841701"/>
        </patternFill>
      </fill>
    </dxf>
    <dxf>
      <font>
        <b val="0"/>
        <i val="0"/>
        <color auto="1"/>
        <name val="Cambria"/>
        <scheme val="none"/>
      </font>
      <fill>
        <patternFill>
          <bgColor rgb="FFFFFFCC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color theme="1"/>
      </font>
      <fill>
        <patternFill>
          <bgColor rgb="FFFF9900"/>
        </patternFill>
      </fill>
    </dxf>
    <dxf>
      <font>
        <b/>
        <i val="0"/>
        <color theme="0"/>
        <name val="Cambria"/>
        <scheme val="none"/>
      </font>
      <fill>
        <patternFill>
          <bgColor rgb="FFFF0000"/>
        </patternFill>
      </fill>
    </dxf>
    <dxf>
      <font>
        <b val="0"/>
        <i val="0"/>
        <color theme="1"/>
      </font>
      <fill>
        <patternFill>
          <bgColor rgb="FFFFCC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66FF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FF99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669900"/>
        </patternFill>
      </fill>
    </dxf>
    <dxf>
      <font>
        <b val="0"/>
        <i val="0"/>
        <color theme="1"/>
        <name val="Cambria"/>
        <scheme val="none"/>
      </font>
      <fill>
        <patternFill patternType="solid">
          <bgColor rgb="FF66FFCC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0099FF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0000FF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 val="0"/>
        <i val="0"/>
        <color auto="1"/>
        <name val="Cambria"/>
        <scheme val="none"/>
      </font>
      <fill>
        <patternFill patternType="lightGray">
          <fgColor rgb="FFC0C0C0"/>
          <bgColor rgb="FFFFFF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gray125">
          <fgColor theme="0" tint="-0.34998626667073579"/>
          <bgColor rgb="FFFFCC99"/>
        </patternFill>
      </fill>
    </dxf>
    <dxf>
      <font>
        <b/>
        <i val="0"/>
        <color theme="0"/>
      </font>
      <fill>
        <patternFill>
          <fgColor rgb="FFFF0000"/>
          <bgColor rgb="FFFF0000"/>
        </patternFill>
      </fill>
    </dxf>
    <dxf>
      <font>
        <b val="0"/>
        <i val="0"/>
      </font>
      <fill>
        <patternFill patternType="solid">
          <fgColor auto="1"/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9933"/>
        </patternFill>
      </fill>
    </dxf>
    <dxf>
      <font>
        <b/>
        <i val="0"/>
        <color theme="1"/>
      </font>
      <fill>
        <patternFill>
          <bgColor rgb="FFFFCC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FF"/>
        </patternFill>
      </fill>
    </dxf>
    <dxf>
      <font>
        <b/>
        <i val="0"/>
        <color theme="0"/>
      </font>
      <fill>
        <patternFill>
          <bgColor rgb="FF048273"/>
        </patternFill>
      </fill>
    </dxf>
    <dxf>
      <fill>
        <patternFill>
          <bgColor rgb="FFAF00FF"/>
        </patternFill>
      </fill>
    </dxf>
    <dxf>
      <font>
        <b val="0"/>
        <i val="0"/>
        <color theme="1"/>
      </font>
      <fill>
        <patternFill>
          <bgColor rgb="FF00D600"/>
        </patternFill>
      </fill>
    </dxf>
    <dxf>
      <fill>
        <patternFill>
          <bgColor rgb="FF00FFFF"/>
        </patternFill>
      </fill>
    </dxf>
    <dxf>
      <font>
        <color theme="1"/>
      </font>
      <fill>
        <patternFill>
          <bgColor rgb="FF00D99D"/>
        </patternFill>
      </fill>
    </dxf>
    <dxf>
      <font>
        <b/>
        <i val="0"/>
        <color auto="1"/>
      </font>
      <fill>
        <patternFill>
          <bgColor rgb="FF78B4FF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00CCFF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color theme="0"/>
      </font>
      <fill>
        <patternFill patternType="solid">
          <bgColor rgb="FF6699FF"/>
        </patternFill>
      </fill>
    </dxf>
    <dxf>
      <font>
        <b val="0"/>
        <i val="0"/>
        <color theme="0"/>
      </font>
      <fill>
        <patternFill patternType="solid">
          <bgColor rgb="FF008080"/>
        </patternFill>
      </fill>
    </dxf>
    <dxf>
      <font>
        <color theme="0"/>
      </font>
      <fill>
        <patternFill patternType="solid">
          <bgColor rgb="FF0066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FF7C80"/>
        </patternFill>
      </fill>
    </dxf>
    <dxf>
      <font>
        <color theme="0"/>
      </font>
      <fill>
        <patternFill>
          <bgColor rgb="FF0000CC"/>
        </patternFill>
      </fill>
    </dxf>
    <dxf>
      <font>
        <b val="0"/>
        <i val="0"/>
        <color auto="1"/>
      </font>
      <fill>
        <patternFill>
          <bgColor rgb="FF00FF99"/>
        </patternFill>
      </fill>
    </dxf>
    <dxf>
      <font>
        <color theme="0"/>
      </font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969696"/>
        </patternFill>
      </fill>
    </dxf>
    <dxf>
      <font>
        <b val="0"/>
        <i val="0"/>
      </font>
      <fill>
        <patternFill>
          <bgColor rgb="FFFFFFFF"/>
        </patternFill>
      </fill>
    </dxf>
    <dxf>
      <font>
        <b val="0"/>
        <i val="0"/>
      </font>
      <fill>
        <patternFill>
          <bgColor rgb="FFFF99FF"/>
        </patternFill>
      </fill>
    </dxf>
    <dxf>
      <font>
        <b val="0"/>
        <i val="0"/>
        <color theme="0"/>
      </font>
      <fill>
        <patternFill>
          <bgColor rgb="FF990099"/>
        </patternFill>
      </fill>
    </dxf>
    <dxf>
      <font>
        <b val="0"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ont>
        <color theme="0"/>
      </font>
      <fill>
        <patternFill>
          <bgColor rgb="FF0000FF"/>
        </patternFill>
      </fill>
    </dxf>
    <dxf>
      <font>
        <b/>
        <i val="0"/>
        <color theme="1"/>
        <name val="Cambria"/>
        <scheme val="none"/>
      </font>
      <fill>
        <patternFill>
          <bgColor rgb="FFFF8764"/>
        </patternFill>
      </fill>
    </dxf>
    <dxf>
      <fill>
        <patternFill patternType="lightTrellis">
          <fgColor theme="0" tint="-0.24994659260841701"/>
        </patternFill>
      </fill>
    </dxf>
    <dxf>
      <font>
        <b val="0"/>
        <i val="0"/>
        <color auto="1"/>
        <name val="Cambria"/>
        <scheme val="none"/>
      </font>
      <fill>
        <patternFill>
          <bgColor rgb="FFFFFFCC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99CCFF"/>
      </font>
      <fill>
        <patternFill>
          <bgColor rgb="FF99CCFF"/>
        </patternFill>
      </fill>
    </dxf>
    <dxf>
      <font>
        <color theme="1"/>
      </font>
      <fill>
        <patternFill>
          <bgColor rgb="FFFF9900"/>
        </patternFill>
      </fill>
    </dxf>
    <dxf>
      <font>
        <b/>
        <i val="0"/>
        <color theme="0"/>
        <name val="Cambria"/>
        <scheme val="none"/>
      </font>
      <fill>
        <patternFill>
          <bgColor rgb="FFFF0000"/>
        </patternFill>
      </fill>
    </dxf>
    <dxf>
      <font>
        <b val="0"/>
        <i val="0"/>
        <color theme="1"/>
      </font>
      <fill>
        <patternFill>
          <bgColor rgb="FFFFCC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66FF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FFFFCC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CD5B4"/>
      </font>
      <fill>
        <patternFill>
          <bgColor rgb="FFFCD5B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ont>
        <b/>
        <i val="0"/>
        <color theme="0"/>
      </font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993366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rgb="FF333333"/>
      </font>
    </dxf>
    <dxf>
      <fill>
        <patternFill>
          <bgColor rgb="FFFFCCFF"/>
        </patternFill>
      </fill>
    </dxf>
    <dxf>
      <fill>
        <patternFill>
          <bgColor rgb="FFFFFF66"/>
        </patternFill>
      </fill>
    </dxf>
    <dxf>
      <font>
        <b/>
        <i val="0"/>
        <color theme="1"/>
      </font>
      <fill>
        <patternFill>
          <bgColor rgb="FFFFFF66"/>
        </patternFill>
      </fill>
    </dxf>
    <dxf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rgb="FF333333"/>
      </font>
    </dxf>
    <dxf>
      <fill>
        <patternFill>
          <bgColor rgb="FFFFCCFF"/>
        </patternFill>
      </fill>
    </dxf>
    <dxf>
      <fill>
        <patternFill>
          <bgColor rgb="FFFFFF66"/>
        </patternFill>
      </fill>
    </dxf>
    <dxf>
      <font>
        <b/>
        <i val="0"/>
        <color theme="1"/>
      </font>
      <fill>
        <patternFill>
          <bgColor rgb="FFFFFF66"/>
        </patternFill>
      </fill>
    </dxf>
    <dxf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FF9900"/>
        </patternFill>
      </fill>
    </dxf>
    <dxf>
      <font>
        <b val="0"/>
        <i val="0"/>
        <color theme="0"/>
      </font>
      <fill>
        <patternFill patternType="solid">
          <bgColor theme="9" tint="-0.24994659260841701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669900"/>
        </patternFill>
      </fill>
    </dxf>
    <dxf>
      <font>
        <b val="0"/>
        <i val="0"/>
        <color theme="0"/>
      </font>
      <fill>
        <patternFill patternType="solid">
          <bgColor theme="9" tint="-0.24994659260841701"/>
        </patternFill>
      </fill>
    </dxf>
    <dxf>
      <fill>
        <patternFill>
          <bgColor rgb="FFFFFFFF"/>
        </patternFill>
      </fill>
    </dxf>
    <dxf>
      <font>
        <b val="0"/>
        <i val="0"/>
        <color theme="1"/>
        <name val="Cambria"/>
        <scheme val="none"/>
      </font>
      <fill>
        <patternFill patternType="solid">
          <bgColor rgb="FF66FFCC"/>
        </patternFill>
      </fill>
    </dxf>
    <dxf>
      <font>
        <b val="0"/>
        <i val="0"/>
        <color theme="0"/>
      </font>
      <fill>
        <patternFill patternType="solid">
          <bgColor theme="9" tint="-0.24994659260841701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0099FF"/>
        </patternFill>
      </fill>
    </dxf>
    <dxf>
      <font>
        <b val="0"/>
        <i val="0"/>
        <color theme="0"/>
      </font>
      <fill>
        <patternFill patternType="solid">
          <bgColor theme="9" tint="-0.24994659260841701"/>
        </patternFill>
      </fill>
    </dxf>
    <dxf>
      <fill>
        <patternFill>
          <bgColor rgb="FFFFFFFF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0000FF"/>
        </patternFill>
      </fill>
    </dxf>
    <dxf>
      <font>
        <b val="0"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color theme="0"/>
      </font>
    </dxf>
    <dxf>
      <font>
        <color rgb="FF333333"/>
      </font>
    </dxf>
    <dxf>
      <fill>
        <patternFill patternType="lightHorizontal">
          <fgColor theme="6" tint="0.39994506668294322"/>
          <bgColor theme="6" tint="0.79998168889431442"/>
        </patternFill>
      </fill>
    </dxf>
    <dxf>
      <font>
        <color rgb="FFFF0000"/>
      </font>
      <fill>
        <patternFill patternType="lightHorizontal">
          <fgColor rgb="FFFFFF00"/>
          <bgColor rgb="FFFF00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F0000"/>
      </font>
      <fill>
        <patternFill>
          <bgColor rgb="FFFFFF99"/>
        </patternFill>
      </fill>
    </dxf>
    <dxf>
      <fill>
        <patternFill>
          <bgColor rgb="FF993366"/>
        </patternFill>
      </fill>
    </dxf>
    <dxf>
      <font>
        <color theme="0"/>
      </font>
    </dxf>
    <dxf>
      <font>
        <color rgb="FF333333"/>
      </font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F0000"/>
      </font>
      <fill>
        <patternFill>
          <bgColor rgb="FFFFFF99"/>
        </patternFill>
      </fill>
    </dxf>
    <dxf>
      <fill>
        <patternFill>
          <bgColor rgb="FF993366"/>
        </patternFill>
      </fill>
    </dxf>
    <dxf>
      <font>
        <color theme="0"/>
      </font>
    </dxf>
    <dxf>
      <font>
        <color rgb="FF333333"/>
      </font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F0000"/>
      </font>
      <fill>
        <patternFill>
          <bgColor rgb="FFFFFF99"/>
        </patternFill>
      </fill>
    </dxf>
    <dxf>
      <fill>
        <patternFill>
          <bgColor rgb="FF993366"/>
        </patternFill>
      </fill>
    </dxf>
    <dxf>
      <font>
        <color theme="0"/>
      </font>
    </dxf>
    <dxf>
      <font>
        <color rgb="FF333333"/>
      </font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F0000"/>
      </font>
      <fill>
        <patternFill>
          <bgColor rgb="FFFFFF99"/>
        </patternFill>
      </fill>
    </dxf>
    <dxf>
      <fill>
        <patternFill>
          <bgColor rgb="FF993366"/>
        </patternFill>
      </fill>
    </dxf>
    <dxf>
      <font>
        <color theme="0"/>
      </font>
    </dxf>
    <dxf>
      <font>
        <color rgb="FF333333"/>
      </font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F0000"/>
      </font>
      <fill>
        <patternFill>
          <bgColor rgb="FFFFFF99"/>
        </patternFill>
      </fill>
    </dxf>
    <dxf>
      <fill>
        <patternFill>
          <bgColor rgb="FF993366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color theme="1"/>
      </font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auto="1"/>
        <name val="Cambria"/>
        <scheme val="none"/>
      </font>
      <fill>
        <patternFill patternType="lightGray">
          <fgColor rgb="FFC0C0C0"/>
          <bgColor rgb="FFFFFF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gray125">
          <fgColor theme="0" tint="-0.34998626667073579"/>
          <bgColor rgb="FFFFCC99"/>
        </patternFill>
      </fill>
    </dxf>
    <dxf>
      <font>
        <b/>
        <i val="0"/>
        <color theme="0"/>
      </font>
      <fill>
        <patternFill>
          <fgColor rgb="FFFF0000"/>
          <bgColor rgb="FFFF0000"/>
        </patternFill>
      </fill>
    </dxf>
    <dxf>
      <font>
        <b val="0"/>
        <i val="0"/>
      </font>
      <fill>
        <patternFill patternType="solid">
          <fgColor auto="1"/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lightGray">
          <fgColor rgb="FFB2B2B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color theme="0"/>
      </font>
      <fill>
        <patternFill>
          <bgColor rgb="FF990099"/>
        </patternFill>
      </fill>
    </dxf>
    <dxf>
      <font>
        <b val="0"/>
        <i val="0"/>
        <color theme="0"/>
      </font>
      <fill>
        <patternFill>
          <bgColor rgb="FF990099"/>
        </patternFill>
      </fill>
    </dxf>
    <dxf>
      <font>
        <b val="0"/>
        <i val="0"/>
        <color theme="0"/>
      </font>
      <fill>
        <patternFill>
          <bgColor rgb="FF990099"/>
        </patternFill>
      </fill>
    </dxf>
    <dxf>
      <fill>
        <patternFill>
          <bgColor rgb="FFFF9933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ont>
        <b/>
        <i val="0"/>
        <color theme="1"/>
      </font>
      <fill>
        <patternFill>
          <bgColor rgb="FFFFCC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ont>
        <color theme="0"/>
      </font>
    </dxf>
    <dxf>
      <font>
        <color rgb="FF333333"/>
      </font>
    </dxf>
    <dxf>
      <fill>
        <patternFill>
          <bgColor rgb="FFFFCCFF"/>
        </patternFill>
      </fill>
    </dxf>
    <dxf>
      <fill>
        <patternFill>
          <bgColor rgb="FFCC99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66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66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lightHorizontal">
          <fgColor theme="6" tint="0.39994506668294322"/>
          <bgColor theme="4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</dxf>
    <dxf>
      <font>
        <color rgb="FF333333"/>
      </font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99CCFF"/>
        </patternFill>
      </fill>
    </dxf>
    <dxf>
      <font>
        <color theme="1" tint="4.9989318521683403E-2"/>
      </font>
      <fill>
        <patternFill>
          <bgColor rgb="FF99CCFF"/>
        </patternFill>
      </fill>
    </dxf>
    <dxf>
      <font>
        <b val="0"/>
        <i val="0"/>
        <color auto="1"/>
        <name val="Cambria"/>
        <scheme val="none"/>
      </font>
      <fill>
        <patternFill patternType="lightGray">
          <fgColor rgb="FFC0C0C0"/>
          <bgColor rgb="FFFFFF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ill>
        <patternFill patternType="lightTrellis">
          <fgColor theme="0" tint="-0.24994659260841701"/>
        </patternFill>
      </fill>
    </dxf>
    <dxf>
      <fill>
        <patternFill>
          <bgColor rgb="FFFFFFFF"/>
        </patternFill>
      </fill>
    </dxf>
    <dxf>
      <font>
        <b val="0"/>
        <i val="0"/>
        <color auto="1"/>
        <name val="Cambria"/>
        <scheme val="none"/>
      </font>
      <fill>
        <patternFill patternType="lightGray">
          <fgColor rgb="FFC0C0C0"/>
          <bgColor rgb="FFFFFF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ill>
        <patternFill patternType="lightTrellis">
          <fgColor theme="0" tint="-0.24994659260841701"/>
        </patternFill>
      </fill>
    </dxf>
    <dxf>
      <fill>
        <patternFill>
          <bgColor rgb="FFFFFFFF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ill>
        <patternFill>
          <bgColor rgb="FFFFCCFF"/>
        </patternFill>
      </fill>
    </dxf>
    <dxf>
      <fill>
        <patternFill>
          <bgColor rgb="FFFFFF66"/>
        </patternFill>
      </fill>
    </dxf>
    <dxf>
      <fill>
        <patternFill>
          <bgColor rgb="FFFFCCFF"/>
        </patternFill>
      </fill>
    </dxf>
    <dxf>
      <fill>
        <patternFill>
          <bgColor rgb="FFFFFF66"/>
        </patternFill>
      </fill>
    </dxf>
    <dxf>
      <fill>
        <patternFill>
          <bgColor rgb="FFFFCCFF"/>
        </patternFill>
      </fill>
    </dxf>
    <dxf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048273"/>
        </patternFill>
      </fill>
    </dxf>
    <dxf>
      <fill>
        <patternFill>
          <bgColor rgb="FFAF00FF"/>
        </patternFill>
      </fill>
    </dxf>
    <dxf>
      <font>
        <b val="0"/>
        <i val="0"/>
        <color theme="1"/>
      </font>
      <fill>
        <patternFill>
          <bgColor rgb="FF00D600"/>
        </patternFill>
      </fill>
    </dxf>
    <dxf>
      <fill>
        <patternFill>
          <bgColor rgb="FF00FFFF"/>
        </patternFill>
      </fill>
    </dxf>
    <dxf>
      <font>
        <color theme="1"/>
      </font>
      <fill>
        <patternFill>
          <bgColor rgb="FF00D99D"/>
        </patternFill>
      </fill>
    </dxf>
    <dxf>
      <font>
        <b/>
        <i val="0"/>
        <color auto="1"/>
      </font>
      <fill>
        <patternFill>
          <bgColor rgb="FF78B4FF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66"/>
        </patternFill>
      </fill>
    </dxf>
    <dxf>
      <fill>
        <patternFill>
          <bgColor rgb="FF993366"/>
        </patternFill>
      </fill>
    </dxf>
    <dxf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 val="0"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9933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93366"/>
        </patternFill>
      </fill>
    </dxf>
    <dxf>
      <font>
        <color theme="1"/>
      </font>
      <fill>
        <patternFill>
          <bgColor rgb="FFFFCCFF"/>
        </patternFill>
      </fill>
    </dxf>
    <dxf>
      <font>
        <color rgb="FFFF0000"/>
      </font>
      <fill>
        <patternFill>
          <bgColor rgb="FFFFFF99"/>
        </patternFill>
      </fill>
    </dxf>
    <dxf>
      <font>
        <color auto="1"/>
      </font>
      <fill>
        <patternFill>
          <bgColor rgb="FF00CCFF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color theme="0"/>
      </font>
      <fill>
        <patternFill patternType="solid">
          <bgColor rgb="FF6699FF"/>
        </patternFill>
      </fill>
    </dxf>
    <dxf>
      <font>
        <b val="0"/>
        <i val="0"/>
        <color theme="0"/>
      </font>
      <fill>
        <patternFill patternType="solid">
          <bgColor rgb="FF008080"/>
        </patternFill>
      </fill>
    </dxf>
    <dxf>
      <font>
        <color theme="0"/>
      </font>
      <fill>
        <patternFill patternType="solid">
          <bgColor rgb="FF006600"/>
        </patternFill>
      </fill>
    </dxf>
    <dxf>
      <font>
        <b val="0"/>
        <i val="0"/>
        <color theme="0"/>
        <name val="Cambria"/>
        <scheme val="none"/>
      </font>
      <fill>
        <patternFill patternType="solid">
          <bgColor rgb="FFFF7C80"/>
        </patternFill>
      </fill>
    </dxf>
    <dxf>
      <font>
        <color theme="0"/>
      </font>
      <fill>
        <patternFill>
          <bgColor rgb="FF0000CC"/>
        </patternFill>
      </fill>
    </dxf>
    <dxf>
      <font>
        <b val="0"/>
        <i val="0"/>
        <color auto="1"/>
      </font>
      <fill>
        <patternFill>
          <bgColor rgb="FF00FF99"/>
        </patternFill>
      </fill>
    </dxf>
    <dxf>
      <font>
        <color theme="0"/>
      </font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969696"/>
        </patternFill>
      </fill>
    </dxf>
    <dxf>
      <font>
        <b val="0"/>
        <i val="0"/>
      </font>
      <fill>
        <patternFill>
          <bgColor rgb="FFFFFFFF"/>
        </patternFill>
      </fill>
    </dxf>
    <dxf>
      <font>
        <b val="0"/>
        <i val="0"/>
      </font>
      <fill>
        <patternFill>
          <bgColor rgb="FFFF99FF"/>
        </patternFill>
      </fill>
    </dxf>
    <dxf>
      <font>
        <b val="0"/>
        <i val="0"/>
        <color theme="0"/>
      </font>
      <fill>
        <patternFill>
          <bgColor rgb="FF990099"/>
        </patternFill>
      </fill>
    </dxf>
    <dxf>
      <font>
        <b val="0"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ont>
        <color theme="0"/>
      </font>
      <fill>
        <patternFill>
          <bgColor rgb="FF0000FF"/>
        </patternFill>
      </fill>
    </dxf>
    <dxf>
      <font>
        <b/>
        <i val="0"/>
        <color theme="1"/>
        <name val="Cambria"/>
        <scheme val="none"/>
      </font>
      <fill>
        <patternFill>
          <bgColor rgb="FFFF8764"/>
        </patternFill>
      </fill>
    </dxf>
    <dxf>
      <fill>
        <patternFill patternType="lightTrellis">
          <fgColor theme="0" tint="-0.24994659260841701"/>
        </patternFill>
      </fill>
    </dxf>
    <dxf>
      <fill>
        <patternFill>
          <bgColor rgb="FF993366"/>
        </patternFill>
      </fill>
    </dxf>
    <dxf>
      <fill>
        <patternFill>
          <bgColor rgb="FF66FF33"/>
        </patternFill>
      </fill>
    </dxf>
    <dxf>
      <font>
        <b/>
        <i val="0"/>
        <color theme="0"/>
      </font>
      <fill>
        <patternFill>
          <bgColor rgb="FF048273"/>
        </patternFill>
      </fill>
    </dxf>
    <dxf>
      <font>
        <b val="0"/>
        <i val="0"/>
        <color theme="1"/>
      </font>
      <fill>
        <patternFill>
          <bgColor rgb="FFFFFF00"/>
        </patternFill>
      </fill>
    </dxf>
    <dxf>
      <fill>
        <patternFill>
          <bgColor rgb="FFAF00FF"/>
        </patternFill>
      </fill>
    </dxf>
    <dxf>
      <font>
        <b val="0"/>
        <i val="0"/>
        <color theme="1"/>
      </font>
      <fill>
        <patternFill>
          <bgColor rgb="FF00D600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color theme="0"/>
      </font>
      <fill>
        <patternFill patternType="solid">
          <bgColor rgb="FF003300"/>
        </patternFill>
      </fill>
    </dxf>
    <dxf>
      <font>
        <b val="0"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666633"/>
        </patternFill>
      </fill>
    </dxf>
    <dxf>
      <font>
        <b val="0"/>
        <i val="0"/>
        <color theme="0"/>
      </font>
      <fill>
        <patternFill patternType="solid">
          <bgColor rgb="FF996633"/>
        </patternFill>
      </fill>
    </dxf>
    <dxf>
      <fill>
        <patternFill>
          <bgColor rgb="FF99CC00"/>
        </patternFill>
      </fill>
    </dxf>
    <dxf>
      <fill>
        <patternFill>
          <bgColor rgb="FF66FF33"/>
        </patternFill>
      </fill>
    </dxf>
    <dxf>
      <font>
        <b val="0"/>
        <i val="0"/>
        <color theme="0"/>
      </font>
      <fill>
        <patternFill>
          <bgColor rgb="FF0080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ont>
        <b val="0"/>
        <i val="0"/>
        <color theme="0"/>
      </font>
      <fill>
        <patternFill>
          <bgColor rgb="FF0000FF"/>
        </patternFill>
      </fill>
    </dxf>
    <dxf>
      <fill>
        <patternFill>
          <bgColor rgb="FFC0C0C0"/>
        </patternFill>
      </fill>
    </dxf>
    <dxf>
      <font>
        <b val="0"/>
        <i val="0"/>
      </font>
      <fill>
        <patternFill>
          <bgColor rgb="FFFFFFFF"/>
        </patternFill>
      </fill>
    </dxf>
    <dxf>
      <font>
        <b val="0"/>
        <i val="0"/>
      </font>
      <fill>
        <patternFill>
          <bgColor rgb="FFFF99FF"/>
        </patternFill>
      </fill>
    </dxf>
    <dxf>
      <font>
        <b val="0"/>
        <i val="0"/>
        <color theme="0"/>
      </font>
      <fill>
        <patternFill>
          <bgColor rgb="FF990099"/>
        </patternFill>
      </fill>
    </dxf>
    <dxf>
      <font>
        <b val="0"/>
        <i val="0"/>
        <color auto="1"/>
        <name val="Cambria"/>
        <scheme val="none"/>
      </font>
      <fill>
        <patternFill>
          <bgColor rgb="FFFFFFCC"/>
        </patternFill>
      </fill>
    </dxf>
    <dxf>
      <font>
        <b/>
        <i val="0"/>
        <color theme="1"/>
      </font>
      <fill>
        <patternFill>
          <bgColor rgb="FFDD2377"/>
        </patternFill>
      </fill>
    </dxf>
    <dxf>
      <font>
        <color theme="0"/>
      </font>
      <fill>
        <patternFill>
          <bgColor rgb="FF0000FF"/>
        </patternFill>
      </fill>
    </dxf>
    <dxf>
      <font>
        <b/>
        <i val="0"/>
        <color theme="1"/>
        <name val="Cambria"/>
        <scheme val="none"/>
      </font>
      <fill>
        <patternFill>
          <bgColor rgb="FFFF8764"/>
        </patternFill>
      </fill>
    </dxf>
    <dxf>
      <font>
        <color theme="1"/>
      </font>
      <fill>
        <patternFill>
          <bgColor rgb="FF00D99D"/>
        </patternFill>
      </fill>
    </dxf>
    <dxf>
      <font>
        <b/>
        <i val="0"/>
        <color auto="1"/>
      </font>
      <fill>
        <patternFill>
          <bgColor rgb="FF78B4FF"/>
        </patternFill>
      </fill>
    </dxf>
    <dxf>
      <font>
        <b/>
        <i val="0"/>
        <color theme="1"/>
        <name val="Cambria"/>
        <scheme val="none"/>
      </font>
      <fill>
        <patternFill>
          <bgColor rgb="FFFF940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9CCFF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9CCFF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9CCFF"/>
      </font>
      <fill>
        <patternFill>
          <bgColor rgb="FF99CCFF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b val="0"/>
        <i val="0"/>
        <color rgb="FF99CCFF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99CCFF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color rgb="FF99CCFF"/>
      </font>
    </dxf>
    <dxf>
      <fill>
        <patternFill>
          <bgColor rgb="FFFFCCFF"/>
        </patternFill>
      </fill>
    </dxf>
    <dxf>
      <fill>
        <patternFill>
          <bgColor rgb="FFCC99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color rgb="FFF2DCDB"/>
      </font>
      <fill>
        <patternFill>
          <bgColor rgb="FFF2DCDB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CFF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auto="1"/>
      </font>
      <fill>
        <patternFill>
          <bgColor theme="0"/>
        </patternFill>
      </fill>
    </dxf>
    <dxf>
      <font>
        <color rgb="FFFFCC99"/>
      </font>
      <fill>
        <patternFill patternType="gray125">
          <fgColor rgb="FF99CCFF"/>
          <bgColor rgb="FFFFCC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 patternType="solid">
          <bgColor theme="0" tint="-0.14996795556505021"/>
        </patternFill>
      </fill>
    </dxf>
    <dxf>
      <font>
        <color auto="1"/>
      </font>
      <fill>
        <patternFill>
          <fgColor theme="0"/>
          <bgColor theme="0"/>
        </patternFill>
      </fill>
    </dxf>
    <dxf>
      <fill>
        <patternFill patternType="lightGray">
          <fgColor theme="9" tint="0.39994506668294322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99CCFF"/>
      </font>
      <fill>
        <patternFill>
          <bgColor rgb="FF99CCFF"/>
        </patternFill>
      </fill>
    </dxf>
    <dxf>
      <fill>
        <patternFill patternType="lightHorizontal">
          <fgColor theme="4" tint="0.39994506668294322"/>
          <bgColor theme="6" tint="0.59996337778862885"/>
        </patternFill>
      </fill>
    </dxf>
    <dxf>
      <fill>
        <patternFill patternType="lightHorizontal">
          <fgColor rgb="FFFFFF00"/>
          <bgColor rgb="FFFF0000"/>
        </patternFill>
      </fill>
    </dxf>
    <dxf>
      <fill>
        <patternFill>
          <bgColor rgb="FFFFCCFF"/>
        </patternFill>
      </fill>
    </dxf>
    <dxf>
      <font>
        <b/>
        <i val="0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color rgb="FF99CCFF"/>
      </font>
      <fill>
        <patternFill>
          <bgColor rgb="FF99CCFF"/>
        </patternFill>
      </fill>
    </dxf>
    <dxf>
      <fill>
        <patternFill>
          <bgColor rgb="FFFFCCFF"/>
        </patternFill>
      </fill>
    </dxf>
    <dxf>
      <font>
        <color rgb="FF99CCFF"/>
      </font>
      <fill>
        <patternFill>
          <bgColor rgb="FF99CCFF"/>
        </patternFill>
      </fill>
    </dxf>
    <dxf>
      <fill>
        <patternFill>
          <bgColor rgb="FFFFCCFF"/>
        </patternFill>
      </fill>
    </dxf>
    <dxf>
      <font>
        <color rgb="FF99CCFF"/>
      </font>
      <fill>
        <patternFill>
          <bgColor rgb="FF99CCFF"/>
        </patternFill>
      </fill>
    </dxf>
    <dxf>
      <fill>
        <patternFill>
          <bgColor rgb="FFFFFF00"/>
        </patternFill>
      </fill>
    </dxf>
    <dxf>
      <fill>
        <patternFill patternType="darkGray">
          <fgColor theme="0"/>
          <bgColor rgb="FFC0C0C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 patternType="darkGray">
          <fgColor theme="0"/>
          <bgColor rgb="FFC0C0C0"/>
        </patternFill>
      </fill>
    </dxf>
    <dxf>
      <fill>
        <patternFill patternType="darkGray">
          <fgColor theme="0"/>
          <bgColor rgb="FFC0C0C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0"/>
        </patternFill>
      </fill>
    </dxf>
    <dxf>
      <fill>
        <patternFill>
          <bgColor rgb="FFFFFF99"/>
        </patternFill>
      </fill>
    </dxf>
    <dxf>
      <font>
        <color rgb="FF99CCFF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CCFFCC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0"/>
        </patternFill>
      </fill>
    </dxf>
    <dxf>
      <font>
        <color rgb="FFFFCC99"/>
      </font>
      <fill>
        <patternFill patternType="lightGray">
          <fgColor rgb="FF99CCFF"/>
          <bgColor rgb="FFFFCC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rgb="FFFFCC99"/>
      </font>
      <fill>
        <patternFill patternType="lightGray">
          <fgColor rgb="FF99CCFF"/>
          <bgColor rgb="FFFFCC99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FFFF"/>
        </patternFill>
      </fill>
    </dxf>
    <dxf>
      <font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lightGray">
          <fgColor theme="0"/>
          <bgColor rgb="FFFFCC99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b/>
        <i val="0"/>
        <color rgb="FFFF0000"/>
      </font>
      <fill>
        <patternFill>
          <bgColor rgb="FFFFFF66"/>
        </patternFill>
      </fill>
    </dxf>
    <dxf>
      <font>
        <color theme="1"/>
      </font>
      <fill>
        <patternFill>
          <bgColor rgb="FFFFCCFF"/>
        </patternFill>
      </fill>
    </dxf>
    <dxf>
      <font>
        <b/>
        <i val="0"/>
        <color rgb="FFFF0000"/>
      </font>
      <fill>
        <patternFill>
          <bgColor rgb="FFFFFF66"/>
        </patternFill>
      </fill>
    </dxf>
    <dxf>
      <font>
        <color theme="1"/>
        <name val="Cambria"/>
        <scheme val="none"/>
      </font>
      <fill>
        <patternFill patternType="solid">
          <fgColor indexed="64"/>
          <bgColor rgb="FFFFCCFF"/>
        </patternFill>
      </fill>
    </dxf>
    <dxf>
      <font>
        <b/>
        <i val="0"/>
        <color rgb="FFFF0000"/>
      </font>
      <fill>
        <patternFill>
          <bgColor rgb="FFFFFF66"/>
        </patternFill>
      </fill>
    </dxf>
    <dxf>
      <font>
        <b/>
        <i val="0"/>
        <color theme="1"/>
      </font>
      <fill>
        <patternFill>
          <bgColor rgb="FFFFFF66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 patternType="darkGray">
          <fgColor theme="0"/>
          <bgColor theme="0" tint="-0.24994659260841701"/>
        </patternFill>
      </fill>
    </dxf>
    <dxf>
      <font>
        <color rgb="FF99CCFF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9CCFF"/>
      </font>
    </dxf>
    <dxf>
      <font>
        <color rgb="FF99CCFF"/>
      </font>
    </dxf>
    <dxf>
      <font>
        <color rgb="FF99CCFF"/>
      </font>
    </dxf>
    <dxf>
      <fill>
        <patternFill patternType="darkGray">
          <fgColor theme="0"/>
          <bgColor theme="0" tint="-0.24994659260841701"/>
        </patternFill>
      </fill>
    </dxf>
    <dxf>
      <fill>
        <patternFill patternType="darkGray">
          <fgColor theme="0"/>
          <bgColor rgb="FFC0C0C0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indexed="65"/>
        </patternFill>
      </fill>
    </dxf>
    <dxf>
      <fill>
        <patternFill patternType="solid">
          <fgColor rgb="FFFFCCFF"/>
          <bgColor rgb="FFFFCCFF"/>
        </patternFill>
      </fill>
    </dxf>
    <dxf>
      <fill>
        <patternFill patternType="darkGray">
          <fgColor theme="0"/>
          <bgColor theme="0" tint="-0.2499465926084170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CFF"/>
        </patternFill>
      </fill>
    </dxf>
    <dxf>
      <font>
        <color rgb="FF99CCFF"/>
      </font>
      <fill>
        <patternFill>
          <bgColor rgb="FF99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indexed="9"/>
      </font>
      <fill>
        <patternFill patternType="darkGray">
          <fgColor indexed="9"/>
          <bgColor indexed="22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ill>
        <patternFill patternType="darkGray">
          <fgColor theme="0"/>
          <bgColor rgb="FFC0C0C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color theme="0"/>
      </font>
      <fill>
        <patternFill patternType="darkGray">
          <fgColor theme="0"/>
          <bgColor rgb="FFC0C0C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9CCFF"/>
      </font>
    </dxf>
    <dxf>
      <font>
        <color rgb="FF99CCFF"/>
      </font>
    </dxf>
    <dxf>
      <font>
        <color rgb="FF99CCFF"/>
      </font>
    </dxf>
    <dxf>
      <fill>
        <patternFill patternType="darkGray">
          <fgColor theme="0"/>
          <bgColor rgb="FFC0C0C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CFF"/>
        </patternFill>
      </fill>
    </dxf>
    <dxf>
      <font>
        <b/>
        <i val="0"/>
        <strike val="0"/>
        <color rgb="FFFF0000"/>
      </font>
      <fill>
        <patternFill patternType="lightHorizontal">
          <fgColor rgb="FFFF0000"/>
          <bgColor rgb="FFFFCC99"/>
        </patternFill>
      </fill>
    </dxf>
    <dxf>
      <font>
        <b val="0"/>
        <i val="0"/>
        <color theme="1"/>
      </font>
      <fill>
        <patternFill>
          <bgColor rgb="FFFFCCFF"/>
        </patternFill>
      </fill>
    </dxf>
    <dxf>
      <font>
        <color rgb="FFFFCC99"/>
      </font>
      <fill>
        <patternFill>
          <bgColor rgb="FFFFCC99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ill>
        <patternFill patternType="mediumGray">
          <fgColor rgb="FFFFCC99"/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mediumGray">
          <fgColor rgb="FFFFCC99"/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mediumGray">
          <fgColor rgb="FFFFCC99"/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mediumGray">
          <fgColor rgb="FFFFCC99"/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mediumGray">
          <fgColor rgb="FFFFCC99"/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CFF"/>
        </patternFill>
      </fill>
    </dxf>
    <dxf>
      <font>
        <color auto="1"/>
      </font>
      <fill>
        <patternFill>
          <bgColor rgb="FFFFCCFF"/>
        </patternFill>
      </fill>
    </dxf>
    <dxf>
      <font>
        <b/>
        <i val="0"/>
        <strike val="0"/>
        <color rgb="FFFF0000"/>
      </font>
      <fill>
        <patternFill patternType="lightHorizontal">
          <fgColor rgb="FFFF0000"/>
          <bgColor rgb="FFFFCC99"/>
        </patternFill>
      </fill>
    </dxf>
    <dxf>
      <font>
        <b val="0"/>
        <i val="0"/>
        <color theme="1"/>
      </font>
      <fill>
        <patternFill>
          <bgColor rgb="FFFFCCFF"/>
        </patternFill>
      </fill>
    </dxf>
    <dxf>
      <font>
        <color rgb="FFFFCC99"/>
      </font>
      <fill>
        <patternFill>
          <bgColor rgb="FFFFCC99"/>
        </patternFill>
      </fill>
    </dxf>
    <dxf>
      <font>
        <color theme="1"/>
      </font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 patternType="mediumGray">
          <fgColor rgb="FFFFCC99"/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mediumGray">
          <fgColor rgb="FFFFCC99"/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mediumGray">
          <fgColor rgb="FFFFCC99"/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mediumGray">
          <fgColor rgb="FFFFCC99"/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mediumGray">
          <fgColor rgb="FFFFCC99"/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mediumGray">
          <fgColor rgb="FFFFCC99"/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2060"/>
      </font>
      <fill>
        <patternFill>
          <bgColor rgb="FF99CCFF"/>
        </patternFill>
      </fill>
    </dxf>
    <dxf>
      <font>
        <color rgb="FF99CCFF"/>
      </font>
    </dxf>
    <dxf>
      <font>
        <b/>
        <i val="0"/>
        <color theme="0"/>
      </font>
      <fill>
        <patternFill>
          <bgColor rgb="FFFF0000"/>
        </patternFill>
      </fill>
    </dxf>
    <dxf>
      <font>
        <color theme="3" tint="-0.24994659260841701"/>
      </font>
    </dxf>
    <dxf>
      <font>
        <color theme="3" tint="-0.24994659260841701"/>
      </font>
    </dxf>
    <dxf>
      <fill>
        <patternFill>
          <bgColor theme="0"/>
        </patternFill>
      </fill>
    </dxf>
    <dxf>
      <font>
        <color rgb="FFFFCC99"/>
      </font>
      <fill>
        <patternFill>
          <bgColor rgb="FFFFCC99"/>
        </patternFill>
      </fill>
    </dxf>
    <dxf>
      <font>
        <color rgb="FFFFCC99"/>
      </font>
      <fill>
        <patternFill>
          <bgColor rgb="FFFFCC99"/>
        </patternFill>
      </fill>
      <border>
        <left/>
        <right/>
        <top/>
        <bottom/>
      </border>
    </dxf>
    <dxf>
      <fill>
        <patternFill>
          <bgColor rgb="FFFFCC00"/>
        </patternFill>
      </fill>
    </dxf>
    <dxf>
      <font>
        <color rgb="FFFFCC99"/>
      </font>
      <fill>
        <patternFill>
          <bgColor rgb="FFFFCC99"/>
        </patternFill>
      </fill>
      <border>
        <left/>
        <right/>
        <top/>
        <bottom/>
      </border>
    </dxf>
    <dxf>
      <fill>
        <patternFill>
          <bgColor theme="0"/>
        </patternFill>
      </fill>
    </dxf>
    <dxf>
      <font>
        <color rgb="FFFFCC99"/>
      </font>
      <fill>
        <patternFill>
          <fgColor theme="0"/>
          <bgColor rgb="FFFFCC99"/>
        </patternFill>
      </fill>
    </dxf>
    <dxf>
      <font>
        <color rgb="FF99CCFF"/>
      </font>
      <fill>
        <patternFill>
          <bgColor rgb="FF99CCFF"/>
        </patternFill>
      </fill>
    </dxf>
    <dxf>
      <font>
        <color rgb="FF99CCFF"/>
        <name val="Cambria"/>
        <scheme val="none"/>
      </font>
    </dxf>
    <dxf>
      <fill>
        <patternFill>
          <bgColor rgb="FFFFFF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rgb="FFFFCCFF"/>
        </patternFill>
      </fill>
    </dxf>
    <dxf>
      <font>
        <b val="0"/>
        <i val="0"/>
        <color rgb="FFC00000"/>
      </font>
      <fill>
        <patternFill>
          <bgColor rgb="FFCCFFCC"/>
        </patternFill>
      </fill>
    </dxf>
  </dxfs>
  <tableStyles count="0" defaultTableStyle="TableStyleMedium9" defaultPivotStyle="PivotStyleLight16"/>
  <colors>
    <mruColors>
      <color rgb="FFFFFFCC"/>
      <color rgb="FFFFCC99"/>
      <color rgb="FF99CCFF"/>
      <color rgb="FFFFCCFF"/>
      <color rgb="FF7030A0"/>
      <color rgb="FF00FF99"/>
      <color rgb="FF00CCFF"/>
      <color rgb="FFFF7C80"/>
      <color rgb="FF0066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Workflow Performance Summary</a:t>
            </a:r>
          </a:p>
        </c:rich>
      </c:tx>
      <c:layout>
        <c:manualLayout>
          <c:xMode val="edge"/>
          <c:yMode val="edge"/>
          <c:x val="0.184114795869496"/>
          <c:y val="0.0410961584347411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301839179004"/>
          <c:y val="0.155231887880047"/>
          <c:w val="0.579466732497436"/>
          <c:h val="0.674082505748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Test!$C$21</c:f>
              <c:strCache>
                <c:ptCount val="1"/>
                <c:pt idx="0">
                  <c:v>DB</c:v>
                </c:pt>
              </c:strCache>
            </c:strRef>
          </c:tx>
          <c:spPr>
            <a:solidFill>
              <a:srgbClr val="FF9900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Test!$C$14</c:f>
              <c:strCache>
                <c:ptCount val="1"/>
                <c:pt idx="0">
                  <c:v>Arc18 (74.0/core)</c:v>
                </c:pt>
              </c:strCache>
            </c:strRef>
          </c:cat>
          <c:val>
            <c:numRef>
              <c:f>Test!$G$10</c:f>
              <c:numCache>
                <c:formatCode>#,##0.000</c:formatCode>
                <c:ptCount val="1"/>
                <c:pt idx="0">
                  <c:v>0.00941992012836381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E40-4ADE-A15D-0D7475E0F24F}"/>
            </c:ext>
          </c:extLst>
        </c:ser>
        <c:ser>
          <c:idx val="1"/>
          <c:order val="1"/>
          <c:tx>
            <c:strRef>
              <c:f>Test!$C$20</c:f>
              <c:strCache>
                <c:ptCount val="1"/>
              </c:strCache>
            </c:strRef>
          </c:tx>
          <c:spPr>
            <a:solidFill>
              <a:srgbClr val="FF9966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Test!$C$14</c:f>
              <c:strCache>
                <c:ptCount val="1"/>
                <c:pt idx="0">
                  <c:v>Arc18 (74.0/core)</c:v>
                </c:pt>
              </c:strCache>
            </c:strRef>
          </c:cat>
          <c:val>
            <c:numRef>
              <c:f>Test!$G$9</c:f>
              <c:numCache>
                <c:formatCode>#,##0.000</c:formatCode>
                <c:ptCount val="1"/>
                <c:pt idx="0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E40-4ADE-A15D-0D7475E0F24F}"/>
            </c:ext>
          </c:extLst>
        </c:ser>
        <c:ser>
          <c:idx val="2"/>
          <c:order val="2"/>
          <c:tx>
            <c:strRef>
              <c:f>Test!$C$19</c:f>
              <c:strCache>
                <c:ptCount val="1"/>
                <c:pt idx="0">
                  <c:v>SOC</c:v>
                </c:pt>
              </c:strCache>
            </c:strRef>
          </c:tx>
          <c:spPr>
            <a:solidFill>
              <a:srgbClr val="336600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Test!$C$14</c:f>
              <c:strCache>
                <c:ptCount val="1"/>
                <c:pt idx="0">
                  <c:v>Arc18 (74.0/core)</c:v>
                </c:pt>
              </c:strCache>
            </c:strRef>
          </c:cat>
          <c:val>
            <c:numRef>
              <c:f>Test!$G$8</c:f>
              <c:numCache>
                <c:formatCode>#,##0.000</c:formatCode>
                <c:ptCount val="1"/>
                <c:pt idx="0">
                  <c:v>0.0551120439553238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E40-4ADE-A15D-0D7475E0F24F}"/>
            </c:ext>
          </c:extLst>
        </c:ser>
        <c:ser>
          <c:idx val="3"/>
          <c:order val="3"/>
          <c:tx>
            <c:strRef>
              <c:f>Test!$C$18</c:f>
              <c:strCache>
                <c:ptCount val="1"/>
                <c:pt idx="0">
                  <c:v>Portal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Test!$C$14</c:f>
              <c:strCache>
                <c:ptCount val="1"/>
                <c:pt idx="0">
                  <c:v>Arc18 (74.0/core)</c:v>
                </c:pt>
              </c:strCache>
            </c:strRef>
          </c:cat>
          <c:val>
            <c:numRef>
              <c:f>Test!$D$18</c:f>
              <c:numCache>
                <c:formatCode>#,##0.000</c:formatCode>
                <c:ptCount val="1"/>
                <c:pt idx="0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E40-4ADE-A15D-0D7475E0F24F}"/>
            </c:ext>
          </c:extLst>
        </c:ser>
        <c:ser>
          <c:idx val="4"/>
          <c:order val="4"/>
          <c:tx>
            <c:strRef>
              <c:f>Test!$C$17</c:f>
              <c:strCache>
                <c:ptCount val="1"/>
                <c:pt idx="0">
                  <c:v>WEB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Test!$C$14</c:f>
              <c:strCache>
                <c:ptCount val="1"/>
                <c:pt idx="0">
                  <c:v>Arc18 (74.0/core)</c:v>
                </c:pt>
              </c:strCache>
            </c:strRef>
          </c:cat>
          <c:val>
            <c:numRef>
              <c:f>Test!$G$6</c:f>
              <c:numCache>
                <c:formatCode>#,##0.000</c:formatCode>
                <c:ptCount val="1"/>
                <c:pt idx="0">
                  <c:v>0.00691891891891892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E40-4ADE-A15D-0D7475E0F24F}"/>
            </c:ext>
          </c:extLst>
        </c:ser>
        <c:ser>
          <c:idx val="5"/>
          <c:order val="5"/>
          <c:tx>
            <c:strRef>
              <c:f>Test!$C$16</c:f>
              <c:strCache>
                <c:ptCount val="1"/>
              </c:strCache>
            </c:strRef>
          </c:tx>
          <c:spPr>
            <a:solidFill>
              <a:srgbClr val="0000CC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Test!$C$14</c:f>
              <c:strCache>
                <c:ptCount val="1"/>
                <c:pt idx="0">
                  <c:v>Arc18 (74.0/core)</c:v>
                </c:pt>
              </c:strCache>
            </c:strRef>
          </c:cat>
          <c:val>
            <c:numRef>
              <c:f>Test!$G$5</c:f>
              <c:numCache>
                <c:formatCode>#,##0.000</c:formatCode>
                <c:ptCount val="1"/>
                <c:pt idx="0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E40-4ADE-A15D-0D7475E0F24F}"/>
            </c:ext>
          </c:extLst>
        </c:ser>
        <c:ser>
          <c:idx val="9"/>
          <c:order val="6"/>
          <c:tx>
            <c:strRef>
              <c:f>Test!$C$15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rgbClr val="990033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Test!$C$14</c:f>
              <c:strCache>
                <c:ptCount val="1"/>
                <c:pt idx="0">
                  <c:v>Arc18 (74.0/core)</c:v>
                </c:pt>
              </c:strCache>
            </c:strRef>
          </c:cat>
          <c:val>
            <c:numRef>
              <c:f>Test!$G$4</c:f>
              <c:numCache>
                <c:formatCode>#,##0.000</c:formatCode>
                <c:ptCount val="1"/>
                <c:pt idx="0">
                  <c:v>0.0207567567567568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E40-4ADE-A15D-0D7475E0F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6935200"/>
        <c:axId val="-2096932096"/>
      </c:barChart>
      <c:catAx>
        <c:axId val="-209693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96932096"/>
        <c:crossesAt val="0.0"/>
        <c:auto val="1"/>
        <c:lblAlgn val="ctr"/>
        <c:lblOffset val="100"/>
        <c:noMultiLvlLbl val="0"/>
      </c:catAx>
      <c:valAx>
        <c:axId val="-2096932096"/>
        <c:scaling>
          <c:orientation val="minMax"/>
          <c:min val="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Performance (sec)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#,##0.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96935200"/>
        <c:crosses val="autoZero"/>
        <c:crossBetween val="between"/>
      </c:valAx>
      <c:spPr>
        <a:solidFill>
          <a:srgbClr val="FFCC99"/>
        </a:solidFill>
      </c:spPr>
    </c:plotArea>
    <c:legend>
      <c:legendPos val="r"/>
      <c:layout>
        <c:manualLayout>
          <c:xMode val="edge"/>
          <c:yMode val="edge"/>
          <c:x val="0.772563174128781"/>
          <c:y val="0.164383202099738"/>
          <c:w val="0.212996149203977"/>
          <c:h val="0.662099737532817"/>
        </c:manualLayout>
      </c:layout>
      <c:overlay val="0"/>
      <c:spPr>
        <a:ln>
          <a:solidFill>
            <a:srgbClr val="000000"/>
          </a:solidFill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5" l="0.700000000000001" r="0.700000000000001" t="0.75000000000001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Server Processing Time (sec)</a:t>
            </a:r>
          </a:p>
        </c:rich>
      </c:tx>
      <c:layout>
        <c:manualLayout>
          <c:xMode val="edge"/>
          <c:yMode val="edge"/>
          <c:x val="0.415879603032458"/>
          <c:y val="0.0023959767266853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88405213435733"/>
          <c:y val="0.193467936114426"/>
          <c:w val="0.557283221447807"/>
          <c:h val="0.69828122064215"/>
        </c:manualLayout>
      </c:layout>
      <c:barChart>
        <c:barDir val="bar"/>
        <c:grouping val="clustered"/>
        <c:varyColors val="0"/>
        <c:ser>
          <c:idx val="3"/>
          <c:order val="0"/>
          <c:tx>
            <c:strRef>
              <c:f>'Hardware (2)'!$X$547</c:f>
              <c:strCache>
                <c:ptCount val="1"/>
                <c:pt idx="0">
                  <c:v>Heavy</c:v>
                </c:pt>
              </c:strCache>
            </c:strRef>
          </c:tx>
          <c:spPr>
            <a:solidFill>
              <a:srgbClr val="6699FF"/>
            </a:solidFill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'Hardware (2)'!$X$549:$X$554</c:f>
              <c:numCache>
                <c:formatCode>0.000</c:formatCode>
                <c:ptCount val="6"/>
                <c:pt idx="0">
                  <c:v>0.414770262139622</c:v>
                </c:pt>
                <c:pt idx="1">
                  <c:v>0.153626483604304</c:v>
                </c:pt>
                <c:pt idx="2">
                  <c:v>0.0646254697207913</c:v>
                </c:pt>
                <c:pt idx="3">
                  <c:v>0.232422765111561</c:v>
                </c:pt>
                <c:pt idx="4">
                  <c:v>0.130422841424419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50A-4CFF-A362-051D8646670C}"/>
            </c:ext>
          </c:extLst>
        </c:ser>
        <c:ser>
          <c:idx val="1"/>
          <c:order val="1"/>
          <c:tx>
            <c:strRef>
              <c:f>'Hardware (2)'!$Y$547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C00000"/>
            </a:solidFill>
            <a:ln>
              <a:solidFill>
                <a:prstClr val="black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3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'Hardware (2)'!$B$549:$B$554</c:f>
              <c:strCache>
                <c:ptCount val="5"/>
                <c:pt idx="0">
                  <c:v>AGD Citrix ArcMap 2D V 100%Dyn 19x10 ICA DB</c:v>
                </c:pt>
                <c:pt idx="1">
                  <c:v>AGS REST 2D V 100%Dyn 13x7 PNG24 DB</c:v>
                </c:pt>
                <c:pt idx="2">
                  <c:v>AGS REST 2D V 40%Dyn 13x7 PNG24 +$$ DB</c:v>
                </c:pt>
                <c:pt idx="3">
                  <c:v>AGS WMS 2D V 100%Dyn 13x7 PNG24 DB</c:v>
                </c:pt>
                <c:pt idx="4">
                  <c:v>AGS Imagery 2D R 100%Dyn 19x10 JPEG TIFF</c:v>
                </c:pt>
              </c:strCache>
            </c:strRef>
          </c:cat>
          <c:val>
            <c:numRef>
              <c:f>'Hardware (2)'!$Y$549:$Y$554</c:f>
              <c:numCache>
                <c:formatCode>0.000</c:formatCode>
                <c:ptCount val="6"/>
                <c:pt idx="0">
                  <c:v>0.276513508093081</c:v>
                </c:pt>
                <c:pt idx="1">
                  <c:v>0.102417655736202</c:v>
                </c:pt>
                <c:pt idx="2">
                  <c:v>0.0430836464805275</c:v>
                </c:pt>
                <c:pt idx="3">
                  <c:v>0.154948510074374</c:v>
                </c:pt>
                <c:pt idx="4">
                  <c:v>0.0869485609496124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50A-4CFF-A362-051D8646670C}"/>
            </c:ext>
          </c:extLst>
        </c:ser>
        <c:ser>
          <c:idx val="2"/>
          <c:order val="2"/>
          <c:tx>
            <c:strRef>
              <c:f>'Hardware (2)'!$Z$547</c:f>
              <c:strCache>
                <c:ptCount val="1"/>
                <c:pt idx="0">
                  <c:v>Light</c:v>
                </c:pt>
              </c:strCache>
            </c:strRef>
          </c:tx>
          <c:spPr>
            <a:solidFill>
              <a:srgbClr val="009900"/>
            </a:solidFill>
            <a:ln>
              <a:solidFill>
                <a:prstClr val="black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'Hardware (2)'!$B$549:$B$554</c:f>
              <c:strCache>
                <c:ptCount val="5"/>
                <c:pt idx="0">
                  <c:v>AGD Citrix ArcMap 2D V 100%Dyn 19x10 ICA DB</c:v>
                </c:pt>
                <c:pt idx="1">
                  <c:v>AGS REST 2D V 100%Dyn 13x7 PNG24 DB</c:v>
                </c:pt>
                <c:pt idx="2">
                  <c:v>AGS REST 2D V 40%Dyn 13x7 PNG24 +$$ DB</c:v>
                </c:pt>
                <c:pt idx="3">
                  <c:v>AGS WMS 2D V 100%Dyn 13x7 PNG24 DB</c:v>
                </c:pt>
                <c:pt idx="4">
                  <c:v>AGS Imagery 2D R 100%Dyn 19x10 JPEG TIFF</c:v>
                </c:pt>
              </c:strCache>
            </c:strRef>
          </c:cat>
          <c:val>
            <c:numRef>
              <c:f>'Hardware (2)'!$Z$549:$Z$554</c:f>
              <c:numCache>
                <c:formatCode>0.000</c:formatCode>
                <c:ptCount val="6"/>
                <c:pt idx="0">
                  <c:v>0.138256754046541</c:v>
                </c:pt>
                <c:pt idx="1">
                  <c:v>0.0512088278681012</c:v>
                </c:pt>
                <c:pt idx="2">
                  <c:v>0.0215418232402638</c:v>
                </c:pt>
                <c:pt idx="3">
                  <c:v>0.077474255037187</c:v>
                </c:pt>
                <c:pt idx="4">
                  <c:v>0.0434742804748062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50A-4CFF-A362-051D8646670C}"/>
            </c:ext>
          </c:extLst>
        </c:ser>
        <c:ser>
          <c:idx val="0"/>
          <c:order val="3"/>
          <c:tx>
            <c:strRef>
              <c:f>Hardware!$A$1:$A$44</c:f>
              <c:strCache>
                <c:ptCount val="44"/>
                <c:pt idx="0">
                  <c:v>1</c:v>
                </c:pt>
                <c:pt idx="1">
                  <c:v>SPEC Web Site</c:v>
                </c:pt>
                <c:pt idx="2">
                  <c:v>Hardware Platform Selection</c:v>
                </c:pt>
                <c:pt idx="3">
                  <c:v> ==== Intel Desktop Candidates ======</c:v>
                </c:pt>
                <c:pt idx="4">
                  <c:v> ==== 2018 Desktop Platforms ====</c:v>
                </c:pt>
                <c:pt idx="5">
                  <c:v>Xeon Gold 5122 4 core (1 chip) 3600 MHz</c:v>
                </c:pt>
                <c:pt idx="6">
                  <c:v>Xeon E3-1280v6 4 core (1 chip) 3900 MHz</c:v>
                </c:pt>
                <c:pt idx="7">
                  <c:v>Xeon E3-1270v6 4 core (1 chip) 3800 MHz</c:v>
                </c:pt>
                <c:pt idx="8">
                  <c:v> ==== 2017 Desktop Platforms ====</c:v>
                </c:pt>
                <c:pt idx="9">
                  <c:v>Xeon Gold 5122 4 core (1 chip) 3600 MHz</c:v>
                </c:pt>
                <c:pt idx="10">
                  <c:v>Xeon E3-1280v6 4 core (1 chip) 3900 MHz</c:v>
                </c:pt>
                <c:pt idx="11">
                  <c:v>Xeon E3-1270v6 4 core (1 chip) 3800 MHz</c:v>
                </c:pt>
                <c:pt idx="12">
                  <c:v>Xeon E3-1240v6 4 core (1 chip) 3700 MHz</c:v>
                </c:pt>
                <c:pt idx="13">
                  <c:v>Xeon E3-1230v6 4 core (1 chip) 3500 MHz</c:v>
                </c:pt>
                <c:pt idx="14">
                  <c:v> ==== 2016 Desktop Platforms ====</c:v>
                </c:pt>
                <c:pt idx="15">
                  <c:v>Intel Core i7-6700K 4 core (1 chip) 4000 MHz</c:v>
                </c:pt>
                <c:pt idx="16">
                  <c:v>Intel Core i7-6700 4 core (1 chip) 3400 MHz</c:v>
                </c:pt>
                <c:pt idx="17">
                  <c:v>Intel Core i7-5960X 8 core (1 chip) 4400 MHz</c:v>
                </c:pt>
                <c:pt idx="18">
                  <c:v>Intel E3-1270v5 4 core (1 chip) 3600 MHz</c:v>
                </c:pt>
                <c:pt idx="19">
                  <c:v>Intel E3-1280v5 4 core (1 chip) 3700 MHz</c:v>
                </c:pt>
                <c:pt idx="20">
                  <c:v> ==== 2015 Desktop Platforms ====</c:v>
                </c:pt>
                <c:pt idx="21">
                  <c:v>Intel i7-5960X 8 core (1 chip) 4400 MHz</c:v>
                </c:pt>
                <c:pt idx="22">
                  <c:v> ==== 2014 Desktop Platforms ====</c:v>
                </c:pt>
                <c:pt idx="23">
                  <c:v>Intel Core i7-4790 4 core (1 chip) 4000 MHz</c:v>
                </c:pt>
                <c:pt idx="24">
                  <c:v>Intel Core i7-4770K 4 core (1 chip) 3500 MHz</c:v>
                </c:pt>
                <c:pt idx="25">
                  <c:v> ==== 2014 Desktop Platforms ====</c:v>
                </c:pt>
                <c:pt idx="26">
                  <c:v>Intel Core i3-4330 2 core (1 chip) 3500 MHz</c:v>
                </c:pt>
                <c:pt idx="27">
                  <c:v>Xeon E3-1270v3 4 core (1 chip) 3500 MHz</c:v>
                </c:pt>
                <c:pt idx="28">
                  <c:v>Intel Core i7-4770 4 core (1 chip) 3400 MHz</c:v>
                </c:pt>
                <c:pt idx="29">
                  <c:v> ==== 2013 Desktop Platforms ====</c:v>
                </c:pt>
                <c:pt idx="30">
                  <c:v>Intel Core i3-4330 2 core (1 chip) 3500 MHz</c:v>
                </c:pt>
                <c:pt idx="31">
                  <c:v>Xeon E3-1280 v3 4 core (1 chip) 3600 MHz</c:v>
                </c:pt>
                <c:pt idx="32">
                  <c:v>Xeon E5-1620 4 core (1 chip) 3600 MHz</c:v>
                </c:pt>
                <c:pt idx="33">
                  <c:v> ==== 2012 Desktop Platforms ====</c:v>
                </c:pt>
                <c:pt idx="34">
                  <c:v>Intel Xeon E5-2637 4 core (2 chip) 3000 MHz</c:v>
                </c:pt>
                <c:pt idx="35">
                  <c:v> ==== 2011 Desktop Platforms ====</c:v>
                </c:pt>
                <c:pt idx="36">
                  <c:v>Intel Core i7-2860QM 4 core (1 chip) 2500 MHz</c:v>
                </c:pt>
                <c:pt idx="37">
                  <c:v>Intel Core i7-2600  4 core (1 chip) 3800 MHz</c:v>
                </c:pt>
                <c:pt idx="38">
                  <c:v>Intel Core i5-2500  4 core (1 chip) 3300 MHz</c:v>
                </c:pt>
                <c:pt idx="39">
                  <c:v>Intel Core i5-2400  4 core (1 chip) 3100 MHz</c:v>
                </c:pt>
                <c:pt idx="40">
                  <c:v>Intel Core i3-2120 2 core (1 chip) 3100 MHz</c:v>
                </c:pt>
                <c:pt idx="41">
                  <c:v> ==== 2010 Desktop Platforms ====</c:v>
                </c:pt>
                <c:pt idx="42">
                  <c:v>Intel Core i5-680  2 core (1 chip) 3333 MHz</c:v>
                </c:pt>
                <c:pt idx="43">
                  <c:v>Intel Xeon X5667 8 core (2 chip) 3067 MHz</c:v>
                </c:pt>
              </c:strCache>
            </c:strRef>
          </c:tx>
          <c:spPr>
            <a:solidFill>
              <a:srgbClr val="FF993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Hardware!#REF!</c:f>
            </c:multiLvlStrRef>
          </c:cat>
          <c:val>
            <c:numRef>
              <c:f>Hardware!$A$45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50A-4CFF-A362-051D86466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2091491376"/>
        <c:axId val="-2091488080"/>
      </c:barChart>
      <c:catAx>
        <c:axId val="-20914913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91488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91488080"/>
        <c:scaling>
          <c:orientation val="minMax"/>
          <c:min val="0.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91491376"/>
        <c:crosses val="autoZero"/>
        <c:crossBetween val="between"/>
      </c:valAx>
      <c:spPr>
        <a:solidFill>
          <a:srgbClr val="FFCC99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0645353880121"/>
          <c:y val="0.801109336857368"/>
          <c:w val="0.195451653195048"/>
          <c:h val="0.0763578477880261"/>
        </c:manualLayout>
      </c:layout>
      <c:overlay val="0"/>
      <c:spPr>
        <a:solidFill>
          <a:srgbClr val="FFCC99"/>
        </a:solidFill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0000000000015" r="0.75000000000001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 Narrow" pitchFamily="34" charset="0"/>
                <a:ea typeface="Calibri"/>
                <a:cs typeface="Calibri"/>
              </a:defRPr>
            </a:pPr>
            <a:r>
              <a:rPr lang="en-US" sz="1400">
                <a:latin typeface="Arial Narrow" pitchFamily="34" charset="0"/>
              </a:rPr>
              <a:t>Platform Capacity</a:t>
            </a:r>
          </a:p>
        </c:rich>
      </c:tx>
      <c:layout>
        <c:manualLayout>
          <c:xMode val="edge"/>
          <c:yMode val="edge"/>
          <c:x val="0.468046108797428"/>
          <c:y val="0.023345724907063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21269312640489"/>
          <c:y val="0.208811681196668"/>
          <c:w val="0.639808225171172"/>
          <c:h val="0.70750325185204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'Hardware (2)'!$D$547</c:f>
              <c:strCache>
                <c:ptCount val="1"/>
                <c:pt idx="0">
                  <c:v>Light</c:v>
                </c:pt>
              </c:strCache>
            </c:strRef>
          </c:tx>
          <c:spPr>
            <a:solidFill>
              <a:srgbClr val="6699FF"/>
            </a:solidFill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Narrow" pitchFamily="34" charset="0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'Hardware (2)'!$B$549:$B$554</c:f>
              <c:strCache>
                <c:ptCount val="5"/>
                <c:pt idx="0">
                  <c:v>AGD Citrix ArcMap 2D V 100%Dyn 19x10 ICA DB</c:v>
                </c:pt>
                <c:pt idx="1">
                  <c:v>AGS REST 2D V 100%Dyn 13x7 PNG24 DB</c:v>
                </c:pt>
                <c:pt idx="2">
                  <c:v>AGS REST 2D V 40%Dyn 13x7 PNG24 +$$ DB</c:v>
                </c:pt>
                <c:pt idx="3">
                  <c:v>AGS WMS 2D V 100%Dyn 13x7 PNG24 DB</c:v>
                </c:pt>
                <c:pt idx="4">
                  <c:v>AGS Imagery 2D R 100%Dyn 19x10 JPEG TIFF</c:v>
                </c:pt>
              </c:strCache>
            </c:strRef>
          </c:cat>
          <c:val>
            <c:numRef>
              <c:f>'Hardware (2)'!$D$548:$D$554</c:f>
              <c:numCache>
                <c:formatCode>#,##0</c:formatCode>
                <c:ptCount val="6"/>
                <c:pt idx="0">
                  <c:v>55600.0</c:v>
                </c:pt>
                <c:pt idx="1">
                  <c:v>150000.0</c:v>
                </c:pt>
                <c:pt idx="2">
                  <c:v>356600.0</c:v>
                </c:pt>
                <c:pt idx="3">
                  <c:v>99200.0</c:v>
                </c:pt>
                <c:pt idx="4">
                  <c:v>176600.0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0B6-4D9D-8C5E-5699BB8F5377}"/>
            </c:ext>
          </c:extLst>
        </c:ser>
        <c:ser>
          <c:idx val="1"/>
          <c:order val="1"/>
          <c:tx>
            <c:strRef>
              <c:f>'Hardware (2)'!$C$547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CC3300"/>
            </a:solidFill>
            <a:ln>
              <a:solidFill>
                <a:prstClr val="black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Narrow" pitchFamily="34" charset="0"/>
                    <a:ea typeface="Calibri"/>
                    <a:cs typeface="Arial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'Hardware (2)'!$B$549:$B$554</c:f>
              <c:strCache>
                <c:ptCount val="5"/>
                <c:pt idx="0">
                  <c:v>AGD Citrix ArcMap 2D V 100%Dyn 19x10 ICA DB</c:v>
                </c:pt>
                <c:pt idx="1">
                  <c:v>AGS REST 2D V 100%Dyn 13x7 PNG24 DB</c:v>
                </c:pt>
                <c:pt idx="2">
                  <c:v>AGS REST 2D V 40%Dyn 13x7 PNG24 +$$ DB</c:v>
                </c:pt>
                <c:pt idx="3">
                  <c:v>AGS WMS 2D V 100%Dyn 13x7 PNG24 DB</c:v>
                </c:pt>
                <c:pt idx="4">
                  <c:v>AGS Imagery 2D R 100%Dyn 19x10 JPEG TIFF</c:v>
                </c:pt>
              </c:strCache>
            </c:strRef>
          </c:cat>
          <c:val>
            <c:numRef>
              <c:f>'Hardware (2)'!$C$548:$C$554</c:f>
              <c:numCache>
                <c:formatCode>#,##0</c:formatCode>
                <c:ptCount val="6"/>
                <c:pt idx="0">
                  <c:v>27800.0</c:v>
                </c:pt>
                <c:pt idx="1">
                  <c:v>75000.0</c:v>
                </c:pt>
                <c:pt idx="2">
                  <c:v>178300.0</c:v>
                </c:pt>
                <c:pt idx="3">
                  <c:v>49600.0</c:v>
                </c:pt>
                <c:pt idx="4">
                  <c:v>88300.0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0B6-4D9D-8C5E-5699BB8F5377}"/>
            </c:ext>
          </c:extLst>
        </c:ser>
        <c:ser>
          <c:idx val="2"/>
          <c:order val="2"/>
          <c:tx>
            <c:v>Heavy</c:v>
          </c:tx>
          <c:spPr>
            <a:solidFill>
              <a:srgbClr val="009900"/>
            </a:solidFill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'Hardware (2)'!$B$549:$B$554</c:f>
              <c:strCache>
                <c:ptCount val="5"/>
                <c:pt idx="0">
                  <c:v>AGD Citrix ArcMap 2D V 100%Dyn 19x10 ICA DB</c:v>
                </c:pt>
                <c:pt idx="1">
                  <c:v>AGS REST 2D V 100%Dyn 13x7 PNG24 DB</c:v>
                </c:pt>
                <c:pt idx="2">
                  <c:v>AGS REST 2D V 40%Dyn 13x7 PNG24 +$$ DB</c:v>
                </c:pt>
                <c:pt idx="3">
                  <c:v>AGS WMS 2D V 100%Dyn 13x7 PNG24 DB</c:v>
                </c:pt>
                <c:pt idx="4">
                  <c:v>AGS Imagery 2D R 100%Dyn 19x10 JPEG TIFF</c:v>
                </c:pt>
              </c:strCache>
            </c:strRef>
          </c:cat>
          <c:val>
            <c:numRef>
              <c:f>'Hardware (2)'!$AA$549:$AA$554</c:f>
              <c:numCache>
                <c:formatCode>#,##0</c:formatCode>
                <c:ptCount val="6"/>
                <c:pt idx="0">
                  <c:v>18533.0</c:v>
                </c:pt>
                <c:pt idx="1">
                  <c:v>50000.0</c:v>
                </c:pt>
                <c:pt idx="2">
                  <c:v>118867.0</c:v>
                </c:pt>
                <c:pt idx="3">
                  <c:v>33067.0</c:v>
                </c:pt>
                <c:pt idx="4">
                  <c:v>58867.0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0B6-4D9D-8C5E-5699BB8F5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19"/>
        <c:axId val="-2087087296"/>
        <c:axId val="-2087083872"/>
      </c:barChart>
      <c:catAx>
        <c:axId val="-208708729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 pitchFamily="34" charset="0"/>
                <a:ea typeface="Calibri"/>
                <a:cs typeface="Calibri"/>
              </a:defRPr>
            </a:pPr>
            <a:endParaRPr lang="en-US"/>
          </a:p>
        </c:txPr>
        <c:crossAx val="-2087083872"/>
        <c:crosses val="autoZero"/>
        <c:auto val="1"/>
        <c:lblAlgn val="ctr"/>
        <c:lblOffset val="100"/>
        <c:noMultiLvlLbl val="0"/>
      </c:catAx>
      <c:valAx>
        <c:axId val="-2087083872"/>
        <c:scaling>
          <c:orientation val="minMax"/>
        </c:scaling>
        <c:delete val="0"/>
        <c:axPos val="t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en-US"/>
          </a:p>
        </c:txPr>
        <c:crossAx val="-2087087296"/>
        <c:crosses val="autoZero"/>
        <c:crossBetween val="between"/>
      </c:valAx>
      <c:spPr>
        <a:solidFill>
          <a:srgbClr val="FFCC99"/>
        </a:solidFill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44812198261085"/>
          <c:y val="0.831110460634801"/>
          <c:w val="0.195516332615803"/>
          <c:h val="0.0751305915130468"/>
        </c:manualLayout>
      </c:layout>
      <c:overlay val="0"/>
      <c:spPr>
        <a:solidFill>
          <a:srgbClr val="FFCC99"/>
        </a:solidFill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 Narrow" pitchFamily="34" charset="0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" l="0.700000000000001" r="0.700000000000001" t="0.750000000000008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 Platform per core relative performance (SPECrate_int2006 benchmarks)</a:t>
            </a:r>
          </a:p>
        </c:rich>
      </c:tx>
      <c:layout>
        <c:manualLayout>
          <c:xMode val="edge"/>
          <c:yMode val="edge"/>
          <c:x val="0.369563415005301"/>
          <c:y val="0.02584854474601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33155103539314"/>
          <c:y val="0.131040213197436"/>
          <c:w val="0.612533373463856"/>
          <c:h val="0.818003334942121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Hardware!#REF!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99FF"/>
            </a:solidFill>
            <a:ln>
              <a:solidFill>
                <a:prstClr val="black"/>
              </a:solidFill>
            </a:ln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1">
                    <a:solidFill>
                      <a:srgbClr val="FFFF00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Hardware!#REF!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7BD-4CFD-AE12-AD95FCE1140B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Hardware!#REF!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0"/>
          <c:order val="1"/>
          <c:tx>
            <c:strRef>
              <c:f>Hardware!$A$1:$A$44</c:f>
              <c:strCache>
                <c:ptCount val="44"/>
                <c:pt idx="0">
                  <c:v>1</c:v>
                </c:pt>
                <c:pt idx="1">
                  <c:v>SPEC Web Site</c:v>
                </c:pt>
                <c:pt idx="2">
                  <c:v>Hardware Platform Selection</c:v>
                </c:pt>
                <c:pt idx="3">
                  <c:v> ==== Intel Desktop Candidates ======</c:v>
                </c:pt>
                <c:pt idx="4">
                  <c:v> ==== 2018 Desktop Platforms ====</c:v>
                </c:pt>
                <c:pt idx="5">
                  <c:v>Xeon Gold 5122 4 core (1 chip) 3600 MHz</c:v>
                </c:pt>
                <c:pt idx="6">
                  <c:v>Xeon E3-1280v6 4 core (1 chip) 3900 MHz</c:v>
                </c:pt>
                <c:pt idx="7">
                  <c:v>Xeon E3-1270v6 4 core (1 chip) 3800 MHz</c:v>
                </c:pt>
                <c:pt idx="8">
                  <c:v> ==== 2017 Desktop Platforms ====</c:v>
                </c:pt>
                <c:pt idx="9">
                  <c:v>Xeon Gold 5122 4 core (1 chip) 3600 MHz</c:v>
                </c:pt>
                <c:pt idx="10">
                  <c:v>Xeon E3-1280v6 4 core (1 chip) 3900 MHz</c:v>
                </c:pt>
                <c:pt idx="11">
                  <c:v>Xeon E3-1270v6 4 core (1 chip) 3800 MHz</c:v>
                </c:pt>
                <c:pt idx="12">
                  <c:v>Xeon E3-1240v6 4 core (1 chip) 3700 MHz</c:v>
                </c:pt>
                <c:pt idx="13">
                  <c:v>Xeon E3-1230v6 4 core (1 chip) 3500 MHz</c:v>
                </c:pt>
                <c:pt idx="14">
                  <c:v> ==== 2016 Desktop Platforms ====</c:v>
                </c:pt>
                <c:pt idx="15">
                  <c:v>Intel Core i7-6700K 4 core (1 chip) 4000 MHz</c:v>
                </c:pt>
                <c:pt idx="16">
                  <c:v>Intel Core i7-6700 4 core (1 chip) 3400 MHz</c:v>
                </c:pt>
                <c:pt idx="17">
                  <c:v>Intel Core i7-5960X 8 core (1 chip) 4400 MHz</c:v>
                </c:pt>
                <c:pt idx="18">
                  <c:v>Intel E3-1270v5 4 core (1 chip) 3600 MHz</c:v>
                </c:pt>
                <c:pt idx="19">
                  <c:v>Intel E3-1280v5 4 core (1 chip) 3700 MHz</c:v>
                </c:pt>
                <c:pt idx="20">
                  <c:v> ==== 2015 Desktop Platforms ====</c:v>
                </c:pt>
                <c:pt idx="21">
                  <c:v>Intel i7-5960X 8 core (1 chip) 4400 MHz</c:v>
                </c:pt>
                <c:pt idx="22">
                  <c:v> ==== 2014 Desktop Platforms ====</c:v>
                </c:pt>
                <c:pt idx="23">
                  <c:v>Intel Core i7-4790 4 core (1 chip) 4000 MHz</c:v>
                </c:pt>
                <c:pt idx="24">
                  <c:v>Intel Core i7-4770K 4 core (1 chip) 3500 MHz</c:v>
                </c:pt>
                <c:pt idx="25">
                  <c:v> ==== 2014 Desktop Platforms ====</c:v>
                </c:pt>
                <c:pt idx="26">
                  <c:v>Intel Core i3-4330 2 core (1 chip) 3500 MHz</c:v>
                </c:pt>
                <c:pt idx="27">
                  <c:v>Xeon E3-1270v3 4 core (1 chip) 3500 MHz</c:v>
                </c:pt>
                <c:pt idx="28">
                  <c:v>Intel Core i7-4770 4 core (1 chip) 3400 MHz</c:v>
                </c:pt>
                <c:pt idx="29">
                  <c:v> ==== 2013 Desktop Platforms ====</c:v>
                </c:pt>
                <c:pt idx="30">
                  <c:v>Intel Core i3-4330 2 core (1 chip) 3500 MHz</c:v>
                </c:pt>
                <c:pt idx="31">
                  <c:v>Xeon E3-1280 v3 4 core (1 chip) 3600 MHz</c:v>
                </c:pt>
                <c:pt idx="32">
                  <c:v>Xeon E5-1620 4 core (1 chip) 3600 MHz</c:v>
                </c:pt>
                <c:pt idx="33">
                  <c:v> ==== 2012 Desktop Platforms ====</c:v>
                </c:pt>
                <c:pt idx="34">
                  <c:v>Intel Xeon E5-2637 4 core (2 chip) 3000 MHz</c:v>
                </c:pt>
                <c:pt idx="35">
                  <c:v> ==== 2011 Desktop Platforms ====</c:v>
                </c:pt>
                <c:pt idx="36">
                  <c:v>Intel Core i7-2860QM 4 core (1 chip) 2500 MHz</c:v>
                </c:pt>
                <c:pt idx="37">
                  <c:v>Intel Core i7-2600  4 core (1 chip) 3800 MHz</c:v>
                </c:pt>
                <c:pt idx="38">
                  <c:v>Intel Core i5-2500  4 core (1 chip) 3300 MHz</c:v>
                </c:pt>
                <c:pt idx="39">
                  <c:v>Intel Core i5-2400  4 core (1 chip) 3100 MHz</c:v>
                </c:pt>
                <c:pt idx="40">
                  <c:v>Intel Core i3-2120 2 core (1 chip) 3100 MHz</c:v>
                </c:pt>
                <c:pt idx="41">
                  <c:v> ==== 2010 Desktop Platforms ====</c:v>
                </c:pt>
                <c:pt idx="42">
                  <c:v>Intel Core i5-680  2 core (1 chip) 3333 MHz</c:v>
                </c:pt>
                <c:pt idx="43">
                  <c:v>Intel Xeon X5667 8 core (2 chip) 3067 MHz</c:v>
                </c:pt>
              </c:strCache>
            </c:strRef>
          </c:tx>
          <c:spPr>
            <a:solidFill>
              <a:srgbClr val="FF993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Hardware!$A$45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7BD-4CFD-AE12-AD95FCE1140B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Hardware!#REF!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2095921104"/>
        <c:axId val="-2095917824"/>
      </c:barChart>
      <c:catAx>
        <c:axId val="-209592110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 Narrow" pitchFamily="34" charset="0"/>
                <a:ea typeface="Arial Narrow"/>
                <a:cs typeface="Arial Narrow"/>
              </a:defRPr>
            </a:pPr>
            <a:endParaRPr lang="en-US"/>
          </a:p>
        </c:txPr>
        <c:crossAx val="-2095917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95917824"/>
        <c:scaling>
          <c:orientation val="minMax"/>
          <c:min val="0.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95921104"/>
        <c:crosses val="autoZero"/>
        <c:crossBetween val="between"/>
      </c:valAx>
      <c:spPr>
        <a:solidFill>
          <a:srgbClr val="FFCC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0000000000015" r="0.75000000000001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Server Processing Time (sec)</a:t>
            </a:r>
          </a:p>
        </c:rich>
      </c:tx>
      <c:layout>
        <c:manualLayout>
          <c:xMode val="edge"/>
          <c:yMode val="edge"/>
          <c:x val="0.415879603032458"/>
          <c:y val="0.0023959767266853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88405213435733"/>
          <c:y val="0.193467936114426"/>
          <c:w val="0.557283221447807"/>
          <c:h val="0.69828122064215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PCCalc!$AB$7</c:f>
              <c:strCache>
                <c:ptCount val="1"/>
                <c:pt idx="0">
                  <c:v>2xMed</c:v>
                </c:pt>
              </c:strCache>
            </c:strRef>
          </c:tx>
          <c:spPr>
            <a:solidFill>
              <a:srgbClr val="FFFFCC"/>
            </a:solidFill>
            <a:ln>
              <a:solidFill>
                <a:prstClr val="black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PCCalc!$B$8:$B$14</c:f>
              <c:strCache>
                <c:ptCount val="5"/>
                <c:pt idx="0">
                  <c:v>AGD Citrix ArcMap 2D V 100%Dyn 19x10 ICA DB</c:v>
                </c:pt>
                <c:pt idx="1">
                  <c:v>AGS REST 2D V 100%Dyn 13x7 PNG24 DB</c:v>
                </c:pt>
                <c:pt idx="2">
                  <c:v>AGS REST 2D V 40%Dyn 13x7 PNG24 +$$ DB</c:v>
                </c:pt>
                <c:pt idx="3">
                  <c:v>AGS WMS 2D V 100%Dyn 13x7 PNG24 DB</c:v>
                </c:pt>
                <c:pt idx="4">
                  <c:v>AGS Imagery 2D R 100%Dyn 19x10 JPEG TIFF</c:v>
                </c:pt>
              </c:strCache>
            </c:strRef>
          </c:cat>
          <c:val>
            <c:numRef>
              <c:f>PCCalc!$AB$8:$AB$14</c:f>
              <c:numCache>
                <c:formatCode>0.000</c:formatCode>
                <c:ptCount val="6"/>
                <c:pt idx="0">
                  <c:v>0.72239465098125</c:v>
                </c:pt>
                <c:pt idx="1">
                  <c:v>0.258351277924687</c:v>
                </c:pt>
                <c:pt idx="2">
                  <c:v>0.103340511169875</c:v>
                </c:pt>
                <c:pt idx="3">
                  <c:v>0.395588725914375</c:v>
                </c:pt>
                <c:pt idx="4">
                  <c:v>0.196144284375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BF7-411B-B000-3F261D35678D}"/>
            </c:ext>
          </c:extLst>
        </c:ser>
        <c:ser>
          <c:idx val="3"/>
          <c:order val="1"/>
          <c:tx>
            <c:strRef>
              <c:f>PCCalc!$AA$7</c:f>
              <c:strCache>
                <c:ptCount val="1"/>
                <c:pt idx="0">
                  <c:v>Heavy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PCCalc!$B$8:$B$14</c:f>
              <c:strCache>
                <c:ptCount val="5"/>
                <c:pt idx="0">
                  <c:v>AGD Citrix ArcMap 2D V 100%Dyn 19x10 ICA DB</c:v>
                </c:pt>
                <c:pt idx="1">
                  <c:v>AGS REST 2D V 100%Dyn 13x7 PNG24 DB</c:v>
                </c:pt>
                <c:pt idx="2">
                  <c:v>AGS REST 2D V 40%Dyn 13x7 PNG24 +$$ DB</c:v>
                </c:pt>
                <c:pt idx="3">
                  <c:v>AGS WMS 2D V 100%Dyn 13x7 PNG24 DB</c:v>
                </c:pt>
                <c:pt idx="4">
                  <c:v>AGS Imagery 2D R 100%Dyn 19x10 JPEG TIFF</c:v>
                </c:pt>
              </c:strCache>
            </c:strRef>
          </c:cat>
          <c:val>
            <c:numRef>
              <c:f>PCCalc!$AA$8:$AA$14</c:f>
              <c:numCache>
                <c:formatCode>0.000</c:formatCode>
                <c:ptCount val="6"/>
                <c:pt idx="0">
                  <c:v>0.5423383265625</c:v>
                </c:pt>
                <c:pt idx="1">
                  <c:v>0.193957415859375</c:v>
                </c:pt>
                <c:pt idx="2">
                  <c:v>0.07758296634375</c:v>
                </c:pt>
                <c:pt idx="3">
                  <c:v>0.29698853296875</c:v>
                </c:pt>
                <c:pt idx="4">
                  <c:v>0.14725546875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BF7-411B-B000-3F261D35678D}"/>
            </c:ext>
          </c:extLst>
        </c:ser>
        <c:ser>
          <c:idx val="1"/>
          <c:order val="2"/>
          <c:tx>
            <c:strRef>
              <c:f>PCCalc!$Z$7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prstClr val="black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3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PCCalc!$B$8:$B$14</c:f>
              <c:strCache>
                <c:ptCount val="5"/>
                <c:pt idx="0">
                  <c:v>AGD Citrix ArcMap 2D V 100%Dyn 19x10 ICA DB</c:v>
                </c:pt>
                <c:pt idx="1">
                  <c:v>AGS REST 2D V 100%Dyn 13x7 PNG24 DB</c:v>
                </c:pt>
                <c:pt idx="2">
                  <c:v>AGS REST 2D V 40%Dyn 13x7 PNG24 +$$ DB</c:v>
                </c:pt>
                <c:pt idx="3">
                  <c:v>AGS WMS 2D V 100%Dyn 13x7 PNG24 DB</c:v>
                </c:pt>
                <c:pt idx="4">
                  <c:v>AGS Imagery 2D R 100%Dyn 19x10 JPEG TIFF</c:v>
                </c:pt>
              </c:strCache>
            </c:strRef>
          </c:cat>
          <c:val>
            <c:numRef>
              <c:f>PCCalc!$Z$8:$Z$14</c:f>
              <c:numCache>
                <c:formatCode>0.000</c:formatCode>
                <c:ptCount val="6"/>
                <c:pt idx="0">
                  <c:v>0.361197325490625</c:v>
                </c:pt>
                <c:pt idx="1">
                  <c:v>0.129175638962344</c:v>
                </c:pt>
                <c:pt idx="2">
                  <c:v>0.0516702555849375</c:v>
                </c:pt>
                <c:pt idx="3">
                  <c:v>0.197794362957187</c:v>
                </c:pt>
                <c:pt idx="4">
                  <c:v>0.0980721421875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BF7-411B-B000-3F261D35678D}"/>
            </c:ext>
          </c:extLst>
        </c:ser>
        <c:ser>
          <c:idx val="0"/>
          <c:order val="3"/>
          <c:tx>
            <c:strRef>
              <c:f>Hardware!$A$1:$A$44</c:f>
              <c:strCache>
                <c:ptCount val="44"/>
                <c:pt idx="0">
                  <c:v>1</c:v>
                </c:pt>
                <c:pt idx="1">
                  <c:v>SPEC Web Site</c:v>
                </c:pt>
                <c:pt idx="2">
                  <c:v>Hardware Platform Selection</c:v>
                </c:pt>
                <c:pt idx="3">
                  <c:v> ==== Intel Desktop Candidates ======</c:v>
                </c:pt>
                <c:pt idx="4">
                  <c:v> ==== 2018 Desktop Platforms ====</c:v>
                </c:pt>
                <c:pt idx="5">
                  <c:v>Xeon Gold 5122 4 core (1 chip) 3600 MHz</c:v>
                </c:pt>
                <c:pt idx="6">
                  <c:v>Xeon E3-1280v6 4 core (1 chip) 3900 MHz</c:v>
                </c:pt>
                <c:pt idx="7">
                  <c:v>Xeon E3-1270v6 4 core (1 chip) 3800 MHz</c:v>
                </c:pt>
                <c:pt idx="8">
                  <c:v> ==== 2017 Desktop Platforms ====</c:v>
                </c:pt>
                <c:pt idx="9">
                  <c:v>Xeon Gold 5122 4 core (1 chip) 3600 MHz</c:v>
                </c:pt>
                <c:pt idx="10">
                  <c:v>Xeon E3-1280v6 4 core (1 chip) 3900 MHz</c:v>
                </c:pt>
                <c:pt idx="11">
                  <c:v>Xeon E3-1270v6 4 core (1 chip) 3800 MHz</c:v>
                </c:pt>
                <c:pt idx="12">
                  <c:v>Xeon E3-1240v6 4 core (1 chip) 3700 MHz</c:v>
                </c:pt>
                <c:pt idx="13">
                  <c:v>Xeon E3-1230v6 4 core (1 chip) 3500 MHz</c:v>
                </c:pt>
                <c:pt idx="14">
                  <c:v> ==== 2016 Desktop Platforms ====</c:v>
                </c:pt>
                <c:pt idx="15">
                  <c:v>Intel Core i7-6700K 4 core (1 chip) 4000 MHz</c:v>
                </c:pt>
                <c:pt idx="16">
                  <c:v>Intel Core i7-6700 4 core (1 chip) 3400 MHz</c:v>
                </c:pt>
                <c:pt idx="17">
                  <c:v>Intel Core i7-5960X 8 core (1 chip) 4400 MHz</c:v>
                </c:pt>
                <c:pt idx="18">
                  <c:v>Intel E3-1270v5 4 core (1 chip) 3600 MHz</c:v>
                </c:pt>
                <c:pt idx="19">
                  <c:v>Intel E3-1280v5 4 core (1 chip) 3700 MHz</c:v>
                </c:pt>
                <c:pt idx="20">
                  <c:v> ==== 2015 Desktop Platforms ====</c:v>
                </c:pt>
                <c:pt idx="21">
                  <c:v>Intel i7-5960X 8 core (1 chip) 4400 MHz</c:v>
                </c:pt>
                <c:pt idx="22">
                  <c:v> ==== 2014 Desktop Platforms ====</c:v>
                </c:pt>
                <c:pt idx="23">
                  <c:v>Intel Core i7-4790 4 core (1 chip) 4000 MHz</c:v>
                </c:pt>
                <c:pt idx="24">
                  <c:v>Intel Core i7-4770K 4 core (1 chip) 3500 MHz</c:v>
                </c:pt>
                <c:pt idx="25">
                  <c:v> ==== 2014 Desktop Platforms ====</c:v>
                </c:pt>
                <c:pt idx="26">
                  <c:v>Intel Core i3-4330 2 core (1 chip) 3500 MHz</c:v>
                </c:pt>
                <c:pt idx="27">
                  <c:v>Xeon E3-1270v3 4 core (1 chip) 3500 MHz</c:v>
                </c:pt>
                <c:pt idx="28">
                  <c:v>Intel Core i7-4770 4 core (1 chip) 3400 MHz</c:v>
                </c:pt>
                <c:pt idx="29">
                  <c:v> ==== 2013 Desktop Platforms ====</c:v>
                </c:pt>
                <c:pt idx="30">
                  <c:v>Intel Core i3-4330 2 core (1 chip) 3500 MHz</c:v>
                </c:pt>
                <c:pt idx="31">
                  <c:v>Xeon E3-1280 v3 4 core (1 chip) 3600 MHz</c:v>
                </c:pt>
                <c:pt idx="32">
                  <c:v>Xeon E5-1620 4 core (1 chip) 3600 MHz</c:v>
                </c:pt>
                <c:pt idx="33">
                  <c:v> ==== 2012 Desktop Platforms ====</c:v>
                </c:pt>
                <c:pt idx="34">
                  <c:v>Intel Xeon E5-2637 4 core (2 chip) 3000 MHz</c:v>
                </c:pt>
                <c:pt idx="35">
                  <c:v> ==== 2011 Desktop Platforms ====</c:v>
                </c:pt>
                <c:pt idx="36">
                  <c:v>Intel Core i7-2860QM 4 core (1 chip) 2500 MHz</c:v>
                </c:pt>
                <c:pt idx="37">
                  <c:v>Intel Core i7-2600  4 core (1 chip) 3800 MHz</c:v>
                </c:pt>
                <c:pt idx="38">
                  <c:v>Intel Core i5-2500  4 core (1 chip) 3300 MHz</c:v>
                </c:pt>
                <c:pt idx="39">
                  <c:v>Intel Core i5-2400  4 core (1 chip) 3100 MHz</c:v>
                </c:pt>
                <c:pt idx="40">
                  <c:v>Intel Core i3-2120 2 core (1 chip) 3100 MHz</c:v>
                </c:pt>
                <c:pt idx="41">
                  <c:v> ==== 2010 Desktop Platforms ====</c:v>
                </c:pt>
                <c:pt idx="42">
                  <c:v>Intel Core i5-680  2 core (1 chip) 3333 MHz</c:v>
                </c:pt>
                <c:pt idx="43">
                  <c:v>Intel Xeon X5667 8 core (2 chip) 3067 MHz</c:v>
                </c:pt>
              </c:strCache>
            </c:strRef>
          </c:tx>
          <c:spPr>
            <a:solidFill>
              <a:srgbClr val="FF993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PCCalc!$B$8:$B$14</c:f>
              <c:strCache>
                <c:ptCount val="5"/>
                <c:pt idx="0">
                  <c:v>AGD Citrix ArcMap 2D V 100%Dyn 19x10 ICA DB</c:v>
                </c:pt>
                <c:pt idx="1">
                  <c:v>AGS REST 2D V 100%Dyn 13x7 PNG24 DB</c:v>
                </c:pt>
                <c:pt idx="2">
                  <c:v>AGS REST 2D V 40%Dyn 13x7 PNG24 +$$ DB</c:v>
                </c:pt>
                <c:pt idx="3">
                  <c:v>AGS WMS 2D V 100%Dyn 13x7 PNG24 DB</c:v>
                </c:pt>
                <c:pt idx="4">
                  <c:v>AGS Imagery 2D R 100%Dyn 19x10 JPEG TIFF</c:v>
                </c:pt>
              </c:strCache>
            </c:strRef>
          </c:cat>
          <c:val>
            <c:numRef>
              <c:f>Hardware!$A$45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BF7-411B-B000-3F261D356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2095393680"/>
        <c:axId val="-2095390320"/>
      </c:barChart>
      <c:catAx>
        <c:axId val="-20953936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95390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95390320"/>
        <c:scaling>
          <c:orientation val="minMax"/>
          <c:min val="0.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95393680"/>
        <c:crosses val="autoZero"/>
        <c:crossBetween val="between"/>
      </c:valAx>
      <c:spPr>
        <a:solidFill>
          <a:srgbClr val="FFCC99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0645353880121"/>
          <c:y val="0.801109336857368"/>
          <c:w val="0.195451653195048"/>
          <c:h val="0.0763578477880261"/>
        </c:manualLayout>
      </c:layout>
      <c:overlay val="0"/>
      <c:spPr>
        <a:solidFill>
          <a:srgbClr val="FFCC99"/>
        </a:solidFill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0000000000015" r="0.75000000000001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 Narrow" pitchFamily="34" charset="0"/>
                <a:ea typeface="Calibri"/>
                <a:cs typeface="Calibri"/>
              </a:defRPr>
            </a:pPr>
            <a:r>
              <a:rPr lang="en-US" sz="1400">
                <a:latin typeface="Arial Narrow" pitchFamily="34" charset="0"/>
              </a:rPr>
              <a:t>Platform Capacity</a:t>
            </a:r>
          </a:p>
        </c:rich>
      </c:tx>
      <c:layout>
        <c:manualLayout>
          <c:xMode val="edge"/>
          <c:yMode val="edge"/>
          <c:x val="0.468046108797428"/>
          <c:y val="0.023345724907063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21269312640489"/>
          <c:y val="0.193774100271364"/>
          <c:w val="0.639808225171172"/>
          <c:h val="0.763219360291828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PCCalc!$C$7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solidFill>
                <a:prstClr val="black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Narrow" pitchFamily="34" charset="0"/>
                    <a:ea typeface="Calibri"/>
                    <a:cs typeface="Arial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PCCalc!$B$8:$B$14</c:f>
              <c:strCache>
                <c:ptCount val="5"/>
                <c:pt idx="0">
                  <c:v>AGD Citrix ArcMap 2D V 100%Dyn 19x10 ICA DB</c:v>
                </c:pt>
                <c:pt idx="1">
                  <c:v>AGS REST 2D V 100%Dyn 13x7 PNG24 DB</c:v>
                </c:pt>
                <c:pt idx="2">
                  <c:v>AGS REST 2D V 40%Dyn 13x7 PNG24 +$$ DB</c:v>
                </c:pt>
                <c:pt idx="3">
                  <c:v>AGS WMS 2D V 100%Dyn 13x7 PNG24 DB</c:v>
                </c:pt>
                <c:pt idx="4">
                  <c:v>AGS Imagery 2D R 100%Dyn 19x10 JPEG TIFF</c:v>
                </c:pt>
              </c:strCache>
            </c:strRef>
          </c:cat>
          <c:val>
            <c:numRef>
              <c:f>PCCalc!$C$8:$C$14</c:f>
              <c:numCache>
                <c:formatCode>#,##0</c:formatCode>
                <c:ptCount val="6"/>
                <c:pt idx="0">
                  <c:v>50.10363039846766</c:v>
                </c:pt>
                <c:pt idx="1">
                  <c:v>221.6265119761622</c:v>
                </c:pt>
                <c:pt idx="2">
                  <c:v>514.8077681172456</c:v>
                </c:pt>
                <c:pt idx="3">
                  <c:v>147.3385697583436</c:v>
                </c:pt>
                <c:pt idx="4">
                  <c:v>287.28314433921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854-40A6-8332-6A9B0169305F}"/>
            </c:ext>
          </c:extLst>
        </c:ser>
        <c:ser>
          <c:idx val="2"/>
          <c:order val="1"/>
          <c:tx>
            <c:strRef>
              <c:f>PCCalc!$D$7</c:f>
              <c:strCache>
                <c:ptCount val="1"/>
                <c:pt idx="0">
                  <c:v>Heavy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PCCalc!$B$8:$B$14</c:f>
              <c:strCache>
                <c:ptCount val="5"/>
                <c:pt idx="0">
                  <c:v>AGD Citrix ArcMap 2D V 100%Dyn 19x10 ICA DB</c:v>
                </c:pt>
                <c:pt idx="1">
                  <c:v>AGS REST 2D V 100%Dyn 13x7 PNG24 DB</c:v>
                </c:pt>
                <c:pt idx="2">
                  <c:v>AGS REST 2D V 40%Dyn 13x7 PNG24 +$$ DB</c:v>
                </c:pt>
                <c:pt idx="3">
                  <c:v>AGS WMS 2D V 100%Dyn 13x7 PNG24 DB</c:v>
                </c:pt>
                <c:pt idx="4">
                  <c:v>AGS Imagery 2D R 100%Dyn 19x10 JPEG TIFF</c:v>
                </c:pt>
              </c:strCache>
            </c:strRef>
          </c:cat>
          <c:val>
            <c:numRef>
              <c:f>PCCalc!$D$8:$D$14</c:f>
              <c:numCache>
                <c:formatCode>#,##0</c:formatCode>
                <c:ptCount val="6"/>
                <c:pt idx="0">
                  <c:v>33.36901784537946</c:v>
                </c:pt>
                <c:pt idx="1">
                  <c:v>150.1528898137851</c:v>
                </c:pt>
                <c:pt idx="2">
                  <c:v>356.9407010080891</c:v>
                </c:pt>
                <c:pt idx="3">
                  <c:v>99.24785316982217</c:v>
                </c:pt>
                <c:pt idx="4">
                  <c:v>195.636659358322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854-40A6-8332-6A9B0169305F}"/>
            </c:ext>
          </c:extLst>
        </c:ser>
        <c:ser>
          <c:idx val="0"/>
          <c:order val="2"/>
          <c:tx>
            <c:strRef>
              <c:f>PCCalc!$E$7</c:f>
              <c:strCache>
                <c:ptCount val="1"/>
                <c:pt idx="0">
                  <c:v>2Med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Narrow" pitchFamily="34" charset="0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PCCalc!$B$8:$B$14</c:f>
              <c:strCache>
                <c:ptCount val="5"/>
                <c:pt idx="0">
                  <c:v>AGD Citrix ArcMap 2D V 100%Dyn 19x10 ICA DB</c:v>
                </c:pt>
                <c:pt idx="1">
                  <c:v>AGS REST 2D V 100%Dyn 13x7 PNG24 DB</c:v>
                </c:pt>
                <c:pt idx="2">
                  <c:v>AGS REST 2D V 40%Dyn 13x7 PNG24 +$$ DB</c:v>
                </c:pt>
                <c:pt idx="3">
                  <c:v>AGS WMS 2D V 100%Dyn 13x7 PNG24 DB</c:v>
                </c:pt>
                <c:pt idx="4">
                  <c:v>AGS Imagery 2D R 100%Dyn 19x10 JPEG TIFF</c:v>
                </c:pt>
              </c:strCache>
            </c:strRef>
          </c:cat>
          <c:val>
            <c:numRef>
              <c:f>PCCalc!$E$8:$E$14</c:f>
              <c:numCache>
                <c:formatCode>#,##0</c:formatCode>
                <c:ptCount val="6"/>
                <c:pt idx="0">
                  <c:v>25.05181519923383</c:v>
                </c:pt>
                <c:pt idx="1">
                  <c:v>113.703546501097</c:v>
                </c:pt>
                <c:pt idx="2">
                  <c:v>273.5563038723493</c:v>
                </c:pt>
                <c:pt idx="3">
                  <c:v>74.93562556968176</c:v>
                </c:pt>
                <c:pt idx="4">
                  <c:v>148.5358335380176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854-40A6-8332-6A9B01693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19"/>
        <c:axId val="-2088651264"/>
        <c:axId val="-2088648576"/>
      </c:barChart>
      <c:catAx>
        <c:axId val="-208865126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 pitchFamily="34" charset="0"/>
                <a:ea typeface="Calibri"/>
                <a:cs typeface="Calibri"/>
              </a:defRPr>
            </a:pPr>
            <a:endParaRPr lang="en-US"/>
          </a:p>
        </c:txPr>
        <c:crossAx val="-2088648576"/>
        <c:crosses val="autoZero"/>
        <c:auto val="1"/>
        <c:lblAlgn val="ctr"/>
        <c:lblOffset val="100"/>
        <c:noMultiLvlLbl val="0"/>
      </c:catAx>
      <c:valAx>
        <c:axId val="-2088648576"/>
        <c:scaling>
          <c:orientation val="minMax"/>
        </c:scaling>
        <c:delete val="0"/>
        <c:axPos val="t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en-US"/>
          </a:p>
        </c:txPr>
        <c:crossAx val="-2088651264"/>
        <c:crosses val="autoZero"/>
        <c:crossBetween val="between"/>
      </c:valAx>
      <c:spPr>
        <a:solidFill>
          <a:srgbClr val="FFCC99"/>
        </a:solidFill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28655374912668"/>
          <c:y val="0.866824771903512"/>
          <c:w val="0.195516332615803"/>
          <c:h val="0.0751305915130468"/>
        </c:manualLayout>
      </c:layout>
      <c:overlay val="0"/>
      <c:spPr>
        <a:solidFill>
          <a:srgbClr val="FFCC99"/>
        </a:solidFill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 Narrow" pitchFamily="34" charset="0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8" l="0.700000000000001" r="0.700000000000001" t="0.750000000000008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Workflow Performance Summary</a:t>
            </a:r>
          </a:p>
        </c:rich>
      </c:tx>
      <c:layout>
        <c:manualLayout>
          <c:xMode val="edge"/>
          <c:yMode val="edge"/>
          <c:x val="0.184115523465704"/>
          <c:y val="0.0401606425702811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453130763027"/>
          <c:y val="0.155231887880047"/>
          <c:w val="0.452374389174289"/>
          <c:h val="0.5593037712391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Calculator!$AO$2</c:f>
              <c:strCache>
                <c:ptCount val="1"/>
                <c:pt idx="0">
                  <c:v>SDE GDB</c:v>
                </c:pt>
              </c:strCache>
            </c:strRef>
          </c:tx>
          <c:spPr>
            <a:solidFill>
              <a:srgbClr val="FF9900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Calculator!$AN$3:$AN$5</c:f>
              <c:strCache>
                <c:ptCount val="3"/>
                <c:pt idx="0">
                  <c:v>Local Client</c:v>
                </c:pt>
                <c:pt idx="1">
                  <c:v>Remote site 1</c:v>
                </c:pt>
                <c:pt idx="2">
                  <c:v>Remote site 2</c:v>
                </c:pt>
              </c:strCache>
            </c:strRef>
          </c:cat>
          <c:val>
            <c:numRef>
              <c:f>Calculator!$AO$3:$AO$5</c:f>
              <c:numCache>
                <c:formatCode>0.000</c:formatCode>
                <c:ptCount val="3"/>
                <c:pt idx="0">
                  <c:v>0.030037669469086</c:v>
                </c:pt>
                <c:pt idx="1">
                  <c:v>0.030037669469086</c:v>
                </c:pt>
                <c:pt idx="2">
                  <c:v>0.030037669469086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65A-4487-8A0C-7F0953980024}"/>
            </c:ext>
          </c:extLst>
        </c:ser>
        <c:ser>
          <c:idx val="1"/>
          <c:order val="1"/>
          <c:tx>
            <c:strRef>
              <c:f>Calculator!$AP$2</c:f>
              <c:strCache>
                <c:ptCount val="1"/>
                <c:pt idx="0">
                  <c:v>SDE GDBQ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Calculator!$AN$3:$AN$5</c:f>
              <c:strCache>
                <c:ptCount val="3"/>
                <c:pt idx="0">
                  <c:v>Local Client</c:v>
                </c:pt>
                <c:pt idx="1">
                  <c:v>Remote site 1</c:v>
                </c:pt>
                <c:pt idx="2">
                  <c:v>Remote site 2</c:v>
                </c:pt>
              </c:strCache>
            </c:strRef>
          </c:cat>
          <c:val>
            <c:numRef>
              <c:f>Calculator!$AP$3:$AP$5</c:f>
              <c:numCache>
                <c:formatCode>0.000</c:formatCode>
                <c:ptCount val="3"/>
                <c:pt idx="0">
                  <c:v>0.00486976599174511</c:v>
                </c:pt>
                <c:pt idx="1">
                  <c:v>0.00486976599174511</c:v>
                </c:pt>
                <c:pt idx="2">
                  <c:v>0.00486976599174511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65A-4487-8A0C-7F0953980024}"/>
            </c:ext>
          </c:extLst>
        </c:ser>
        <c:ser>
          <c:idx val="2"/>
          <c:order val="2"/>
          <c:tx>
            <c:strRef>
              <c:f>Calculator!$AQ$2</c:f>
              <c:strCache>
                <c:ptCount val="1"/>
                <c:pt idx="0">
                  <c:v>SOC</c:v>
                </c:pt>
              </c:strCache>
            </c:strRef>
          </c:tx>
          <c:spPr>
            <a:solidFill>
              <a:srgbClr val="0000CC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Calculator!$AN$3:$AN$5</c:f>
              <c:strCache>
                <c:ptCount val="3"/>
                <c:pt idx="0">
                  <c:v>Local Client</c:v>
                </c:pt>
                <c:pt idx="1">
                  <c:v>Remote site 1</c:v>
                </c:pt>
                <c:pt idx="2">
                  <c:v>Remote site 2</c:v>
                </c:pt>
              </c:strCache>
            </c:strRef>
          </c:cat>
          <c:val>
            <c:numRef>
              <c:f>Calculator!$AQ$3:$AQ$5</c:f>
              <c:numCache>
                <c:formatCode>0.000</c:formatCode>
                <c:ptCount val="3"/>
                <c:pt idx="0">
                  <c:v>0.175737940188172</c:v>
                </c:pt>
                <c:pt idx="1">
                  <c:v>0.175737940188172</c:v>
                </c:pt>
                <c:pt idx="2">
                  <c:v>0.175737940188172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65A-4487-8A0C-7F0953980024}"/>
            </c:ext>
          </c:extLst>
        </c:ser>
        <c:ser>
          <c:idx val="3"/>
          <c:order val="3"/>
          <c:tx>
            <c:strRef>
              <c:f>Calculator!$AR$2</c:f>
              <c:strCache>
                <c:ptCount val="1"/>
                <c:pt idx="0">
                  <c:v>SOCQ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Calculator!$AN$3:$AN$5</c:f>
              <c:strCache>
                <c:ptCount val="3"/>
                <c:pt idx="0">
                  <c:v>Local Client</c:v>
                </c:pt>
                <c:pt idx="1">
                  <c:v>Remote site 1</c:v>
                </c:pt>
                <c:pt idx="2">
                  <c:v>Remote site 2</c:v>
                </c:pt>
              </c:strCache>
            </c:strRef>
          </c:cat>
          <c:val>
            <c:numRef>
              <c:f>Calculator!$AR$3:$AR$5</c:f>
              <c:numCache>
                <c:formatCode>0.000</c:formatCode>
                <c:ptCount val="3"/>
                <c:pt idx="0">
                  <c:v>0.0971894246132143</c:v>
                </c:pt>
                <c:pt idx="1">
                  <c:v>0.0971894246132143</c:v>
                </c:pt>
                <c:pt idx="2">
                  <c:v>0.0971894246132143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65A-4487-8A0C-7F0953980024}"/>
            </c:ext>
          </c:extLst>
        </c:ser>
        <c:ser>
          <c:idx val="4"/>
          <c:order val="4"/>
          <c:tx>
            <c:strRef>
              <c:f>Calculator!$AS$2</c:f>
              <c:strCache>
                <c:ptCount val="1"/>
                <c:pt idx="0">
                  <c:v>Web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Calculator!$AN$3:$AN$5</c:f>
              <c:strCache>
                <c:ptCount val="3"/>
                <c:pt idx="0">
                  <c:v>Local Client</c:v>
                </c:pt>
                <c:pt idx="1">
                  <c:v>Remote site 1</c:v>
                </c:pt>
                <c:pt idx="2">
                  <c:v>Remote site 2</c:v>
                </c:pt>
              </c:strCache>
            </c:strRef>
          </c:cat>
          <c:val>
            <c:numRef>
              <c:f>Calculator!$AS$3:$AS$5</c:f>
              <c:numCache>
                <c:formatCode>0.000</c:formatCode>
                <c:ptCount val="3"/>
                <c:pt idx="0">
                  <c:v>0.00734050179211469</c:v>
                </c:pt>
                <c:pt idx="1">
                  <c:v>0.00734050179211469</c:v>
                </c:pt>
                <c:pt idx="2">
                  <c:v>0.00734050179211469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65A-4487-8A0C-7F0953980024}"/>
            </c:ext>
          </c:extLst>
        </c:ser>
        <c:ser>
          <c:idx val="5"/>
          <c:order val="5"/>
          <c:tx>
            <c:strRef>
              <c:f>Calculator!$AT$2</c:f>
              <c:strCache>
                <c:ptCount val="1"/>
                <c:pt idx="0">
                  <c:v>WebQ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Calculator!$AN$3:$AN$5</c:f>
              <c:strCache>
                <c:ptCount val="3"/>
                <c:pt idx="0">
                  <c:v>Local Client</c:v>
                </c:pt>
                <c:pt idx="1">
                  <c:v>Remote site 1</c:v>
                </c:pt>
                <c:pt idx="2">
                  <c:v>Remote site 2</c:v>
                </c:pt>
              </c:strCache>
            </c:strRef>
          </c:cat>
          <c:val>
            <c:numRef>
              <c:f>Calculator!$AT$3:$AT$5</c:f>
              <c:numCache>
                <c:formatCode>0.000</c:formatCode>
                <c:ptCount val="3"/>
                <c:pt idx="0">
                  <c:v>0.000341987176002731</c:v>
                </c:pt>
                <c:pt idx="1">
                  <c:v>0.000341987176002731</c:v>
                </c:pt>
                <c:pt idx="2">
                  <c:v>0.000341987176002731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65A-4487-8A0C-7F0953980024}"/>
            </c:ext>
          </c:extLst>
        </c:ser>
        <c:ser>
          <c:idx val="6"/>
          <c:order val="6"/>
          <c:tx>
            <c:strRef>
              <c:f>Calculator!$AU$2</c:f>
              <c:strCache>
                <c:ptCount val="1"/>
                <c:pt idx="0">
                  <c:v>Network 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Calculator!$AN$3:$AN$5</c:f>
              <c:strCache>
                <c:ptCount val="3"/>
                <c:pt idx="0">
                  <c:v>Local Client</c:v>
                </c:pt>
                <c:pt idx="1">
                  <c:v>Remote site 1</c:v>
                </c:pt>
                <c:pt idx="2">
                  <c:v>Remote site 2</c:v>
                </c:pt>
              </c:strCache>
            </c:strRef>
          </c:cat>
          <c:val>
            <c:numRef>
              <c:f>Calculator!$AU$3:$AU$5</c:f>
              <c:numCache>
                <c:formatCode>0.000</c:formatCode>
                <c:ptCount val="3"/>
                <c:pt idx="0">
                  <c:v>0.021</c:v>
                </c:pt>
                <c:pt idx="1">
                  <c:v>0.024</c:v>
                </c:pt>
                <c:pt idx="2">
                  <c:v>0.237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65A-4487-8A0C-7F0953980024}"/>
            </c:ext>
          </c:extLst>
        </c:ser>
        <c:ser>
          <c:idx val="7"/>
          <c:order val="7"/>
          <c:tx>
            <c:strRef>
              <c:f>Calculator!$AV$2</c:f>
              <c:strCache>
                <c:ptCount val="1"/>
                <c:pt idx="0">
                  <c:v>Network Q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Calculator!$AN$3:$AN$5</c:f>
              <c:strCache>
                <c:ptCount val="3"/>
                <c:pt idx="0">
                  <c:v>Local Client</c:v>
                </c:pt>
                <c:pt idx="1">
                  <c:v>Remote site 1</c:v>
                </c:pt>
                <c:pt idx="2">
                  <c:v>Remote site 2</c:v>
                </c:pt>
              </c:strCache>
            </c:strRef>
          </c:cat>
          <c:val>
            <c:numRef>
              <c:f>Calculator!$AV$3:$AV$5</c:f>
              <c:numCache>
                <c:formatCode>0.000</c:formatCode>
                <c:ptCount val="3"/>
                <c:pt idx="0">
                  <c:v>4.47302029364577E-5</c:v>
                </c:pt>
                <c:pt idx="1">
                  <c:v>0.000568318321406468</c:v>
                </c:pt>
                <c:pt idx="2">
                  <c:v>0.00561214342388887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B65A-4487-8A0C-7F0953980024}"/>
            </c:ext>
          </c:extLst>
        </c:ser>
        <c:ser>
          <c:idx val="8"/>
          <c:order val="8"/>
          <c:tx>
            <c:strRef>
              <c:f>Calculator!$AW$2</c:f>
              <c:strCache>
                <c:ptCount val="1"/>
                <c:pt idx="0">
                  <c:v>Latency</c:v>
                </c:pt>
              </c:strCache>
            </c:strRef>
          </c:tx>
          <c:spPr>
            <a:solidFill>
              <a:srgbClr val="FF99F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Calculator!$AN$3:$AN$5</c:f>
              <c:strCache>
                <c:ptCount val="3"/>
                <c:pt idx="0">
                  <c:v>Local Client</c:v>
                </c:pt>
                <c:pt idx="1">
                  <c:v>Remote site 1</c:v>
                </c:pt>
                <c:pt idx="2">
                  <c:v>Remote site 2</c:v>
                </c:pt>
              </c:strCache>
            </c:strRef>
          </c:cat>
          <c:val>
            <c:numRef>
              <c:f>Calculator!$AW$3:$AW$5</c:f>
              <c:numCache>
                <c:formatCode>#,##0.000</c:formatCode>
                <c:ptCount val="3"/>
                <c:pt idx="0" formatCode="General">
                  <c:v>0.0</c:v>
                </c:pt>
                <c:pt idx="1">
                  <c:v>0.1</c:v>
                </c:pt>
                <c:pt idx="2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B65A-4487-8A0C-7F0953980024}"/>
            </c:ext>
          </c:extLst>
        </c:ser>
        <c:ser>
          <c:idx val="9"/>
          <c:order val="9"/>
          <c:tx>
            <c:strRef>
              <c:f>Calculator!$AX$2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rgbClr val="990033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Calculator!$AN$3:$AN$5</c:f>
              <c:strCache>
                <c:ptCount val="3"/>
                <c:pt idx="0">
                  <c:v>Local Client</c:v>
                </c:pt>
                <c:pt idx="1">
                  <c:v>Remote site 1</c:v>
                </c:pt>
                <c:pt idx="2">
                  <c:v>Remote site 2</c:v>
                </c:pt>
              </c:strCache>
            </c:strRef>
          </c:cat>
          <c:val>
            <c:numRef>
              <c:f>Calculator!$AX$3:$AX$5</c:f>
              <c:numCache>
                <c:formatCode>0.000</c:formatCode>
                <c:ptCount val="3"/>
                <c:pt idx="0">
                  <c:v>0.0248744939271255</c:v>
                </c:pt>
                <c:pt idx="1">
                  <c:v>0.0248744939271255</c:v>
                </c:pt>
                <c:pt idx="2">
                  <c:v>0.0248744939271255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B65A-4487-8A0C-7F0953980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6948208"/>
        <c:axId val="-2086944864"/>
      </c:barChart>
      <c:catAx>
        <c:axId val="-208694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162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86944864"/>
        <c:crosses val="autoZero"/>
        <c:auto val="1"/>
        <c:lblAlgn val="ctr"/>
        <c:lblOffset val="100"/>
        <c:noMultiLvlLbl val="0"/>
      </c:catAx>
      <c:valAx>
        <c:axId val="-2086944864"/>
        <c:scaling>
          <c:orientation val="minMax"/>
          <c:min val="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Performance (sec)</a:t>
                </a:r>
              </a:p>
            </c:rich>
          </c:tx>
          <c:layout>
            <c:manualLayout>
              <c:xMode val="edge"/>
              <c:yMode val="edge"/>
              <c:x val="0.0253302297181157"/>
              <c:y val="0.25042320336440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86948208"/>
        <c:crosses val="autoZero"/>
        <c:crossBetween val="between"/>
      </c:valAx>
      <c:spPr>
        <a:solidFill>
          <a:srgbClr val="FFCC99"/>
        </a:solidFill>
      </c:spPr>
    </c:plotArea>
    <c:legend>
      <c:legendPos val="r"/>
      <c:layout>
        <c:manualLayout>
          <c:xMode val="edge"/>
          <c:yMode val="edge"/>
          <c:x val="0.681638477500789"/>
          <c:y val="0.146705456998598"/>
          <c:w val="0.309198101139888"/>
          <c:h val="0.738205314697114"/>
        </c:manualLayout>
      </c:layout>
      <c:overlay val="0"/>
      <c:spPr>
        <a:ln>
          <a:solidFill>
            <a:srgbClr val="000000"/>
          </a:solidFill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5" l="0.700000000000001" r="0.700000000000001" t="0.75000000000001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Workflow Performance Summary</a:t>
            </a:r>
          </a:p>
        </c:rich>
      </c:tx>
      <c:layout>
        <c:manualLayout>
          <c:xMode val="edge"/>
          <c:yMode val="edge"/>
          <c:x val="0.234465645600914"/>
          <c:y val="0.015311970895724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7643565772841"/>
          <c:y val="0.206497232400405"/>
          <c:w val="0.747122856298897"/>
          <c:h val="0.69035150510492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Design!$Y$4</c:f>
              <c:strCache>
                <c:ptCount val="1"/>
                <c:pt idx="0">
                  <c:v>DBMS</c:v>
                </c:pt>
              </c:strCache>
            </c:strRef>
          </c:tx>
          <c:spPr>
            <a:solidFill>
              <a:srgbClr val="FF993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Design!$Y$5:$Y$19</c:f>
              <c:numCache>
                <c:formatCode>0.000;;;</c:formatCode>
                <c:ptCount val="15"/>
                <c:pt idx="1">
                  <c:v>0.0318615745890496</c:v>
                </c:pt>
                <c:pt idx="2">
                  <c:v>0.0318615745890496</c:v>
                </c:pt>
                <c:pt idx="3">
                  <c:v>0.0218000247188234</c:v>
                </c:pt>
                <c:pt idx="6">
                  <c:v>0.0318615745890496</c:v>
                </c:pt>
                <c:pt idx="7">
                  <c:v>0.0318615745890496</c:v>
                </c:pt>
                <c:pt idx="8">
                  <c:v>0.0218000247188234</c:v>
                </c:pt>
                <c:pt idx="11">
                  <c:v>0.0318615745890496</c:v>
                </c:pt>
                <c:pt idx="12">
                  <c:v>0.0318615745890496</c:v>
                </c:pt>
                <c:pt idx="13">
                  <c:v>0.0218000247188234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EA-4305-9A0C-17D76A5A086A}"/>
            </c:ext>
          </c:extLst>
        </c:ser>
        <c:ser>
          <c:idx val="1"/>
          <c:order val="1"/>
          <c:tx>
            <c:strRef>
              <c:f>Design!$Z$4</c:f>
              <c:strCache>
                <c:ptCount val="1"/>
                <c:pt idx="0">
                  <c:v>DBMSQ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Design!$Z$5:$Z$19</c:f>
              <c:numCache>
                <c:formatCode>0.000;;;</c:formatCode>
                <c:ptCount val="15"/>
                <c:pt idx="1">
                  <c:v>0.000300202596877039</c:v>
                </c:pt>
                <c:pt idx="2">
                  <c:v>0.000300202596877039</c:v>
                </c:pt>
                <c:pt idx="3">
                  <c:v>0.000205401776810605</c:v>
                </c:pt>
                <c:pt idx="6">
                  <c:v>0.000300202596877039</c:v>
                </c:pt>
                <c:pt idx="7">
                  <c:v>0.000300202596877039</c:v>
                </c:pt>
                <c:pt idx="8">
                  <c:v>0.000205401776810605</c:v>
                </c:pt>
                <c:pt idx="11">
                  <c:v>0.000300202596877039</c:v>
                </c:pt>
                <c:pt idx="12">
                  <c:v>0.000300202596877039</c:v>
                </c:pt>
                <c:pt idx="13">
                  <c:v>0.000205401776810605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8EA-4305-9A0C-17D76A5A086A}"/>
            </c:ext>
          </c:extLst>
        </c:ser>
        <c:ser>
          <c:idx val="15"/>
          <c:order val="2"/>
          <c:tx>
            <c:strRef>
              <c:f>Design!$AA$4</c:f>
              <c:strCache>
                <c:ptCount val="1"/>
                <c:pt idx="0">
                  <c:v>GIS</c:v>
                </c:pt>
              </c:strCache>
            </c:strRef>
          </c:tx>
          <c:spPr>
            <a:solidFill>
              <a:srgbClr val="009900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Design!$AA$5:$AA$19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0.19620022246941</c:v>
                </c:pt>
                <c:pt idx="6">
                  <c:v>0.0</c:v>
                </c:pt>
                <c:pt idx="7">
                  <c:v>0.0</c:v>
                </c:pt>
                <c:pt idx="8">
                  <c:v>0.19620022246941</c:v>
                </c:pt>
                <c:pt idx="11">
                  <c:v>0.0</c:v>
                </c:pt>
                <c:pt idx="12">
                  <c:v>0.0</c:v>
                </c:pt>
                <c:pt idx="13">
                  <c:v>0.19620022246941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8EA-4305-9A0C-17D76A5A086A}"/>
            </c:ext>
          </c:extLst>
        </c:ser>
        <c:ser>
          <c:idx val="14"/>
          <c:order val="3"/>
          <c:tx>
            <c:strRef>
              <c:f>Design!$AB$4</c:f>
              <c:strCache>
                <c:ptCount val="1"/>
                <c:pt idx="0">
                  <c:v>GISQ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Design!$AB$5:$AB$19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0.00280632235996568</c:v>
                </c:pt>
                <c:pt idx="6">
                  <c:v>0.0</c:v>
                </c:pt>
                <c:pt idx="7">
                  <c:v>0.0</c:v>
                </c:pt>
                <c:pt idx="8">
                  <c:v>0.00280632235996568</c:v>
                </c:pt>
                <c:pt idx="11">
                  <c:v>0.0</c:v>
                </c:pt>
                <c:pt idx="12">
                  <c:v>0.0</c:v>
                </c:pt>
                <c:pt idx="13">
                  <c:v>0.00280632235996568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8EA-4305-9A0C-17D76A5A086A}"/>
            </c:ext>
          </c:extLst>
        </c:ser>
        <c:ser>
          <c:idx val="2"/>
          <c:order val="4"/>
          <c:tx>
            <c:strRef>
              <c:f>Design!$AC$4</c:f>
              <c:strCache>
                <c:ptCount val="1"/>
                <c:pt idx="0">
                  <c:v>Web</c:v>
                </c:pt>
              </c:strCache>
            </c:strRef>
          </c:tx>
          <c:spPr>
            <a:solidFill>
              <a:srgbClr val="00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Design!$AC$5:$AC$19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0.00872000988752935</c:v>
                </c:pt>
                <c:pt idx="6">
                  <c:v>0.0</c:v>
                </c:pt>
                <c:pt idx="7">
                  <c:v>0.0</c:v>
                </c:pt>
                <c:pt idx="8">
                  <c:v>0.00872000988752935</c:v>
                </c:pt>
                <c:pt idx="11">
                  <c:v>0.0</c:v>
                </c:pt>
                <c:pt idx="12">
                  <c:v>0.0</c:v>
                </c:pt>
                <c:pt idx="13">
                  <c:v>0.00872000988752935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8EA-4305-9A0C-17D76A5A086A}"/>
            </c:ext>
          </c:extLst>
        </c:ser>
        <c:ser>
          <c:idx val="4"/>
          <c:order val="5"/>
          <c:tx>
            <c:strRef>
              <c:f>Design!$AD$4</c:f>
              <c:strCache>
                <c:ptCount val="1"/>
                <c:pt idx="0">
                  <c:v>WebQ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Design!$AD$5:$AD$19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5.6954505832084E-6</c:v>
                </c:pt>
                <c:pt idx="6">
                  <c:v>0.0</c:v>
                </c:pt>
                <c:pt idx="7">
                  <c:v>0.0</c:v>
                </c:pt>
                <c:pt idx="8">
                  <c:v>5.6954505832084E-6</c:v>
                </c:pt>
                <c:pt idx="11">
                  <c:v>0.0</c:v>
                </c:pt>
                <c:pt idx="12">
                  <c:v>0.0</c:v>
                </c:pt>
                <c:pt idx="13">
                  <c:v>5.6954505832084E-6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8EA-4305-9A0C-17D76A5A086A}"/>
            </c:ext>
          </c:extLst>
        </c:ser>
        <c:ser>
          <c:idx val="6"/>
          <c:order val="6"/>
          <c:tx>
            <c:strRef>
              <c:f>Design!$AE$4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Design!$AE$5:$AE$19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8EA-4305-9A0C-17D76A5A086A}"/>
            </c:ext>
          </c:extLst>
        </c:ser>
        <c:ser>
          <c:idx val="7"/>
          <c:order val="7"/>
          <c:tx>
            <c:strRef>
              <c:f>Design!$AF$4</c:f>
              <c:strCache>
                <c:ptCount val="1"/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Design!$AF$5:$AF$19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8EA-4305-9A0C-17D76A5A086A}"/>
            </c:ext>
          </c:extLst>
        </c:ser>
        <c:ser>
          <c:idx val="23"/>
          <c:order val="8"/>
          <c:tx>
            <c:strRef>
              <c:f>Design!$AG$4</c:f>
              <c:strCache>
                <c:ptCount val="1"/>
                <c:pt idx="0">
                  <c:v>WTS</c:v>
                </c:pt>
              </c:strCache>
            </c:strRef>
          </c:tx>
          <c:spPr>
            <a:solidFill>
              <a:srgbClr val="0000CC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Design!$AG$5:$AG$19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0.286754171301446</c:v>
                </c:pt>
                <c:pt idx="7">
                  <c:v>0.286754171301446</c:v>
                </c:pt>
                <c:pt idx="8">
                  <c:v>0.0</c:v>
                </c:pt>
                <c:pt idx="11">
                  <c:v>0.286754171301446</c:v>
                </c:pt>
                <c:pt idx="12">
                  <c:v>0.286754171301446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8EA-4305-9A0C-17D76A5A086A}"/>
            </c:ext>
          </c:extLst>
        </c:ser>
        <c:ser>
          <c:idx val="22"/>
          <c:order val="9"/>
          <c:tx>
            <c:strRef>
              <c:f>Design!$AH$4</c:f>
              <c:strCache>
                <c:ptCount val="1"/>
                <c:pt idx="0">
                  <c:v>WTSQ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Design!$AH$5:$AH$19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0.0125877205449407</c:v>
                </c:pt>
                <c:pt idx="7">
                  <c:v>0.0125877205449407</c:v>
                </c:pt>
                <c:pt idx="8">
                  <c:v>0.0</c:v>
                </c:pt>
                <c:pt idx="11">
                  <c:v>0.0125877205449407</c:v>
                </c:pt>
                <c:pt idx="12">
                  <c:v>0.0125877205449407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8EA-4305-9A0C-17D76A5A086A}"/>
            </c:ext>
          </c:extLst>
        </c:ser>
        <c:ser>
          <c:idx val="31"/>
          <c:order val="10"/>
          <c:tx>
            <c:strRef>
              <c:f>Design!$AI$4</c:f>
              <c:strCache>
                <c:ptCount val="1"/>
              </c:strCache>
            </c:strRef>
          </c:tx>
          <c:spPr>
            <a:solidFill>
              <a:srgbClr val="FF9900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Design!$AI$5:$AI$19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78EA-4305-9A0C-17D76A5A086A}"/>
            </c:ext>
          </c:extLst>
        </c:ser>
        <c:ser>
          <c:idx val="30"/>
          <c:order val="11"/>
          <c:tx>
            <c:strRef>
              <c:f>Design!$AJ$4</c:f>
              <c:strCache>
                <c:ptCount val="1"/>
              </c:strCache>
            </c:strRef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Design!$AJ$5:$AJ$19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78EA-4305-9A0C-17D76A5A086A}"/>
            </c:ext>
          </c:extLst>
        </c:ser>
        <c:ser>
          <c:idx val="28"/>
          <c:order val="12"/>
          <c:tx>
            <c:strRef>
              <c:f>Design!$AK$4</c:f>
              <c:strCache>
                <c:ptCount val="1"/>
              </c:strCache>
            </c:strRef>
          </c:tx>
          <c:spPr>
            <a:solidFill>
              <a:srgbClr val="669900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Design!$AK$5:$AK$19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78EA-4305-9A0C-17D76A5A086A}"/>
            </c:ext>
          </c:extLst>
        </c:ser>
        <c:ser>
          <c:idx val="29"/>
          <c:order val="13"/>
          <c:tx>
            <c:strRef>
              <c:f>Design!$AL$4</c:f>
              <c:strCache>
                <c:ptCount val="1"/>
              </c:strCache>
            </c:strRef>
          </c:tx>
          <c:spPr>
            <a:solidFill>
              <a:sysClr val="window" lastClr="FFFFF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Design!$AL$5:$AL$19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78EA-4305-9A0C-17D76A5A086A}"/>
            </c:ext>
          </c:extLst>
        </c:ser>
        <c:ser>
          <c:idx val="27"/>
          <c:order val="14"/>
          <c:tx>
            <c:strRef>
              <c:f>Design!$AM$4</c:f>
              <c:strCache>
                <c:ptCount val="1"/>
              </c:strCache>
            </c:strRef>
          </c:tx>
          <c:spPr>
            <a:solidFill>
              <a:srgbClr val="66FFCC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Design!$AM$5:$AM$19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78EA-4305-9A0C-17D76A5A086A}"/>
            </c:ext>
          </c:extLst>
        </c:ser>
        <c:ser>
          <c:idx val="26"/>
          <c:order val="15"/>
          <c:tx>
            <c:strRef>
              <c:f>Design!$AN$4</c:f>
              <c:strCache>
                <c:ptCount val="1"/>
              </c:strCache>
            </c:strRef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Design!$AN$5:$AN$19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78EA-4305-9A0C-17D76A5A086A}"/>
            </c:ext>
          </c:extLst>
        </c:ser>
        <c:ser>
          <c:idx val="25"/>
          <c:order val="16"/>
          <c:tx>
            <c:strRef>
              <c:f>Design!$AO$4</c:f>
              <c:strCache>
                <c:ptCount val="1"/>
              </c:strCache>
            </c:strRef>
          </c:tx>
          <c:spPr>
            <a:solidFill>
              <a:srgbClr val="0099F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Design!$AO$5:$AO$19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78EA-4305-9A0C-17D76A5A086A}"/>
            </c:ext>
          </c:extLst>
        </c:ser>
        <c:ser>
          <c:idx val="24"/>
          <c:order val="17"/>
          <c:tx>
            <c:strRef>
              <c:f>Design!$AP$4</c:f>
              <c:strCache>
                <c:ptCount val="1"/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Design!$AP$5:$AP$19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78EA-4305-9A0C-17D76A5A086A}"/>
            </c:ext>
          </c:extLst>
        </c:ser>
        <c:ser>
          <c:idx val="8"/>
          <c:order val="18"/>
          <c:tx>
            <c:strRef>
              <c:f>Design!$AQ$4</c:f>
              <c:strCache>
                <c:ptCount val="1"/>
              </c:strCache>
            </c:strRef>
          </c:tx>
          <c:spPr>
            <a:solidFill>
              <a:srgbClr val="0000FF"/>
            </a:solidFill>
            <a:ln w="12700">
              <a:solidFill>
                <a:srgbClr val="333333"/>
              </a:solidFill>
              <a:prstDash val="solid"/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Design!$AQ$5:$AQ$19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78EA-4305-9A0C-17D76A5A086A}"/>
            </c:ext>
          </c:extLst>
        </c:ser>
        <c:ser>
          <c:idx val="10"/>
          <c:order val="19"/>
          <c:tx>
            <c:strRef>
              <c:f>Design!$AR$4</c:f>
              <c:strCache>
                <c:ptCount val="1"/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Design!$AR$5:$AR$19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78EA-4305-9A0C-17D76A5A086A}"/>
            </c:ext>
          </c:extLst>
        </c:ser>
        <c:ser>
          <c:idx val="11"/>
          <c:order val="20"/>
          <c:tx>
            <c:strRef>
              <c:f>Design!$AS$4</c:f>
              <c:strCache>
                <c:ptCount val="1"/>
              </c:strCache>
            </c:strRef>
          </c:tx>
          <c:spPr>
            <a:solidFill>
              <a:srgbClr val="FF7C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Design!$AS$5:$AS$19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78EA-4305-9A0C-17D76A5A086A}"/>
            </c:ext>
          </c:extLst>
        </c:ser>
        <c:ser>
          <c:idx val="12"/>
          <c:order val="21"/>
          <c:tx>
            <c:strRef>
              <c:f>Design!$AT$4</c:f>
              <c:strCache>
                <c:ptCount val="1"/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Design!$AT$5:$AT$19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78EA-4305-9A0C-17D76A5A086A}"/>
            </c:ext>
          </c:extLst>
        </c:ser>
        <c:ser>
          <c:idx val="3"/>
          <c:order val="22"/>
          <c:tx>
            <c:strRef>
              <c:f>Design!$AU$4</c:f>
              <c:strCache>
                <c:ptCount val="1"/>
              </c:strCache>
            </c:strRef>
          </c:tx>
          <c:spPr>
            <a:solidFill>
              <a:srgbClr val="006600"/>
            </a:solidFill>
            <a:ln w="12700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Design!$AU$5:$AU$19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78EA-4305-9A0C-17D76A5A086A}"/>
            </c:ext>
          </c:extLst>
        </c:ser>
        <c:ser>
          <c:idx val="13"/>
          <c:order val="23"/>
          <c:tx>
            <c:strRef>
              <c:f>Design!$AV$4</c:f>
              <c:strCache>
                <c:ptCount val="1"/>
              </c:strCache>
            </c:strRef>
          </c:tx>
          <c:spPr>
            <a:solidFill>
              <a:schemeClr val="bg1"/>
            </a:solidFill>
            <a:ln w="12700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Design!$AV$5:$AV$19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78EA-4305-9A0C-17D76A5A086A}"/>
            </c:ext>
          </c:extLst>
        </c:ser>
        <c:ser>
          <c:idx val="5"/>
          <c:order val="24"/>
          <c:tx>
            <c:strRef>
              <c:f>Design!$AW$4</c:f>
              <c:strCache>
                <c:ptCount val="1"/>
              </c:strCache>
            </c:strRef>
          </c:tx>
          <c:spPr>
            <a:solidFill>
              <a:srgbClr val="008080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Design!$AW$5:$AW$19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78EA-4305-9A0C-17D76A5A086A}"/>
            </c:ext>
          </c:extLst>
        </c:ser>
        <c:ser>
          <c:idx val="9"/>
          <c:order val="25"/>
          <c:tx>
            <c:strRef>
              <c:f>Design!$AX$4</c:f>
              <c:strCache>
                <c:ptCount val="1"/>
              </c:strCache>
            </c:strRef>
          </c:tx>
          <c:spPr>
            <a:solidFill>
              <a:schemeClr val="bg1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Design!$AX$5:$AX$19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78EA-4305-9A0C-17D76A5A086A}"/>
            </c:ext>
          </c:extLst>
        </c:ser>
        <c:ser>
          <c:idx val="16"/>
          <c:order val="26"/>
          <c:tx>
            <c:strRef>
              <c:f>Design!$AY$4</c:f>
              <c:strCache>
                <c:ptCount val="1"/>
              </c:strCache>
            </c:strRef>
          </c:tx>
          <c:spPr>
            <a:solidFill>
              <a:srgbClr val="6699FF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Design!$AY$5:$AY$19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78EA-4305-9A0C-17D76A5A086A}"/>
            </c:ext>
          </c:extLst>
        </c:ser>
        <c:ser>
          <c:idx val="17"/>
          <c:order val="27"/>
          <c:tx>
            <c:strRef>
              <c:f>Design!$AZ$4</c:f>
              <c:strCache>
                <c:ptCount val="1"/>
              </c:strCache>
            </c:strRef>
          </c:tx>
          <c:spPr>
            <a:solidFill>
              <a:schemeClr val="bg1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Design!$AZ$5:$AZ$19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78EA-4305-9A0C-17D76A5A086A}"/>
            </c:ext>
          </c:extLst>
        </c:ser>
        <c:ser>
          <c:idx val="18"/>
          <c:order val="28"/>
          <c:tx>
            <c:strRef>
              <c:f>Design!$BA$4</c:f>
              <c:strCache>
                <c:ptCount val="1"/>
              </c:strCache>
            </c:strRef>
          </c:tx>
          <c:spPr>
            <a:solidFill>
              <a:srgbClr val="6666FF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Design!$BA$5:$BA$19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78EA-4305-9A0C-17D76A5A086A}"/>
            </c:ext>
          </c:extLst>
        </c:ser>
        <c:ser>
          <c:idx val="19"/>
          <c:order val="29"/>
          <c:tx>
            <c:strRef>
              <c:f>Design!$BB$4</c:f>
              <c:strCache>
                <c:ptCount val="1"/>
              </c:strCache>
            </c:strRef>
          </c:tx>
          <c:spPr>
            <a:solidFill>
              <a:schemeClr val="bg1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Design!$BB$5:$BB$19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78EA-4305-9A0C-17D76A5A086A}"/>
            </c:ext>
          </c:extLst>
        </c:ser>
        <c:ser>
          <c:idx val="20"/>
          <c:order val="30"/>
          <c:tx>
            <c:strRef>
              <c:f>Design!$BC$4</c:f>
              <c:strCache>
                <c:ptCount val="1"/>
                <c:pt idx="0">
                  <c:v>Network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Design!$BC$5:$BC$19</c:f>
              <c:numCache>
                <c:formatCode>0.000;;;</c:formatCode>
                <c:ptCount val="15"/>
                <c:pt idx="1">
                  <c:v>0.039</c:v>
                </c:pt>
                <c:pt idx="2">
                  <c:v>0.026</c:v>
                </c:pt>
                <c:pt idx="3">
                  <c:v>0.002</c:v>
                </c:pt>
                <c:pt idx="6">
                  <c:v>0.0833333333333333</c:v>
                </c:pt>
                <c:pt idx="7">
                  <c:v>0.0577777777777778</c:v>
                </c:pt>
                <c:pt idx="8">
                  <c:v>0.0222222222222222</c:v>
                </c:pt>
                <c:pt idx="11">
                  <c:v>0.0833333333333333</c:v>
                </c:pt>
                <c:pt idx="12">
                  <c:v>0.0577777777777778</c:v>
                </c:pt>
                <c:pt idx="13">
                  <c:v>0.0222222222222222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78EA-4305-9A0C-17D76A5A086A}"/>
            </c:ext>
          </c:extLst>
        </c:ser>
        <c:ser>
          <c:idx val="21"/>
          <c:order val="31"/>
          <c:tx>
            <c:strRef>
              <c:f>Design!$BD$4</c:f>
              <c:strCache>
                <c:ptCount val="1"/>
                <c:pt idx="0">
                  <c:v>NWQ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Design!$BD$5:$BD$19</c:f>
              <c:numCache>
                <c:formatCode>0.000;;;</c:formatCode>
                <c:ptCount val="15"/>
                <c:pt idx="1">
                  <c:v>0.000430352388708955</c:v>
                </c:pt>
                <c:pt idx="2">
                  <c:v>0.000286901592472636</c:v>
                </c:pt>
                <c:pt idx="3">
                  <c:v>2.20693532671259E-5</c:v>
                </c:pt>
                <c:pt idx="6">
                  <c:v>0.00214648395804367</c:v>
                </c:pt>
                <c:pt idx="7">
                  <c:v>0.00148822887757694</c:v>
                </c:pt>
                <c:pt idx="8">
                  <c:v>0.000572395722144978</c:v>
                </c:pt>
                <c:pt idx="11">
                  <c:v>0.00214648395804367</c:v>
                </c:pt>
                <c:pt idx="12">
                  <c:v>0.00148822887757694</c:v>
                </c:pt>
                <c:pt idx="13">
                  <c:v>0.000572395722144978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F-78EA-4305-9A0C-17D76A5A086A}"/>
            </c:ext>
          </c:extLst>
        </c:ser>
        <c:ser>
          <c:idx val="32"/>
          <c:order val="32"/>
          <c:tx>
            <c:strRef>
              <c:f>Design!$BE$4</c:f>
              <c:strCache>
                <c:ptCount val="1"/>
                <c:pt idx="0">
                  <c:v>Latency</c:v>
                </c:pt>
              </c:strCache>
            </c:strRef>
          </c:tx>
          <c:spPr>
            <a:solidFill>
              <a:srgbClr val="FF99CC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Design!$BE$5:$BE$19</c:f>
              <c:numCache>
                <c:formatCode>0.000;;;</c:formatCode>
                <c:ptCount val="15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0-78EA-4305-9A0C-17D76A5A086A}"/>
            </c:ext>
          </c:extLst>
        </c:ser>
        <c:ser>
          <c:idx val="33"/>
          <c:order val="33"/>
          <c:tx>
            <c:strRef>
              <c:f>Design!$BF$4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rgbClr val="993366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Design!$A$5:$A$19</c:f>
              <c:strCache>
                <c:ptCount val="14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R1</c:v>
                </c:pt>
                <c:pt idx="6">
                  <c:v>S CitrixEdit</c:v>
                </c:pt>
                <c:pt idx="7">
                  <c:v>S CitrixView</c:v>
                </c:pt>
                <c:pt idx="8">
                  <c:v>S WebMap</c:v>
                </c:pt>
                <c:pt idx="9">
                  <c:v>Internet</c:v>
                </c:pt>
                <c:pt idx="10">
                  <c:v>R2</c:v>
                </c:pt>
                <c:pt idx="11">
                  <c:v>S CitrixEdit</c:v>
                </c:pt>
                <c:pt idx="12">
                  <c:v>S CitrixView</c:v>
                </c:pt>
                <c:pt idx="13">
                  <c:v>S WebMap</c:v>
                </c:pt>
              </c:strCache>
            </c:strRef>
          </c:cat>
          <c:val>
            <c:numRef>
              <c:f>Design!$BF$5:$BF$19</c:f>
              <c:numCache>
                <c:formatCode>0.000;;;</c:formatCode>
                <c:ptCount val="15"/>
                <c:pt idx="1">
                  <c:v>0.32390450928382</c:v>
                </c:pt>
                <c:pt idx="2">
                  <c:v>0.32390450928382</c:v>
                </c:pt>
                <c:pt idx="3">
                  <c:v>0.0303068546698311</c:v>
                </c:pt>
                <c:pt idx="6">
                  <c:v>0.0303068546698311</c:v>
                </c:pt>
                <c:pt idx="7">
                  <c:v>0.0303068546698311</c:v>
                </c:pt>
                <c:pt idx="8">
                  <c:v>0.0303068546698311</c:v>
                </c:pt>
                <c:pt idx="11">
                  <c:v>0.0303068546698311</c:v>
                </c:pt>
                <c:pt idx="12">
                  <c:v>0.0303068546698311</c:v>
                </c:pt>
                <c:pt idx="13">
                  <c:v>0.0303068546698311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78EA-4305-9A0C-17D76A5A0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91228688"/>
        <c:axId val="-2091225408"/>
      </c:barChart>
      <c:catAx>
        <c:axId val="-209122868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91225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91225408"/>
        <c:scaling>
          <c:orientation val="minMax"/>
          <c:min val="0.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Performance (sec)</a:t>
                </a:r>
              </a:p>
            </c:rich>
          </c:tx>
          <c:layout>
            <c:manualLayout>
              <c:xMode val="edge"/>
              <c:yMode val="edge"/>
              <c:x val="0.377140626016789"/>
              <c:y val="0.06832046984225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91228688"/>
        <c:crosses val="autoZero"/>
        <c:crossBetween val="between"/>
      </c:valAx>
      <c:spPr>
        <a:solidFill>
          <a:srgbClr val="FFCC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0000000000015" r="0.75000000000001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Workflow Performance Summary</a:t>
            </a:r>
          </a:p>
        </c:rich>
      </c:tx>
      <c:layout>
        <c:manualLayout>
          <c:xMode val="edge"/>
          <c:yMode val="edge"/>
          <c:x val="0.234465645600914"/>
          <c:y val="0.015311970895724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7643565772841"/>
          <c:y val="0.206497232400405"/>
          <c:w val="0.747122856298897"/>
          <c:h val="0.69035150510492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Design1!$Y$4</c:f>
              <c:strCache>
                <c:ptCount val="1"/>
                <c:pt idx="0">
                  <c:v>DBMS</c:v>
                </c:pt>
              </c:strCache>
            </c:strRef>
          </c:tx>
          <c:spPr>
            <a:solidFill>
              <a:srgbClr val="FF993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Design1!$Y$5:$Y$15</c:f>
              <c:numCache>
                <c:formatCode>0.000;;;</c:formatCode>
                <c:ptCount val="11"/>
                <c:pt idx="1">
                  <c:v>0.0318615745890496</c:v>
                </c:pt>
                <c:pt idx="2">
                  <c:v>0.0318615745890496</c:v>
                </c:pt>
                <c:pt idx="3">
                  <c:v>0.0218000247188234</c:v>
                </c:pt>
                <c:pt idx="5">
                  <c:v>0.0318615745890496</c:v>
                </c:pt>
                <c:pt idx="6">
                  <c:v>0.0318615745890496</c:v>
                </c:pt>
                <c:pt idx="7">
                  <c:v>0.0218000247188234</c:v>
                </c:pt>
                <c:pt idx="9">
                  <c:v>0.0218000247188234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D4-4343-9B1A-6DC30C939D61}"/>
            </c:ext>
          </c:extLst>
        </c:ser>
        <c:ser>
          <c:idx val="1"/>
          <c:order val="1"/>
          <c:tx>
            <c:strRef>
              <c:f>Design1!$Z$4</c:f>
              <c:strCache>
                <c:ptCount val="1"/>
                <c:pt idx="0">
                  <c:v>DBMSQ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Design1!$Z$5:$Z$15</c:f>
              <c:numCache>
                <c:formatCode>0.000;;;</c:formatCode>
                <c:ptCount val="11"/>
                <c:pt idx="1">
                  <c:v>0.00661886091498173</c:v>
                </c:pt>
                <c:pt idx="2">
                  <c:v>0.00661886091498173</c:v>
                </c:pt>
                <c:pt idx="3">
                  <c:v>0.00452869431025066</c:v>
                </c:pt>
                <c:pt idx="5">
                  <c:v>0.00661886091498173</c:v>
                </c:pt>
                <c:pt idx="6">
                  <c:v>0.00661886091498173</c:v>
                </c:pt>
                <c:pt idx="7">
                  <c:v>0.00452869431025066</c:v>
                </c:pt>
                <c:pt idx="9">
                  <c:v>0.00452869431025066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D4-4343-9B1A-6DC30C939D61}"/>
            </c:ext>
          </c:extLst>
        </c:ser>
        <c:ser>
          <c:idx val="15"/>
          <c:order val="2"/>
          <c:tx>
            <c:strRef>
              <c:f>Design1!$AA$4</c:f>
              <c:strCache>
                <c:ptCount val="1"/>
                <c:pt idx="0">
                  <c:v>GIS</c:v>
                </c:pt>
              </c:strCache>
            </c:strRef>
          </c:tx>
          <c:spPr>
            <a:solidFill>
              <a:srgbClr val="009900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Design1!$AA$5:$AA$15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0.19620022246941</c:v>
                </c:pt>
                <c:pt idx="5">
                  <c:v>0.0</c:v>
                </c:pt>
                <c:pt idx="6">
                  <c:v>0.0</c:v>
                </c:pt>
                <c:pt idx="7">
                  <c:v>0.19620022246941</c:v>
                </c:pt>
                <c:pt idx="9">
                  <c:v>0.19620022246941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CD4-4343-9B1A-6DC30C939D61}"/>
            </c:ext>
          </c:extLst>
        </c:ser>
        <c:ser>
          <c:idx val="14"/>
          <c:order val="3"/>
          <c:tx>
            <c:strRef>
              <c:f>Design1!$AB$4</c:f>
              <c:strCache>
                <c:ptCount val="1"/>
                <c:pt idx="0">
                  <c:v>GISQ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Design1!$AB$5:$AB$15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0.137767904612586</c:v>
                </c:pt>
                <c:pt idx="5">
                  <c:v>0.0</c:v>
                </c:pt>
                <c:pt idx="6">
                  <c:v>0.0</c:v>
                </c:pt>
                <c:pt idx="7">
                  <c:v>0.137767904612586</c:v>
                </c:pt>
                <c:pt idx="9">
                  <c:v>0.137767904612586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CD4-4343-9B1A-6DC30C939D61}"/>
            </c:ext>
          </c:extLst>
        </c:ser>
        <c:ser>
          <c:idx val="2"/>
          <c:order val="4"/>
          <c:tx>
            <c:strRef>
              <c:f>Design1!$AC$4</c:f>
              <c:strCache>
                <c:ptCount val="1"/>
                <c:pt idx="0">
                  <c:v>Web</c:v>
                </c:pt>
              </c:strCache>
            </c:strRef>
          </c:tx>
          <c:spPr>
            <a:solidFill>
              <a:srgbClr val="00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Design1!$AC$5:$AC$15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0.00872000988752935</c:v>
                </c:pt>
                <c:pt idx="5">
                  <c:v>0.0</c:v>
                </c:pt>
                <c:pt idx="6">
                  <c:v>0.0</c:v>
                </c:pt>
                <c:pt idx="7">
                  <c:v>0.00872000988752935</c:v>
                </c:pt>
                <c:pt idx="9">
                  <c:v>0.00872000988752935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CD4-4343-9B1A-6DC30C939D61}"/>
            </c:ext>
          </c:extLst>
        </c:ser>
        <c:ser>
          <c:idx val="4"/>
          <c:order val="5"/>
          <c:tx>
            <c:strRef>
              <c:f>Design1!$AD$4</c:f>
              <c:strCache>
                <c:ptCount val="1"/>
                <c:pt idx="0">
                  <c:v>WebQ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Design1!$AD$5:$AD$15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0.000475669528598549</c:v>
                </c:pt>
                <c:pt idx="5">
                  <c:v>0.0</c:v>
                </c:pt>
                <c:pt idx="6">
                  <c:v>0.0</c:v>
                </c:pt>
                <c:pt idx="7">
                  <c:v>0.000475669528598549</c:v>
                </c:pt>
                <c:pt idx="9">
                  <c:v>0.000475669528598549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CD4-4343-9B1A-6DC30C939D61}"/>
            </c:ext>
          </c:extLst>
        </c:ser>
        <c:ser>
          <c:idx val="6"/>
          <c:order val="6"/>
          <c:tx>
            <c:strRef>
              <c:f>Design1!$AE$4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Design1!$AE$5:$AE$15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CD4-4343-9B1A-6DC30C939D61}"/>
            </c:ext>
          </c:extLst>
        </c:ser>
        <c:ser>
          <c:idx val="7"/>
          <c:order val="7"/>
          <c:tx>
            <c:strRef>
              <c:f>Design1!$AF$4</c:f>
              <c:strCache>
                <c:ptCount val="1"/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Design1!$AF$5:$AF$15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CD4-4343-9B1A-6DC30C939D61}"/>
            </c:ext>
          </c:extLst>
        </c:ser>
        <c:ser>
          <c:idx val="23"/>
          <c:order val="8"/>
          <c:tx>
            <c:strRef>
              <c:f>Design1!$AG$4</c:f>
              <c:strCache>
                <c:ptCount val="1"/>
                <c:pt idx="0">
                  <c:v>WTS</c:v>
                </c:pt>
              </c:strCache>
            </c:strRef>
          </c:tx>
          <c:spPr>
            <a:solidFill>
              <a:srgbClr val="0000CC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Design1!$AG$5:$AG$15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0.286754171301446</c:v>
                </c:pt>
                <c:pt idx="6">
                  <c:v>0.286754171301446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CD4-4343-9B1A-6DC30C939D61}"/>
            </c:ext>
          </c:extLst>
        </c:ser>
        <c:ser>
          <c:idx val="22"/>
          <c:order val="9"/>
          <c:tx>
            <c:strRef>
              <c:f>Design1!$AH$4</c:f>
              <c:strCache>
                <c:ptCount val="1"/>
                <c:pt idx="0">
                  <c:v>WTSQ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Design1!$AH$5:$AH$15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0.267917173850722</c:v>
                </c:pt>
                <c:pt idx="6">
                  <c:v>0.267917173850722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CD4-4343-9B1A-6DC30C939D61}"/>
            </c:ext>
          </c:extLst>
        </c:ser>
        <c:ser>
          <c:idx val="31"/>
          <c:order val="10"/>
          <c:tx>
            <c:strRef>
              <c:f>Design1!$AI$4</c:f>
              <c:strCache>
                <c:ptCount val="1"/>
              </c:strCache>
            </c:strRef>
          </c:tx>
          <c:spPr>
            <a:solidFill>
              <a:srgbClr val="FF9900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Design1!$AI$5:$AI$15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7CD4-4343-9B1A-6DC30C939D61}"/>
            </c:ext>
          </c:extLst>
        </c:ser>
        <c:ser>
          <c:idx val="30"/>
          <c:order val="11"/>
          <c:tx>
            <c:strRef>
              <c:f>Design1!$AJ$4</c:f>
              <c:strCache>
                <c:ptCount val="1"/>
              </c:strCache>
            </c:strRef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Design1!$AJ$5:$AJ$15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7CD4-4343-9B1A-6DC30C939D61}"/>
            </c:ext>
          </c:extLst>
        </c:ser>
        <c:ser>
          <c:idx val="28"/>
          <c:order val="12"/>
          <c:tx>
            <c:strRef>
              <c:f>Design1!$AK$4</c:f>
              <c:strCache>
                <c:ptCount val="1"/>
              </c:strCache>
            </c:strRef>
          </c:tx>
          <c:spPr>
            <a:solidFill>
              <a:srgbClr val="669900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Design1!$AK$5:$AK$15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7CD4-4343-9B1A-6DC30C939D61}"/>
            </c:ext>
          </c:extLst>
        </c:ser>
        <c:ser>
          <c:idx val="29"/>
          <c:order val="13"/>
          <c:tx>
            <c:strRef>
              <c:f>Design1!$AL$4</c:f>
              <c:strCache>
                <c:ptCount val="1"/>
              </c:strCache>
            </c:strRef>
          </c:tx>
          <c:spPr>
            <a:solidFill>
              <a:sysClr val="window" lastClr="FFFFF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Design1!$AL$5:$AL$15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7CD4-4343-9B1A-6DC30C939D61}"/>
            </c:ext>
          </c:extLst>
        </c:ser>
        <c:ser>
          <c:idx val="27"/>
          <c:order val="14"/>
          <c:tx>
            <c:strRef>
              <c:f>Design1!$AM$4</c:f>
              <c:strCache>
                <c:ptCount val="1"/>
              </c:strCache>
            </c:strRef>
          </c:tx>
          <c:spPr>
            <a:solidFill>
              <a:srgbClr val="66FFCC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Design1!$AM$5:$AM$15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7CD4-4343-9B1A-6DC30C939D61}"/>
            </c:ext>
          </c:extLst>
        </c:ser>
        <c:ser>
          <c:idx val="26"/>
          <c:order val="15"/>
          <c:tx>
            <c:strRef>
              <c:f>Design1!$AN$4</c:f>
              <c:strCache>
                <c:ptCount val="1"/>
              </c:strCache>
            </c:strRef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Design1!$AN$5:$AN$15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7CD4-4343-9B1A-6DC30C939D61}"/>
            </c:ext>
          </c:extLst>
        </c:ser>
        <c:ser>
          <c:idx val="25"/>
          <c:order val="16"/>
          <c:tx>
            <c:strRef>
              <c:f>Design1!$AO$4</c:f>
              <c:strCache>
                <c:ptCount val="1"/>
              </c:strCache>
            </c:strRef>
          </c:tx>
          <c:spPr>
            <a:solidFill>
              <a:srgbClr val="0099F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Design1!$AO$5:$AO$15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7CD4-4343-9B1A-6DC30C939D61}"/>
            </c:ext>
          </c:extLst>
        </c:ser>
        <c:ser>
          <c:idx val="24"/>
          <c:order val="17"/>
          <c:tx>
            <c:strRef>
              <c:f>Design1!$AP$4</c:f>
              <c:strCache>
                <c:ptCount val="1"/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Design1!$AP$5:$AP$15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7CD4-4343-9B1A-6DC30C939D61}"/>
            </c:ext>
          </c:extLst>
        </c:ser>
        <c:ser>
          <c:idx val="8"/>
          <c:order val="18"/>
          <c:tx>
            <c:strRef>
              <c:f>Design1!$AQ$4</c:f>
              <c:strCache>
                <c:ptCount val="1"/>
              </c:strCache>
            </c:strRef>
          </c:tx>
          <c:spPr>
            <a:solidFill>
              <a:srgbClr val="0000FF"/>
            </a:solidFill>
            <a:ln w="12700">
              <a:solidFill>
                <a:srgbClr val="333333"/>
              </a:solidFill>
              <a:prstDash val="solid"/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Design1!$AQ$5:$AQ$15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7CD4-4343-9B1A-6DC30C939D61}"/>
            </c:ext>
          </c:extLst>
        </c:ser>
        <c:ser>
          <c:idx val="10"/>
          <c:order val="19"/>
          <c:tx>
            <c:strRef>
              <c:f>Design1!$AR$4</c:f>
              <c:strCache>
                <c:ptCount val="1"/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Design1!$AR$5:$AR$15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7CD4-4343-9B1A-6DC30C939D61}"/>
            </c:ext>
          </c:extLst>
        </c:ser>
        <c:ser>
          <c:idx val="11"/>
          <c:order val="20"/>
          <c:tx>
            <c:strRef>
              <c:f>Design1!$AS$4</c:f>
              <c:strCache>
                <c:ptCount val="1"/>
              </c:strCache>
            </c:strRef>
          </c:tx>
          <c:spPr>
            <a:solidFill>
              <a:srgbClr val="FF7C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Design1!$AS$5:$AS$15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7CD4-4343-9B1A-6DC30C939D61}"/>
            </c:ext>
          </c:extLst>
        </c:ser>
        <c:ser>
          <c:idx val="12"/>
          <c:order val="21"/>
          <c:tx>
            <c:strRef>
              <c:f>Design1!$AT$4</c:f>
              <c:strCache>
                <c:ptCount val="1"/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Design1!$AT$5:$AT$15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7CD4-4343-9B1A-6DC30C939D61}"/>
            </c:ext>
          </c:extLst>
        </c:ser>
        <c:ser>
          <c:idx val="3"/>
          <c:order val="22"/>
          <c:tx>
            <c:strRef>
              <c:f>Design1!$AU$4</c:f>
              <c:strCache>
                <c:ptCount val="1"/>
              </c:strCache>
            </c:strRef>
          </c:tx>
          <c:spPr>
            <a:solidFill>
              <a:srgbClr val="006600"/>
            </a:solidFill>
            <a:ln w="12700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Design1!$AU$5:$AU$15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7CD4-4343-9B1A-6DC30C939D61}"/>
            </c:ext>
          </c:extLst>
        </c:ser>
        <c:ser>
          <c:idx val="13"/>
          <c:order val="23"/>
          <c:tx>
            <c:strRef>
              <c:f>Design1!$AV$4</c:f>
              <c:strCache>
                <c:ptCount val="1"/>
              </c:strCache>
            </c:strRef>
          </c:tx>
          <c:spPr>
            <a:solidFill>
              <a:schemeClr val="bg1"/>
            </a:solidFill>
            <a:ln w="12700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Design1!$AV$5:$AV$15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7CD4-4343-9B1A-6DC30C939D61}"/>
            </c:ext>
          </c:extLst>
        </c:ser>
        <c:ser>
          <c:idx val="5"/>
          <c:order val="24"/>
          <c:tx>
            <c:strRef>
              <c:f>Design1!$AW$4</c:f>
              <c:strCache>
                <c:ptCount val="1"/>
              </c:strCache>
            </c:strRef>
          </c:tx>
          <c:spPr>
            <a:solidFill>
              <a:srgbClr val="008080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Design1!$AW$5:$AW$15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7CD4-4343-9B1A-6DC30C939D61}"/>
            </c:ext>
          </c:extLst>
        </c:ser>
        <c:ser>
          <c:idx val="9"/>
          <c:order val="25"/>
          <c:tx>
            <c:strRef>
              <c:f>Design1!$AX$4</c:f>
              <c:strCache>
                <c:ptCount val="1"/>
              </c:strCache>
            </c:strRef>
          </c:tx>
          <c:spPr>
            <a:solidFill>
              <a:schemeClr val="bg1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Design1!$AX$5:$AX$15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7CD4-4343-9B1A-6DC30C939D61}"/>
            </c:ext>
          </c:extLst>
        </c:ser>
        <c:ser>
          <c:idx val="16"/>
          <c:order val="26"/>
          <c:tx>
            <c:strRef>
              <c:f>Design1!$AY$4</c:f>
              <c:strCache>
                <c:ptCount val="1"/>
              </c:strCache>
            </c:strRef>
          </c:tx>
          <c:spPr>
            <a:solidFill>
              <a:srgbClr val="6699FF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Design1!$AY$5:$AY$15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7CD4-4343-9B1A-6DC30C939D61}"/>
            </c:ext>
          </c:extLst>
        </c:ser>
        <c:ser>
          <c:idx val="17"/>
          <c:order val="27"/>
          <c:tx>
            <c:strRef>
              <c:f>Design1!$AZ$4</c:f>
              <c:strCache>
                <c:ptCount val="1"/>
              </c:strCache>
            </c:strRef>
          </c:tx>
          <c:spPr>
            <a:solidFill>
              <a:schemeClr val="bg1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Design1!$AZ$5:$AZ$15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7CD4-4343-9B1A-6DC30C939D61}"/>
            </c:ext>
          </c:extLst>
        </c:ser>
        <c:ser>
          <c:idx val="18"/>
          <c:order val="28"/>
          <c:tx>
            <c:strRef>
              <c:f>Design1!$BA$4</c:f>
              <c:strCache>
                <c:ptCount val="1"/>
              </c:strCache>
            </c:strRef>
          </c:tx>
          <c:spPr>
            <a:solidFill>
              <a:srgbClr val="6666FF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Design1!$BA$5:$BA$15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7CD4-4343-9B1A-6DC30C939D61}"/>
            </c:ext>
          </c:extLst>
        </c:ser>
        <c:ser>
          <c:idx val="19"/>
          <c:order val="29"/>
          <c:tx>
            <c:strRef>
              <c:f>Design1!$BB$4</c:f>
              <c:strCache>
                <c:ptCount val="1"/>
              </c:strCache>
            </c:strRef>
          </c:tx>
          <c:spPr>
            <a:solidFill>
              <a:schemeClr val="bg1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Design1!$BB$5:$BB$15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7CD4-4343-9B1A-6DC30C939D61}"/>
            </c:ext>
          </c:extLst>
        </c:ser>
        <c:ser>
          <c:idx val="20"/>
          <c:order val="30"/>
          <c:tx>
            <c:strRef>
              <c:f>Design1!$BC$4</c:f>
              <c:strCache>
                <c:ptCount val="1"/>
                <c:pt idx="0">
                  <c:v>Network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Design1!$BC$5:$BC$15</c:f>
              <c:numCache>
                <c:formatCode>0.000;;;</c:formatCode>
                <c:ptCount val="11"/>
                <c:pt idx="1">
                  <c:v>0.039</c:v>
                </c:pt>
                <c:pt idx="2">
                  <c:v>0.026</c:v>
                </c:pt>
                <c:pt idx="3">
                  <c:v>0.002</c:v>
                </c:pt>
                <c:pt idx="5">
                  <c:v>0.0833333333333333</c:v>
                </c:pt>
                <c:pt idx="6">
                  <c:v>0.0577777777777778</c:v>
                </c:pt>
                <c:pt idx="7">
                  <c:v>0.0222222222222222</c:v>
                </c:pt>
                <c:pt idx="9">
                  <c:v>0.0222222222222222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7CD4-4343-9B1A-6DC30C939D61}"/>
            </c:ext>
          </c:extLst>
        </c:ser>
        <c:ser>
          <c:idx val="21"/>
          <c:order val="31"/>
          <c:tx>
            <c:strRef>
              <c:f>Design1!$BD$4</c:f>
              <c:strCache>
                <c:ptCount val="1"/>
                <c:pt idx="0">
                  <c:v>NWQ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Design1!$BD$5:$BD$15</c:f>
              <c:numCache>
                <c:formatCode>0.000;;;</c:formatCode>
                <c:ptCount val="11"/>
                <c:pt idx="1">
                  <c:v>0.00651642756968386</c:v>
                </c:pt>
                <c:pt idx="2">
                  <c:v>0.00434428504645591</c:v>
                </c:pt>
                <c:pt idx="3">
                  <c:v>0.000334175772804301</c:v>
                </c:pt>
                <c:pt idx="5">
                  <c:v>0.107627666451196</c:v>
                </c:pt>
                <c:pt idx="6">
                  <c:v>0.0746218487394958</c:v>
                </c:pt>
                <c:pt idx="7">
                  <c:v>0.0287007110536522</c:v>
                </c:pt>
                <c:pt idx="9">
                  <c:v>0.0125651446330385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F-7CD4-4343-9B1A-6DC30C939D61}"/>
            </c:ext>
          </c:extLst>
        </c:ser>
        <c:ser>
          <c:idx val="32"/>
          <c:order val="32"/>
          <c:tx>
            <c:strRef>
              <c:f>Design1!$BE$4</c:f>
              <c:strCache>
                <c:ptCount val="1"/>
                <c:pt idx="0">
                  <c:v>Latency</c:v>
                </c:pt>
              </c:strCache>
            </c:strRef>
          </c:tx>
          <c:spPr>
            <a:solidFill>
              <a:srgbClr val="FF99CC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Design1!$BE$5:$BE$15</c:f>
              <c:numCache>
                <c:formatCode>0.000;;;</c:formatCode>
                <c:ptCount val="11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0-7CD4-4343-9B1A-6DC30C939D61}"/>
            </c:ext>
          </c:extLst>
        </c:ser>
        <c:ser>
          <c:idx val="33"/>
          <c:order val="33"/>
          <c:tx>
            <c:strRef>
              <c:f>Design1!$BF$4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rgbClr val="993366"/>
            </a:solidFill>
            <a:ln>
              <a:solidFill>
                <a:srgbClr val="333333"/>
              </a:solidFill>
            </a:ln>
          </c:spPr>
          <c:invertIfNegative val="0"/>
          <c:cat>
            <c:strRef>
              <c:f>Design1!$A$5:$A$15</c:f>
              <c:strCache>
                <c:ptCount val="10"/>
                <c:pt idx="0">
                  <c:v>LAN</c:v>
                </c:pt>
                <c:pt idx="1">
                  <c:v>S DeskEdit</c:v>
                </c:pt>
                <c:pt idx="2">
                  <c:v>S DeskView</c:v>
                </c:pt>
                <c:pt idx="3">
                  <c:v>S WebMap</c:v>
                </c:pt>
                <c:pt idx="4">
                  <c:v>WAN</c:v>
                </c:pt>
                <c:pt idx="5">
                  <c:v>S CitrixEdit</c:v>
                </c:pt>
                <c:pt idx="6">
                  <c:v>S CitrixView</c:v>
                </c:pt>
                <c:pt idx="7">
                  <c:v>S WebMap</c:v>
                </c:pt>
                <c:pt idx="8">
                  <c:v>Internet</c:v>
                </c:pt>
                <c:pt idx="9">
                  <c:v>S WebMap</c:v>
                </c:pt>
              </c:strCache>
            </c:strRef>
          </c:cat>
          <c:val>
            <c:numRef>
              <c:f>Design1!$BF$5:$BF$15</c:f>
              <c:numCache>
                <c:formatCode>0.000;;;</c:formatCode>
                <c:ptCount val="11"/>
                <c:pt idx="1">
                  <c:v>0.32390450928382</c:v>
                </c:pt>
                <c:pt idx="2">
                  <c:v>0.32390450928382</c:v>
                </c:pt>
                <c:pt idx="3">
                  <c:v>0.0303068546698311</c:v>
                </c:pt>
                <c:pt idx="5">
                  <c:v>0.0303068546698311</c:v>
                </c:pt>
                <c:pt idx="6">
                  <c:v>0.0303068546698311</c:v>
                </c:pt>
                <c:pt idx="7">
                  <c:v>0.0303068546698311</c:v>
                </c:pt>
                <c:pt idx="9">
                  <c:v>0.0303068546698311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7CD4-4343-9B1A-6DC30C939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679744"/>
        <c:axId val="-2087683136"/>
      </c:barChart>
      <c:catAx>
        <c:axId val="-208767974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87683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7683136"/>
        <c:scaling>
          <c:orientation val="minMax"/>
          <c:min val="0.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Performance (sec)</a:t>
                </a:r>
              </a:p>
            </c:rich>
          </c:tx>
          <c:layout>
            <c:manualLayout>
              <c:xMode val="edge"/>
              <c:yMode val="edge"/>
              <c:x val="0.377140626016789"/>
              <c:y val="0.06832046984225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-2087679744"/>
        <c:crosses val="autoZero"/>
        <c:crossBetween val="between"/>
      </c:valAx>
      <c:spPr>
        <a:solidFill>
          <a:srgbClr val="FFCC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0000000000015" r="0.75000000000001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50</xdr:row>
      <xdr:rowOff>133350</xdr:rowOff>
    </xdr:from>
    <xdr:to>
      <xdr:col>10</xdr:col>
      <xdr:colOff>514351</xdr:colOff>
      <xdr:row>145</xdr:row>
      <xdr:rowOff>69081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C78E71B-A75F-40AB-B60A-6531EBAC4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1581150"/>
          <a:ext cx="3733801" cy="1945506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11</xdr:row>
      <xdr:rowOff>9525</xdr:rowOff>
    </xdr:from>
    <xdr:to>
      <xdr:col>5</xdr:col>
      <xdr:colOff>0</xdr:colOff>
      <xdr:row>22</xdr:row>
      <xdr:rowOff>19050</xdr:rowOff>
    </xdr:to>
    <xdr:graphicFrame macro="">
      <xdr:nvGraphicFramePr>
        <xdr:cNvPr id="3688909" name="Chart 2">
          <a:extLst>
            <a:ext uri="{FF2B5EF4-FFF2-40B4-BE49-F238E27FC236}">
              <a16:creationId xmlns:a16="http://schemas.microsoft.com/office/drawing/2014/main" xmlns="" id="{00000000-0008-0000-0400-0000CD49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566</xdr:row>
      <xdr:rowOff>2601</xdr:rowOff>
    </xdr:from>
    <xdr:to>
      <xdr:col>8</xdr:col>
      <xdr:colOff>0</xdr:colOff>
      <xdr:row>582</xdr:row>
      <xdr:rowOff>198293</xdr:rowOff>
    </xdr:to>
    <xdr:graphicFrame macro="">
      <xdr:nvGraphicFramePr>
        <xdr:cNvPr id="2" name="Chart 416">
          <a:extLst>
            <a:ext uri="{FF2B5EF4-FFF2-40B4-BE49-F238E27FC236}">
              <a16:creationId xmlns:a16="http://schemas.microsoft.com/office/drawing/2014/main" xmlns="" id="{6E756916-5BC3-438F-B084-98084F602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542</xdr:row>
      <xdr:rowOff>189634</xdr:rowOff>
    </xdr:from>
    <xdr:to>
      <xdr:col>7</xdr:col>
      <xdr:colOff>502227</xdr:colOff>
      <xdr:row>561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3D8D2AD1-3C70-41D3-80E2-9FE047FBD1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625</xdr:row>
      <xdr:rowOff>71199</xdr:rowOff>
    </xdr:from>
    <xdr:to>
      <xdr:col>7</xdr:col>
      <xdr:colOff>476252</xdr:colOff>
      <xdr:row>660</xdr:row>
      <xdr:rowOff>81781</xdr:rowOff>
    </xdr:to>
    <xdr:graphicFrame macro="">
      <xdr:nvGraphicFramePr>
        <xdr:cNvPr id="4" name="Chart 416">
          <a:extLst>
            <a:ext uri="{FF2B5EF4-FFF2-40B4-BE49-F238E27FC236}">
              <a16:creationId xmlns:a16="http://schemas.microsoft.com/office/drawing/2014/main" xmlns="" id="{DC288CCC-2A92-44BF-80DD-2C4D2E39F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48321</xdr:rowOff>
    </xdr:from>
    <xdr:to>
      <xdr:col>7</xdr:col>
      <xdr:colOff>504825</xdr:colOff>
      <xdr:row>42</xdr:row>
      <xdr:rowOff>152400</xdr:rowOff>
    </xdr:to>
    <xdr:graphicFrame macro="">
      <xdr:nvGraphicFramePr>
        <xdr:cNvPr id="2" name="Chart 416">
          <a:extLst>
            <a:ext uri="{FF2B5EF4-FFF2-40B4-BE49-F238E27FC236}">
              <a16:creationId xmlns:a16="http://schemas.microsoft.com/office/drawing/2014/main" xmlns="" id="{A339782D-50C1-4C68-88AB-4F5A4BA45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3</xdr:row>
      <xdr:rowOff>70485</xdr:rowOff>
    </xdr:from>
    <xdr:to>
      <xdr:col>7</xdr:col>
      <xdr:colOff>518161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DDCEAF4-CD04-4C22-9357-F60C7D601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19051</xdr:rowOff>
    </xdr:from>
    <xdr:to>
      <xdr:col>3</xdr:col>
      <xdr:colOff>495300</xdr:colOff>
      <xdr:row>28</xdr:row>
      <xdr:rowOff>161926</xdr:rowOff>
    </xdr:to>
    <xdr:graphicFrame macro="">
      <xdr:nvGraphicFramePr>
        <xdr:cNvPr id="9148564" name="Chart 2">
          <a:extLst>
            <a:ext uri="{FF2B5EF4-FFF2-40B4-BE49-F238E27FC236}">
              <a16:creationId xmlns:a16="http://schemas.microsoft.com/office/drawing/2014/main" xmlns="" id="{00000000-0008-0000-0700-000094988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52917</xdr:colOff>
      <xdr:row>0</xdr:row>
      <xdr:rowOff>0</xdr:rowOff>
    </xdr:from>
    <xdr:to>
      <xdr:col>57</xdr:col>
      <xdr:colOff>423332</xdr:colOff>
      <xdr:row>20</xdr:row>
      <xdr:rowOff>16933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 txBox="1"/>
      </xdr:nvSpPr>
      <xdr:spPr>
        <a:xfrm>
          <a:off x="12107334" y="0"/>
          <a:ext cx="16658165" cy="3826933"/>
        </a:xfrm>
        <a:prstGeom prst="rect">
          <a:avLst/>
        </a:prstGeom>
        <a:solidFill>
          <a:srgbClr val="FFCC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22</xdr:col>
      <xdr:colOff>10585</xdr:colOff>
      <xdr:row>0</xdr:row>
      <xdr:rowOff>0</xdr:rowOff>
    </xdr:from>
    <xdr:to>
      <xdr:col>30</xdr:col>
      <xdr:colOff>687917</xdr:colOff>
      <xdr:row>20</xdr:row>
      <xdr:rowOff>62443</xdr:rowOff>
    </xdr:to>
    <xdr:graphicFrame macro="">
      <xdr:nvGraphicFramePr>
        <xdr:cNvPr id="3" name="Chart 416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52917</xdr:colOff>
      <xdr:row>0</xdr:row>
      <xdr:rowOff>0</xdr:rowOff>
    </xdr:from>
    <xdr:to>
      <xdr:col>57</xdr:col>
      <xdr:colOff>423332</xdr:colOff>
      <xdr:row>16</xdr:row>
      <xdr:rowOff>16933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7EC67D1A-FF87-4526-B8C2-DA65F0CF0B6D}"/>
            </a:ext>
          </a:extLst>
        </xdr:cNvPr>
        <xdr:cNvSpPr txBox="1"/>
      </xdr:nvSpPr>
      <xdr:spPr>
        <a:xfrm>
          <a:off x="12082992" y="0"/>
          <a:ext cx="16705790" cy="3826933"/>
        </a:xfrm>
        <a:prstGeom prst="rect">
          <a:avLst/>
        </a:prstGeom>
        <a:solidFill>
          <a:srgbClr val="FFCC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22</xdr:col>
      <xdr:colOff>10585</xdr:colOff>
      <xdr:row>0</xdr:row>
      <xdr:rowOff>0</xdr:rowOff>
    </xdr:from>
    <xdr:to>
      <xdr:col>30</xdr:col>
      <xdr:colOff>687917</xdr:colOff>
      <xdr:row>16</xdr:row>
      <xdr:rowOff>62443</xdr:rowOff>
    </xdr:to>
    <xdr:graphicFrame macro="">
      <xdr:nvGraphicFramePr>
        <xdr:cNvPr id="3" name="Chart 416">
          <a:extLst>
            <a:ext uri="{FF2B5EF4-FFF2-40B4-BE49-F238E27FC236}">
              <a16:creationId xmlns:a16="http://schemas.microsoft.com/office/drawing/2014/main" xmlns="" id="{846827FF-9B45-431A-BFE8-87E21E57C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vmlDrawing" Target="../drawings/vmlDrawing2.vml"/><Relationship Id="rId12" Type="http://schemas.openxmlformats.org/officeDocument/2006/relationships/comments" Target="../comments2.xml"/><Relationship Id="rId1" Type="http://schemas.openxmlformats.org/officeDocument/2006/relationships/hyperlink" Target="http://www.nvidia.com/object/grid-certified-servers.html" TargetMode="External"/><Relationship Id="rId2" Type="http://schemas.openxmlformats.org/officeDocument/2006/relationships/hyperlink" Target="http://www.dell.com/us/business/p/poweredge-r730/pd" TargetMode="External"/><Relationship Id="rId3" Type="http://schemas.openxmlformats.org/officeDocument/2006/relationships/hyperlink" Target="http://configure.us.dell.com/dellstore/config.aspx?oc=pe_r730_1356&amp;model_id=poweredge-r730&amp;c=us&amp;l=en&amp;s=bsd&amp;cs=04" TargetMode="External"/><Relationship Id="rId4" Type="http://schemas.openxmlformats.org/officeDocument/2006/relationships/hyperlink" Target="http://www.networkworld.com/article/2222196/cisco-subnet/why-does-mpls-cost-so-much-more-than-internet-connectivity-.html" TargetMode="External"/><Relationship Id="rId5" Type="http://schemas.openxmlformats.org/officeDocument/2006/relationships/hyperlink" Target="http://www.networkworld.com/article/2222426/cisco-subnet/the-network-benefits-of-wan-virtualization.html" TargetMode="External"/><Relationship Id="rId6" Type="http://schemas.openxmlformats.org/officeDocument/2006/relationships/hyperlink" Target="http://www.networkworld.com/article/2222426/cisco-subnet/the-network-benefits-of-wan-virtualization.html" TargetMode="External"/><Relationship Id="rId7" Type="http://schemas.openxmlformats.org/officeDocument/2006/relationships/hyperlink" Target="https://www.jitslangedijk.com/nvidia-grid-2-0-new-pricing-and-licensing-model/" TargetMode="External"/><Relationship Id="rId8" Type="http://schemas.openxmlformats.org/officeDocument/2006/relationships/hyperlink" Target="https://urldefense.proofpoint.com/v2/url?u=https-3A__www.jitslangedijk.com_the-2Dnew-2Dnvidia-2Dgrid_&amp;d=DwMFAg&amp;c=n6-cguzQvX_tUIrZOS_4Og&amp;r=voNFRjJpHhlwvD4pV0oMYw&amp;m=lT2CopKmvulOW2vVAiM3yX67LfpsdWO2eUHBnxKg4_U&amp;s=nZzc67eOW0thwgb-TSyw3O4zkdzfYFocgyxF5-Ti-J8&amp;e=" TargetMode="External"/><Relationship Id="rId9" Type="http://schemas.openxmlformats.org/officeDocument/2006/relationships/printerSettings" Target="../printerSettings/printerSettings3.bin"/><Relationship Id="rId10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3.vml"/><Relationship Id="rId6" Type="http://schemas.openxmlformats.org/officeDocument/2006/relationships/comments" Target="../comments3.xml"/><Relationship Id="rId1" Type="http://schemas.openxmlformats.org/officeDocument/2006/relationships/hyperlink" Target="http://wiki.gis.com/wiki/index.php/Platform_Performance" TargetMode="External"/><Relationship Id="rId2" Type="http://schemas.openxmlformats.org/officeDocument/2006/relationships/hyperlink" Target="http://wiki.gis.com/wiki/index.php/Software_Performanc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ec2/instance-types/" TargetMode="External"/><Relationship Id="rId4" Type="http://schemas.openxmlformats.org/officeDocument/2006/relationships/hyperlink" Target="http://www.wiki.gis.com/wiki/index.php/Platform_Performance" TargetMode="External"/><Relationship Id="rId5" Type="http://schemas.openxmlformats.org/officeDocument/2006/relationships/hyperlink" Target="http://www.wiki.gis.com/wiki/index.php/Platform_Performance" TargetMode="External"/><Relationship Id="rId6" Type="http://schemas.openxmlformats.org/officeDocument/2006/relationships/hyperlink" Target="https://azure.microsoft.com/en-us/pricing/details/virtual-machines/series/" TargetMode="External"/><Relationship Id="rId7" Type="http://schemas.openxmlformats.org/officeDocument/2006/relationships/printerSettings" Target="../printerSettings/printerSettings5.bin"/><Relationship Id="rId8" Type="http://schemas.openxmlformats.org/officeDocument/2006/relationships/vmlDrawing" Target="../drawings/vmlDrawing4.vml"/><Relationship Id="rId9" Type="http://schemas.openxmlformats.org/officeDocument/2006/relationships/comments" Target="../comments4.xml"/><Relationship Id="rId1" Type="http://schemas.openxmlformats.org/officeDocument/2006/relationships/hyperlink" Target="http://www.wiki.gis.com/wiki/index.php/Platform_Performance" TargetMode="External"/><Relationship Id="rId2" Type="http://schemas.openxmlformats.org/officeDocument/2006/relationships/hyperlink" Target="http://wiki.gis.com/wiki/index.php/Platform_Performanc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ec2/instance-types/" TargetMode="External"/><Relationship Id="rId4" Type="http://schemas.openxmlformats.org/officeDocument/2006/relationships/hyperlink" Target="http://www.wiki.gis.com/wiki/index.php/Platform_Performance" TargetMode="External"/><Relationship Id="rId5" Type="http://schemas.openxmlformats.org/officeDocument/2006/relationships/hyperlink" Target="http://www.wiki.gis.com/wiki/index.php/Platform_Performance" TargetMode="External"/><Relationship Id="rId6" Type="http://schemas.openxmlformats.org/officeDocument/2006/relationships/hyperlink" Target="https://azure.microsoft.com/en-us/pricing/details/virtual-machines/series/" TargetMode="External"/><Relationship Id="rId7" Type="http://schemas.openxmlformats.org/officeDocument/2006/relationships/printerSettings" Target="../printerSettings/printerSettings7.bin"/><Relationship Id="rId8" Type="http://schemas.openxmlformats.org/officeDocument/2006/relationships/drawing" Target="../drawings/drawing3.xml"/><Relationship Id="rId9" Type="http://schemas.openxmlformats.org/officeDocument/2006/relationships/vmlDrawing" Target="../drawings/vmlDrawing6.vml"/><Relationship Id="rId10" Type="http://schemas.openxmlformats.org/officeDocument/2006/relationships/comments" Target="../comments6.xml"/><Relationship Id="rId1" Type="http://schemas.openxmlformats.org/officeDocument/2006/relationships/hyperlink" Target="http://www.wiki.gis.com/wiki/index.php/Platform_Performance" TargetMode="External"/><Relationship Id="rId2" Type="http://schemas.openxmlformats.org/officeDocument/2006/relationships/hyperlink" Target="http://wiki.gis.com/wiki/index.php/Platform_Performanc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ec2/instance-types/" TargetMode="External"/><Relationship Id="rId4" Type="http://schemas.openxmlformats.org/officeDocument/2006/relationships/printerSettings" Target="../printerSettings/printerSettings8.bin"/><Relationship Id="rId5" Type="http://schemas.openxmlformats.org/officeDocument/2006/relationships/drawing" Target="../drawings/drawing4.xml"/><Relationship Id="rId6" Type="http://schemas.openxmlformats.org/officeDocument/2006/relationships/vmlDrawing" Target="../drawings/vmlDrawing7.vml"/><Relationship Id="rId7" Type="http://schemas.openxmlformats.org/officeDocument/2006/relationships/comments" Target="../comments7.xml"/><Relationship Id="rId1" Type="http://schemas.openxmlformats.org/officeDocument/2006/relationships/hyperlink" Target="https://azure.microsoft.com/en-us/pricing/details/virtual-machines/series/" TargetMode="External"/><Relationship Id="rId2" Type="http://schemas.openxmlformats.org/officeDocument/2006/relationships/hyperlink" Target="http://www.wiki.gis.com/wiki/index.php/Platform_Performanc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4" Type="http://schemas.openxmlformats.org/officeDocument/2006/relationships/comments" Target="../comments8.xml"/><Relationship Id="rId1" Type="http://schemas.openxmlformats.org/officeDocument/2006/relationships/printerSettings" Target="../printerSettings/printerSettings9.bin"/><Relationship Id="rId2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4" Type="http://schemas.openxmlformats.org/officeDocument/2006/relationships/drawing" Target="../drawings/drawing6.xml"/><Relationship Id="rId5" Type="http://schemas.openxmlformats.org/officeDocument/2006/relationships/vmlDrawing" Target="../drawings/vmlDrawing10.vml"/><Relationship Id="rId6" Type="http://schemas.openxmlformats.org/officeDocument/2006/relationships/comments" Target="../comments10.xml"/><Relationship Id="rId1" Type="http://schemas.openxmlformats.org/officeDocument/2006/relationships/hyperlink" Target="http://resources.esri.com/enterprisegis/" TargetMode="External"/><Relationship Id="rId2" Type="http://schemas.openxmlformats.org/officeDocument/2006/relationships/hyperlink" Target="http://www.wiki.gis.com/wiki/index.php/System_Design_Strategi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4" Type="http://schemas.openxmlformats.org/officeDocument/2006/relationships/drawing" Target="../drawings/drawing7.xml"/><Relationship Id="rId5" Type="http://schemas.openxmlformats.org/officeDocument/2006/relationships/vmlDrawing" Target="../drawings/vmlDrawing11.vml"/><Relationship Id="rId6" Type="http://schemas.openxmlformats.org/officeDocument/2006/relationships/comments" Target="../comments11.xml"/><Relationship Id="rId1" Type="http://schemas.openxmlformats.org/officeDocument/2006/relationships/hyperlink" Target="http://resources.esri.com/enterprisegis/" TargetMode="External"/><Relationship Id="rId2" Type="http://schemas.openxmlformats.org/officeDocument/2006/relationships/hyperlink" Target="http://www.wiki.gis.com/wiki/index.php/System_Design_Strateg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993300"/>
  </sheetPr>
  <dimension ref="A1:R473"/>
  <sheetViews>
    <sheetView workbookViewId="0">
      <selection activeCell="A442" sqref="A442"/>
    </sheetView>
  </sheetViews>
  <sheetFormatPr baseColWidth="10" defaultColWidth="9.1640625" defaultRowHeight="13" outlineLevelRow="2" x14ac:dyDescent="0.15"/>
  <cols>
    <col min="1" max="1" width="8.5" style="102" customWidth="1"/>
    <col min="2" max="16384" width="9.1640625" style="101"/>
  </cols>
  <sheetData>
    <row r="1" spans="1:18" s="533" customFormat="1" ht="16" x14ac:dyDescent="0.2">
      <c r="A1" s="535">
        <v>2008</v>
      </c>
      <c r="B1" s="536"/>
      <c r="C1" s="534"/>
      <c r="D1" s="534"/>
      <c r="E1" s="534"/>
      <c r="F1" s="534"/>
      <c r="G1" s="534" t="s">
        <v>1931</v>
      </c>
      <c r="H1" s="534"/>
      <c r="I1" s="534"/>
      <c r="J1" s="534"/>
      <c r="K1" s="534"/>
      <c r="L1" s="534"/>
      <c r="M1" s="534"/>
      <c r="N1" s="534"/>
      <c r="O1" s="534"/>
      <c r="P1" s="534"/>
      <c r="Q1" s="534"/>
      <c r="R1" s="534"/>
    </row>
    <row r="2" spans="1:18" s="533" customFormat="1" ht="16" x14ac:dyDescent="0.2">
      <c r="A2" s="535">
        <v>2011</v>
      </c>
      <c r="B2" s="536"/>
      <c r="C2" s="534"/>
      <c r="D2" s="536"/>
      <c r="E2" s="534"/>
      <c r="F2" s="534"/>
      <c r="G2" s="534"/>
      <c r="H2" s="534"/>
      <c r="I2" s="534"/>
      <c r="J2" s="534"/>
      <c r="K2" s="534"/>
      <c r="L2" s="534"/>
      <c r="M2" s="534"/>
      <c r="N2" s="534"/>
      <c r="O2" s="534"/>
      <c r="P2" s="534"/>
      <c r="Q2" s="534"/>
      <c r="R2" s="534"/>
    </row>
    <row r="3" spans="1:18" hidden="1" outlineLevel="1" x14ac:dyDescent="0.15">
      <c r="A3" s="100" t="s">
        <v>585</v>
      </c>
    </row>
    <row r="4" spans="1:18" hidden="1" outlineLevel="2" x14ac:dyDescent="0.15">
      <c r="A4" s="100"/>
    </row>
    <row r="5" spans="1:18" hidden="1" outlineLevel="1" collapsed="1" x14ac:dyDescent="0.15">
      <c r="A5" s="100" t="s">
        <v>586</v>
      </c>
    </row>
    <row r="6" spans="1:18" hidden="1" outlineLevel="2" x14ac:dyDescent="0.15">
      <c r="A6" s="297" t="s">
        <v>157</v>
      </c>
    </row>
    <row r="7" spans="1:18" hidden="1" outlineLevel="2" x14ac:dyDescent="0.15">
      <c r="A7" s="102">
        <v>1</v>
      </c>
      <c r="B7" s="396" t="s">
        <v>260</v>
      </c>
    </row>
    <row r="8" spans="1:18" hidden="1" outlineLevel="2" x14ac:dyDescent="0.15">
      <c r="A8" s="102">
        <f>+A7+1</f>
        <v>2</v>
      </c>
      <c r="B8" s="101" t="s">
        <v>261</v>
      </c>
    </row>
    <row r="9" spans="1:18" hidden="1" outlineLevel="2" x14ac:dyDescent="0.15">
      <c r="A9" s="102">
        <f>+A8+1</f>
        <v>3</v>
      </c>
      <c r="B9" s="101" t="s">
        <v>269</v>
      </c>
    </row>
    <row r="10" spans="1:18" hidden="1" outlineLevel="2" x14ac:dyDescent="0.15">
      <c r="A10" s="102">
        <f>+A9+1</f>
        <v>4</v>
      </c>
      <c r="B10" s="1048" t="s">
        <v>470</v>
      </c>
    </row>
    <row r="11" spans="1:18" hidden="1" outlineLevel="2" x14ac:dyDescent="0.15">
      <c r="A11" s="102">
        <f>+A10+1</f>
        <v>5</v>
      </c>
      <c r="B11" s="396" t="s">
        <v>487</v>
      </c>
    </row>
    <row r="12" spans="1:18" hidden="1" outlineLevel="2" x14ac:dyDescent="0.15">
      <c r="A12" s="102">
        <f>+A11+1</f>
        <v>6</v>
      </c>
      <c r="B12" s="1048" t="s">
        <v>515</v>
      </c>
    </row>
    <row r="13" spans="1:18" hidden="1" outlineLevel="2" x14ac:dyDescent="0.15">
      <c r="A13" s="297" t="s">
        <v>208</v>
      </c>
    </row>
    <row r="14" spans="1:18" hidden="1" outlineLevel="2" x14ac:dyDescent="0.15">
      <c r="A14" s="102">
        <v>1</v>
      </c>
      <c r="B14" s="396" t="s">
        <v>466</v>
      </c>
    </row>
    <row r="15" spans="1:18" hidden="1" outlineLevel="2" x14ac:dyDescent="0.15">
      <c r="A15" s="102">
        <f>+A14+1</f>
        <v>2</v>
      </c>
      <c r="B15" s="396" t="s">
        <v>506</v>
      </c>
    </row>
    <row r="16" spans="1:18" hidden="1" outlineLevel="2" x14ac:dyDescent="0.15">
      <c r="A16" s="297" t="s">
        <v>125</v>
      </c>
    </row>
    <row r="17" spans="1:18" hidden="1" outlineLevel="2" x14ac:dyDescent="0.15">
      <c r="A17" s="102">
        <v>1</v>
      </c>
      <c r="B17" s="101" t="s">
        <v>268</v>
      </c>
    </row>
    <row r="18" spans="1:18" hidden="1" outlineLevel="2" x14ac:dyDescent="0.15">
      <c r="A18" s="102">
        <v>2</v>
      </c>
      <c r="B18" s="1047" t="s">
        <v>131</v>
      </c>
    </row>
    <row r="19" spans="1:18" hidden="1" outlineLevel="2" x14ac:dyDescent="0.15">
      <c r="A19" s="102">
        <f>+A18+1</f>
        <v>3</v>
      </c>
      <c r="B19" s="396" t="s">
        <v>468</v>
      </c>
    </row>
    <row r="20" spans="1:18" hidden="1" outlineLevel="2" x14ac:dyDescent="0.15">
      <c r="A20" s="102">
        <f>+A19+1</f>
        <v>4</v>
      </c>
      <c r="B20" s="1048" t="s">
        <v>516</v>
      </c>
    </row>
    <row r="21" spans="1:18" hidden="1" outlineLevel="2" x14ac:dyDescent="0.15">
      <c r="A21" s="297" t="s">
        <v>226</v>
      </c>
    </row>
    <row r="22" spans="1:18" hidden="1" outlineLevel="2" x14ac:dyDescent="0.15">
      <c r="A22" s="102">
        <v>1</v>
      </c>
      <c r="B22" s="396" t="s">
        <v>468</v>
      </c>
    </row>
    <row r="23" spans="1:18" hidden="1" outlineLevel="2" x14ac:dyDescent="0.15">
      <c r="A23" s="297" t="s">
        <v>133</v>
      </c>
    </row>
    <row r="24" spans="1:18" hidden="1" outlineLevel="2" x14ac:dyDescent="0.15">
      <c r="A24" s="102">
        <v>1</v>
      </c>
      <c r="B24" s="396" t="s">
        <v>467</v>
      </c>
    </row>
    <row r="25" spans="1:18" hidden="1" outlineLevel="2" x14ac:dyDescent="0.15">
      <c r="A25" s="102">
        <f>+A24+1</f>
        <v>2</v>
      </c>
      <c r="B25" s="1048" t="s">
        <v>490</v>
      </c>
    </row>
    <row r="26" spans="1:18" hidden="1" outlineLevel="2" x14ac:dyDescent="0.15">
      <c r="A26" s="102">
        <f>+A25+1</f>
        <v>3</v>
      </c>
      <c r="B26" s="396" t="s">
        <v>491</v>
      </c>
    </row>
    <row r="27" spans="1:18" hidden="1" outlineLevel="2" x14ac:dyDescent="0.15">
      <c r="A27" s="297" t="s">
        <v>155</v>
      </c>
    </row>
    <row r="28" spans="1:18" hidden="1" outlineLevel="2" x14ac:dyDescent="0.15">
      <c r="A28" s="102">
        <v>1</v>
      </c>
      <c r="B28" s="396" t="s">
        <v>468</v>
      </c>
    </row>
    <row r="29" spans="1:18" hidden="1" outlineLevel="1" collapsed="1" x14ac:dyDescent="0.15">
      <c r="A29" s="3188"/>
      <c r="B29" s="3189"/>
      <c r="C29" s="3189"/>
      <c r="D29" s="3189"/>
      <c r="E29" s="3189"/>
      <c r="F29" s="3189"/>
      <c r="G29" s="3189"/>
      <c r="H29" s="3189"/>
      <c r="I29" s="3189"/>
      <c r="J29" s="3189"/>
      <c r="K29" s="3189"/>
      <c r="L29" s="3189"/>
      <c r="M29" s="3189"/>
      <c r="N29" s="3189"/>
      <c r="O29" s="3189"/>
      <c r="P29" s="3189"/>
      <c r="Q29" s="3189"/>
      <c r="R29" s="3189"/>
    </row>
    <row r="30" spans="1:18" s="533" customFormat="1" ht="16" collapsed="1" x14ac:dyDescent="0.2">
      <c r="A30" s="535">
        <v>2012</v>
      </c>
      <c r="B30" s="536"/>
      <c r="C30" s="534"/>
      <c r="D30" s="536"/>
      <c r="E30" s="534"/>
      <c r="F30" s="534"/>
      <c r="G30" s="534" t="s">
        <v>1930</v>
      </c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</row>
    <row r="31" spans="1:18" hidden="1" outlineLevel="1" x14ac:dyDescent="0.15">
      <c r="A31" s="100" t="s">
        <v>587</v>
      </c>
    </row>
    <row r="32" spans="1:18" hidden="1" outlineLevel="2" x14ac:dyDescent="0.15">
      <c r="A32" s="297" t="s">
        <v>157</v>
      </c>
    </row>
    <row r="33" spans="1:2" hidden="1" outlineLevel="2" x14ac:dyDescent="0.15">
      <c r="A33" s="102">
        <v>1</v>
      </c>
      <c r="B33" s="1174" t="s">
        <v>521</v>
      </c>
    </row>
    <row r="34" spans="1:2" hidden="1" outlineLevel="2" x14ac:dyDescent="0.15">
      <c r="A34" s="817">
        <f>+A33+1</f>
        <v>2</v>
      </c>
      <c r="B34" s="1174" t="s">
        <v>547</v>
      </c>
    </row>
    <row r="35" spans="1:2" hidden="1" outlineLevel="2" x14ac:dyDescent="0.15">
      <c r="A35" s="817">
        <f>+A34+1</f>
        <v>3</v>
      </c>
      <c r="B35" s="816" t="s">
        <v>548</v>
      </c>
    </row>
    <row r="36" spans="1:2" hidden="1" outlineLevel="2" x14ac:dyDescent="0.15">
      <c r="A36" s="817">
        <f>+A35+1</f>
        <v>4</v>
      </c>
      <c r="B36" s="101" t="s">
        <v>551</v>
      </c>
    </row>
    <row r="37" spans="1:2" hidden="1" outlineLevel="2" x14ac:dyDescent="0.15">
      <c r="A37" s="817">
        <f>+A36+1</f>
        <v>5</v>
      </c>
      <c r="B37" s="320" t="s">
        <v>573</v>
      </c>
    </row>
    <row r="38" spans="1:2" hidden="1" outlineLevel="2" x14ac:dyDescent="0.15">
      <c r="A38" s="297" t="s">
        <v>208</v>
      </c>
    </row>
    <row r="39" spans="1:2" hidden="1" outlineLevel="2" x14ac:dyDescent="0.15">
      <c r="A39" s="102">
        <v>1</v>
      </c>
      <c r="B39" s="1174" t="s">
        <v>552</v>
      </c>
    </row>
    <row r="40" spans="1:2" hidden="1" outlineLevel="2" x14ac:dyDescent="0.15">
      <c r="A40" s="817">
        <f>+A39+1</f>
        <v>2</v>
      </c>
      <c r="B40" s="1174" t="s">
        <v>553</v>
      </c>
    </row>
    <row r="41" spans="1:2" hidden="1" outlineLevel="2" x14ac:dyDescent="0.15">
      <c r="A41" s="815" t="s">
        <v>125</v>
      </c>
      <c r="B41" s="816"/>
    </row>
    <row r="42" spans="1:2" hidden="1" outlineLevel="2" x14ac:dyDescent="0.15">
      <c r="A42" s="817">
        <v>1</v>
      </c>
      <c r="B42" s="816" t="s">
        <v>527</v>
      </c>
    </row>
    <row r="43" spans="1:2" hidden="1" outlineLevel="2" x14ac:dyDescent="0.15">
      <c r="A43" s="817">
        <f>+A42+1</f>
        <v>2</v>
      </c>
      <c r="B43" s="816" t="s">
        <v>528</v>
      </c>
    </row>
    <row r="44" spans="1:2" hidden="1" outlineLevel="2" x14ac:dyDescent="0.15">
      <c r="A44" s="817">
        <f t="shared" ref="A44:A49" si="0">+A43+1</f>
        <v>3</v>
      </c>
      <c r="B44" s="816" t="s">
        <v>529</v>
      </c>
    </row>
    <row r="45" spans="1:2" hidden="1" outlineLevel="2" x14ac:dyDescent="0.15">
      <c r="A45" s="817">
        <f t="shared" si="0"/>
        <v>4</v>
      </c>
      <c r="B45" s="816" t="s">
        <v>530</v>
      </c>
    </row>
    <row r="46" spans="1:2" hidden="1" outlineLevel="2" x14ac:dyDescent="0.15">
      <c r="A46" s="817">
        <f t="shared" si="0"/>
        <v>5</v>
      </c>
      <c r="B46" s="1174" t="s">
        <v>549</v>
      </c>
    </row>
    <row r="47" spans="1:2" hidden="1" outlineLevel="2" x14ac:dyDescent="0.15">
      <c r="A47" s="817">
        <f t="shared" si="0"/>
        <v>6</v>
      </c>
      <c r="B47" s="101" t="s">
        <v>550</v>
      </c>
    </row>
    <row r="48" spans="1:2" hidden="1" outlineLevel="2" x14ac:dyDescent="0.15">
      <c r="A48" s="817">
        <f t="shared" si="0"/>
        <v>7</v>
      </c>
      <c r="B48" s="101" t="s">
        <v>554</v>
      </c>
    </row>
    <row r="49" spans="1:2" s="816" customFormat="1" hidden="1" outlineLevel="2" x14ac:dyDescent="0.15">
      <c r="A49" s="817">
        <f t="shared" si="0"/>
        <v>8</v>
      </c>
      <c r="B49" s="816" t="s">
        <v>589</v>
      </c>
    </row>
    <row r="50" spans="1:2" hidden="1" outlineLevel="2" x14ac:dyDescent="0.15">
      <c r="A50" s="297" t="s">
        <v>85</v>
      </c>
    </row>
    <row r="51" spans="1:2" hidden="1" outlineLevel="2" x14ac:dyDescent="0.15">
      <c r="A51" s="102">
        <v>1</v>
      </c>
      <c r="B51" s="101" t="s">
        <v>522</v>
      </c>
    </row>
    <row r="52" spans="1:2" hidden="1" outlineLevel="2" x14ac:dyDescent="0.15">
      <c r="A52" s="817">
        <f>+A51+1</f>
        <v>2</v>
      </c>
      <c r="B52" s="101" t="s">
        <v>557</v>
      </c>
    </row>
    <row r="53" spans="1:2" hidden="1" outlineLevel="2" x14ac:dyDescent="0.15">
      <c r="A53" s="817">
        <f>+A52+1</f>
        <v>3</v>
      </c>
      <c r="B53" s="101" t="s">
        <v>558</v>
      </c>
    </row>
    <row r="54" spans="1:2" hidden="1" outlineLevel="2" x14ac:dyDescent="0.15"/>
    <row r="55" spans="1:2" hidden="1" outlineLevel="1" collapsed="1" x14ac:dyDescent="0.15">
      <c r="A55" s="100" t="s">
        <v>682</v>
      </c>
    </row>
    <row r="56" spans="1:2" s="816" customFormat="1" hidden="1" outlineLevel="2" x14ac:dyDescent="0.15">
      <c r="A56" s="815" t="s">
        <v>85</v>
      </c>
    </row>
    <row r="57" spans="1:2" s="816" customFormat="1" hidden="1" outlineLevel="2" x14ac:dyDescent="0.15">
      <c r="A57" s="817">
        <v>1</v>
      </c>
      <c r="B57" s="816" t="s">
        <v>683</v>
      </c>
    </row>
    <row r="58" spans="1:2" hidden="1" outlineLevel="2" x14ac:dyDescent="0.15"/>
    <row r="59" spans="1:2" hidden="1" outlineLevel="1" collapsed="1" x14ac:dyDescent="0.15">
      <c r="A59" s="100" t="s">
        <v>697</v>
      </c>
    </row>
    <row r="60" spans="1:2" hidden="1" outlineLevel="2" x14ac:dyDescent="0.15">
      <c r="A60" s="815" t="s">
        <v>125</v>
      </c>
      <c r="B60" s="816"/>
    </row>
    <row r="61" spans="1:2" hidden="1" outlineLevel="2" x14ac:dyDescent="0.15">
      <c r="A61" s="817">
        <v>1</v>
      </c>
      <c r="B61" s="816" t="s">
        <v>590</v>
      </c>
    </row>
    <row r="62" spans="1:2" hidden="1" outlineLevel="2" x14ac:dyDescent="0.15">
      <c r="A62" s="102">
        <f>+A61+1</f>
        <v>2</v>
      </c>
      <c r="B62" s="101" t="s">
        <v>591</v>
      </c>
    </row>
    <row r="63" spans="1:2" hidden="1" outlineLevel="2" x14ac:dyDescent="0.15">
      <c r="A63" s="102">
        <f>+A62+1</f>
        <v>3</v>
      </c>
      <c r="B63" s="101" t="s">
        <v>625</v>
      </c>
    </row>
    <row r="64" spans="1:2" hidden="1" outlineLevel="2" x14ac:dyDescent="0.15">
      <c r="A64" s="297" t="s">
        <v>208</v>
      </c>
    </row>
    <row r="65" spans="1:2" hidden="1" outlineLevel="2" x14ac:dyDescent="0.15">
      <c r="A65" s="102">
        <v>1</v>
      </c>
      <c r="B65" s="1174" t="s">
        <v>593</v>
      </c>
    </row>
    <row r="66" spans="1:2" hidden="1" outlineLevel="2" x14ac:dyDescent="0.15">
      <c r="A66" s="102">
        <f>+A65+1</f>
        <v>2</v>
      </c>
      <c r="B66" s="1174" t="s">
        <v>594</v>
      </c>
    </row>
    <row r="67" spans="1:2" hidden="1" outlineLevel="2" x14ac:dyDescent="0.15">
      <c r="A67" s="102">
        <f>+A66+1</f>
        <v>3</v>
      </c>
      <c r="B67" s="1174" t="s">
        <v>595</v>
      </c>
    </row>
    <row r="68" spans="1:2" hidden="1" outlineLevel="2" x14ac:dyDescent="0.15">
      <c r="A68" s="102">
        <f>+A67+1</f>
        <v>4</v>
      </c>
      <c r="B68" s="1174" t="s">
        <v>597</v>
      </c>
    </row>
    <row r="69" spans="1:2" hidden="1" outlineLevel="2" x14ac:dyDescent="0.15">
      <c r="A69" s="102">
        <f>+A68+1</f>
        <v>5</v>
      </c>
      <c r="B69" s="1174" t="s">
        <v>673</v>
      </c>
    </row>
    <row r="70" spans="1:2" hidden="1" outlineLevel="2" x14ac:dyDescent="0.15">
      <c r="A70" s="297" t="s">
        <v>157</v>
      </c>
    </row>
    <row r="71" spans="1:2" hidden="1" outlineLevel="2" x14ac:dyDescent="0.15">
      <c r="A71" s="102">
        <v>1</v>
      </c>
      <c r="B71" s="1174" t="s">
        <v>596</v>
      </c>
    </row>
    <row r="72" spans="1:2" hidden="1" outlineLevel="2" x14ac:dyDescent="0.15">
      <c r="A72" s="102">
        <f>+A71+1</f>
        <v>2</v>
      </c>
      <c r="B72" s="1174" t="s">
        <v>702</v>
      </c>
    </row>
    <row r="73" spans="1:2" hidden="1" outlineLevel="2" x14ac:dyDescent="0.15">
      <c r="A73" s="102">
        <f>+A72+1</f>
        <v>3</v>
      </c>
      <c r="B73" s="1174" t="s">
        <v>684</v>
      </c>
    </row>
    <row r="74" spans="1:2" hidden="1" outlineLevel="2" x14ac:dyDescent="0.15">
      <c r="A74" s="102">
        <f>+A73+1</f>
        <v>4</v>
      </c>
      <c r="B74" s="1174" t="s">
        <v>685</v>
      </c>
    </row>
    <row r="75" spans="1:2" hidden="1" outlineLevel="2" x14ac:dyDescent="0.15">
      <c r="A75" s="102">
        <f>+A74+1</f>
        <v>5</v>
      </c>
      <c r="B75" s="1174" t="s">
        <v>701</v>
      </c>
    </row>
    <row r="76" spans="1:2" hidden="1" outlineLevel="2" x14ac:dyDescent="0.15">
      <c r="A76" s="297" t="s">
        <v>85</v>
      </c>
    </row>
    <row r="77" spans="1:2" hidden="1" outlineLevel="2" x14ac:dyDescent="0.15">
      <c r="A77" s="102">
        <v>1</v>
      </c>
      <c r="B77" s="101" t="s">
        <v>598</v>
      </c>
    </row>
    <row r="78" spans="1:2" hidden="1" outlineLevel="2" x14ac:dyDescent="0.15">
      <c r="A78" s="297" t="s">
        <v>680</v>
      </c>
    </row>
    <row r="79" spans="1:2" hidden="1" outlineLevel="2" x14ac:dyDescent="0.15">
      <c r="A79" s="102">
        <v>1</v>
      </c>
      <c r="B79" s="101" t="s">
        <v>681</v>
      </c>
    </row>
    <row r="80" spans="1:2" hidden="1" outlineLevel="2" x14ac:dyDescent="0.15">
      <c r="A80" s="102">
        <f>+A79+1</f>
        <v>2</v>
      </c>
      <c r="B80" s="101" t="s">
        <v>698</v>
      </c>
    </row>
    <row r="81" spans="1:18" hidden="1" outlineLevel="2" x14ac:dyDescent="0.15">
      <c r="A81" s="102">
        <f>+A80+1</f>
        <v>3</v>
      </c>
      <c r="B81" s="101" t="s">
        <v>699</v>
      </c>
    </row>
    <row r="82" spans="1:18" hidden="1" outlineLevel="1" collapsed="1" x14ac:dyDescent="0.15">
      <c r="A82" s="3188"/>
      <c r="B82" s="3189"/>
      <c r="C82" s="3189"/>
      <c r="D82" s="3189"/>
      <c r="E82" s="3189"/>
      <c r="F82" s="3189"/>
      <c r="G82" s="3189"/>
      <c r="H82" s="3189"/>
      <c r="I82" s="3189"/>
      <c r="J82" s="3189"/>
      <c r="K82" s="3189"/>
      <c r="L82" s="3189"/>
      <c r="M82" s="3189"/>
      <c r="N82" s="3189"/>
      <c r="O82" s="3189"/>
      <c r="P82" s="3189"/>
      <c r="Q82" s="3189"/>
      <c r="R82" s="3189"/>
    </row>
    <row r="83" spans="1:18" s="533" customFormat="1" ht="16" collapsed="1" x14ac:dyDescent="0.2">
      <c r="A83" s="535">
        <v>2013</v>
      </c>
      <c r="B83" s="536"/>
      <c r="C83" s="534"/>
      <c r="D83" s="536"/>
      <c r="E83" s="534"/>
      <c r="F83" s="534"/>
      <c r="G83" s="534"/>
      <c r="H83" s="534"/>
      <c r="I83" s="534"/>
      <c r="J83" s="534"/>
      <c r="K83" s="534"/>
      <c r="L83" s="534"/>
      <c r="M83" s="534"/>
      <c r="N83" s="534"/>
      <c r="O83" s="534"/>
      <c r="P83" s="534"/>
      <c r="Q83" s="534"/>
      <c r="R83" s="534"/>
    </row>
    <row r="84" spans="1:18" hidden="1" outlineLevel="1" x14ac:dyDescent="0.15">
      <c r="A84" s="100" t="s">
        <v>710</v>
      </c>
    </row>
    <row r="85" spans="1:18" hidden="1" outlineLevel="2" x14ac:dyDescent="0.15">
      <c r="A85" s="815" t="s">
        <v>125</v>
      </c>
      <c r="B85" s="816"/>
    </row>
    <row r="86" spans="1:18" hidden="1" outlineLevel="2" x14ac:dyDescent="0.15">
      <c r="A86" s="817">
        <v>1</v>
      </c>
      <c r="B86" s="101" t="s">
        <v>711</v>
      </c>
    </row>
    <row r="87" spans="1:18" hidden="1" outlineLevel="2" x14ac:dyDescent="0.15">
      <c r="A87" s="297" t="s">
        <v>157</v>
      </c>
    </row>
    <row r="88" spans="1:18" hidden="1" outlineLevel="2" x14ac:dyDescent="0.15">
      <c r="A88" s="102">
        <v>1</v>
      </c>
      <c r="B88" s="101" t="s">
        <v>711</v>
      </c>
    </row>
    <row r="89" spans="1:18" hidden="1" outlineLevel="2" x14ac:dyDescent="0.15">
      <c r="A89" s="102">
        <v>2</v>
      </c>
      <c r="B89" s="101" t="s">
        <v>713</v>
      </c>
    </row>
    <row r="90" spans="1:18" hidden="1" outlineLevel="2" x14ac:dyDescent="0.15">
      <c r="A90" s="297" t="s">
        <v>85</v>
      </c>
    </row>
    <row r="91" spans="1:18" hidden="1" outlineLevel="2" x14ac:dyDescent="0.15">
      <c r="A91" s="102">
        <v>1</v>
      </c>
      <c r="B91" s="101" t="s">
        <v>714</v>
      </c>
    </row>
    <row r="92" spans="1:18" hidden="1" outlineLevel="2" x14ac:dyDescent="0.15">
      <c r="A92" s="297" t="s">
        <v>680</v>
      </c>
    </row>
    <row r="93" spans="1:18" hidden="1" outlineLevel="2" x14ac:dyDescent="0.15">
      <c r="A93" s="102">
        <v>1</v>
      </c>
      <c r="B93" s="101" t="s">
        <v>711</v>
      </c>
    </row>
    <row r="94" spans="1:18" hidden="1" outlineLevel="2" x14ac:dyDescent="0.15"/>
    <row r="95" spans="1:18" hidden="1" outlineLevel="1" collapsed="1" x14ac:dyDescent="0.15">
      <c r="A95" s="1760" t="s">
        <v>814</v>
      </c>
      <c r="B95" s="816"/>
    </row>
    <row r="96" spans="1:18" hidden="1" outlineLevel="2" x14ac:dyDescent="0.15">
      <c r="A96" s="815" t="s">
        <v>133</v>
      </c>
      <c r="B96" s="816"/>
    </row>
    <row r="97" spans="1:8" hidden="1" outlineLevel="2" x14ac:dyDescent="0.15">
      <c r="A97" s="817">
        <v>1</v>
      </c>
      <c r="B97" s="816" t="s">
        <v>802</v>
      </c>
    </row>
    <row r="98" spans="1:8" hidden="1" outlineLevel="2" x14ac:dyDescent="0.15">
      <c r="A98" s="817">
        <f>+A97+1</f>
        <v>2</v>
      </c>
      <c r="B98" s="816" t="s">
        <v>803</v>
      </c>
    </row>
    <row r="99" spans="1:8" hidden="1" outlineLevel="2" x14ac:dyDescent="0.15">
      <c r="A99" s="817">
        <f>+A98+1</f>
        <v>3</v>
      </c>
      <c r="B99" s="816" t="s">
        <v>804</v>
      </c>
    </row>
    <row r="100" spans="1:8" hidden="1" outlineLevel="2" x14ac:dyDescent="0.15">
      <c r="A100" s="815" t="s">
        <v>155</v>
      </c>
      <c r="B100" s="816"/>
    </row>
    <row r="101" spans="1:8" hidden="1" outlineLevel="2" x14ac:dyDescent="0.15">
      <c r="A101" s="817">
        <v>1</v>
      </c>
      <c r="B101" s="816" t="s">
        <v>805</v>
      </c>
    </row>
    <row r="102" spans="1:8" hidden="1" outlineLevel="2" x14ac:dyDescent="0.15">
      <c r="A102" s="815" t="s">
        <v>806</v>
      </c>
      <c r="B102" s="816"/>
    </row>
    <row r="103" spans="1:8" hidden="1" outlineLevel="2" x14ac:dyDescent="0.15">
      <c r="A103" s="817">
        <v>1</v>
      </c>
      <c r="B103" s="816" t="s">
        <v>722</v>
      </c>
    </row>
    <row r="104" spans="1:8" hidden="1" outlineLevel="2" x14ac:dyDescent="0.15">
      <c r="A104" s="817">
        <f>+A103+1</f>
        <v>2</v>
      </c>
      <c r="B104" s="816" t="s">
        <v>746</v>
      </c>
    </row>
    <row r="105" spans="1:8" hidden="1" outlineLevel="2" x14ac:dyDescent="0.15">
      <c r="A105" s="817">
        <f t="shared" ref="A105:A111" si="1">+A104+1</f>
        <v>3</v>
      </c>
      <c r="B105" s="587" t="s">
        <v>774</v>
      </c>
    </row>
    <row r="106" spans="1:8" hidden="1" outlineLevel="2" x14ac:dyDescent="0.15">
      <c r="A106" s="817">
        <f t="shared" si="1"/>
        <v>4</v>
      </c>
      <c r="B106" s="587" t="s">
        <v>773</v>
      </c>
    </row>
    <row r="107" spans="1:8" hidden="1" outlineLevel="2" x14ac:dyDescent="0.15">
      <c r="A107" s="817">
        <f t="shared" si="1"/>
        <v>5</v>
      </c>
      <c r="B107" s="587" t="s">
        <v>775</v>
      </c>
    </row>
    <row r="108" spans="1:8" hidden="1" outlineLevel="2" x14ac:dyDescent="0.15">
      <c r="A108" s="817">
        <f t="shared" si="1"/>
        <v>6</v>
      </c>
      <c r="B108" s="101" t="s">
        <v>778</v>
      </c>
    </row>
    <row r="109" spans="1:8" hidden="1" outlineLevel="2" x14ac:dyDescent="0.15">
      <c r="A109" s="817">
        <f t="shared" si="1"/>
        <v>7</v>
      </c>
      <c r="B109" s="816" t="s">
        <v>807</v>
      </c>
    </row>
    <row r="110" spans="1:8" hidden="1" outlineLevel="2" x14ac:dyDescent="0.15">
      <c r="A110" s="817">
        <f t="shared" si="1"/>
        <v>8</v>
      </c>
      <c r="B110" s="816" t="s">
        <v>808</v>
      </c>
    </row>
    <row r="111" spans="1:8" hidden="1" outlineLevel="2" x14ac:dyDescent="0.15">
      <c r="A111" s="817">
        <f t="shared" si="1"/>
        <v>9</v>
      </c>
      <c r="B111" s="1882" t="s">
        <v>810</v>
      </c>
      <c r="C111" s="1047"/>
      <c r="D111" s="1047"/>
      <c r="E111" s="1047"/>
      <c r="F111" s="1047"/>
      <c r="G111" s="1047"/>
      <c r="H111" s="1047"/>
    </row>
    <row r="112" spans="1:8" hidden="1" outlineLevel="2" x14ac:dyDescent="0.15">
      <c r="A112" s="815" t="s">
        <v>420</v>
      </c>
      <c r="B112" s="816"/>
    </row>
    <row r="113" spans="1:18" hidden="1" outlineLevel="2" x14ac:dyDescent="0.15">
      <c r="A113" s="817">
        <v>1</v>
      </c>
      <c r="B113" s="816" t="s">
        <v>807</v>
      </c>
    </row>
    <row r="114" spans="1:18" hidden="1" outlineLevel="2" x14ac:dyDescent="0.15">
      <c r="A114" s="817">
        <f>+A113+1</f>
        <v>2</v>
      </c>
      <c r="B114" s="816" t="s">
        <v>808</v>
      </c>
    </row>
    <row r="115" spans="1:18" hidden="1" outlineLevel="2" x14ac:dyDescent="0.15">
      <c r="A115" s="815" t="s">
        <v>125</v>
      </c>
      <c r="B115" s="816"/>
    </row>
    <row r="116" spans="1:18" hidden="1" outlineLevel="2" x14ac:dyDescent="0.15">
      <c r="A116" s="817">
        <v>1</v>
      </c>
      <c r="B116" s="816" t="s">
        <v>721</v>
      </c>
    </row>
    <row r="117" spans="1:18" hidden="1" outlineLevel="2" x14ac:dyDescent="0.15">
      <c r="A117" s="817">
        <f>+A116+1</f>
        <v>2</v>
      </c>
      <c r="B117" s="816" t="s">
        <v>746</v>
      </c>
    </row>
    <row r="118" spans="1:18" hidden="1" outlineLevel="2" x14ac:dyDescent="0.15">
      <c r="A118" s="817">
        <f t="shared" ref="A118:A123" si="2">+A117+1</f>
        <v>3</v>
      </c>
      <c r="B118" s="587" t="s">
        <v>774</v>
      </c>
    </row>
    <row r="119" spans="1:18" hidden="1" outlineLevel="2" x14ac:dyDescent="0.15">
      <c r="A119" s="817">
        <f t="shared" si="2"/>
        <v>4</v>
      </c>
      <c r="B119" s="587" t="s">
        <v>773</v>
      </c>
    </row>
    <row r="120" spans="1:18" hidden="1" outlineLevel="2" x14ac:dyDescent="0.15">
      <c r="A120" s="817">
        <f t="shared" si="2"/>
        <v>5</v>
      </c>
      <c r="B120" s="587" t="s">
        <v>775</v>
      </c>
    </row>
    <row r="121" spans="1:18" hidden="1" outlineLevel="2" x14ac:dyDescent="0.15">
      <c r="A121" s="817">
        <f t="shared" si="2"/>
        <v>6</v>
      </c>
      <c r="B121" s="587" t="s">
        <v>780</v>
      </c>
    </row>
    <row r="122" spans="1:18" hidden="1" outlineLevel="2" x14ac:dyDescent="0.15">
      <c r="A122" s="817">
        <f t="shared" si="2"/>
        <v>7</v>
      </c>
      <c r="B122" s="816" t="s">
        <v>807</v>
      </c>
    </row>
    <row r="123" spans="1:18" hidden="1" outlineLevel="2" x14ac:dyDescent="0.15">
      <c r="A123" s="817">
        <f t="shared" si="2"/>
        <v>8</v>
      </c>
      <c r="B123" s="816" t="s">
        <v>809</v>
      </c>
    </row>
    <row r="124" spans="1:18" s="816" customFormat="1" hidden="1" outlineLevel="2" x14ac:dyDescent="0.15">
      <c r="A124" s="817">
        <f>+A123+1</f>
        <v>9</v>
      </c>
      <c r="B124" s="816" t="s">
        <v>843</v>
      </c>
    </row>
    <row r="125" spans="1:18" hidden="1" outlineLevel="1" collapsed="1" x14ac:dyDescent="0.15">
      <c r="A125" s="3188"/>
      <c r="B125" s="3189"/>
      <c r="C125" s="3189"/>
      <c r="D125" s="3189"/>
      <c r="E125" s="3189"/>
      <c r="F125" s="3189"/>
      <c r="G125" s="3189"/>
      <c r="H125" s="3189"/>
      <c r="I125" s="3189"/>
      <c r="J125" s="3189"/>
      <c r="K125" s="3189"/>
      <c r="L125" s="3189"/>
      <c r="M125" s="3189"/>
      <c r="N125" s="3189"/>
      <c r="O125" s="3189"/>
      <c r="P125" s="3189"/>
      <c r="Q125" s="3189"/>
      <c r="R125" s="3189"/>
    </row>
    <row r="126" spans="1:18" s="533" customFormat="1" ht="16" collapsed="1" x14ac:dyDescent="0.2">
      <c r="A126" s="535">
        <v>2014</v>
      </c>
      <c r="B126" s="536"/>
      <c r="C126" s="534"/>
      <c r="D126" s="536"/>
      <c r="E126" s="534"/>
      <c r="F126" s="534"/>
      <c r="G126" s="534"/>
      <c r="H126" s="534"/>
      <c r="I126" s="534"/>
      <c r="J126" s="534"/>
      <c r="K126" s="534"/>
      <c r="L126" s="534"/>
      <c r="M126" s="534"/>
      <c r="N126" s="534"/>
      <c r="O126" s="534"/>
      <c r="P126" s="534"/>
      <c r="Q126" s="534"/>
      <c r="R126" s="534"/>
    </row>
    <row r="127" spans="1:18" hidden="1" outlineLevel="1" x14ac:dyDescent="0.15">
      <c r="A127" s="1760" t="s">
        <v>922</v>
      </c>
      <c r="B127" s="816"/>
    </row>
    <row r="128" spans="1:18" hidden="1" outlineLevel="2" x14ac:dyDescent="0.15">
      <c r="A128" s="815" t="s">
        <v>806</v>
      </c>
      <c r="B128" s="816"/>
    </row>
    <row r="129" spans="1:9" hidden="1" outlineLevel="2" x14ac:dyDescent="0.15">
      <c r="A129" s="817">
        <v>1</v>
      </c>
      <c r="B129" s="816" t="s">
        <v>822</v>
      </c>
    </row>
    <row r="130" spans="1:9" hidden="1" outlineLevel="2" x14ac:dyDescent="0.15">
      <c r="A130" s="102">
        <f>+A129+1</f>
        <v>2</v>
      </c>
      <c r="B130" s="101" t="s">
        <v>821</v>
      </c>
    </row>
    <row r="131" spans="1:9" hidden="1" outlineLevel="2" x14ac:dyDescent="0.15">
      <c r="A131" s="102">
        <f>+A130+1</f>
        <v>3</v>
      </c>
      <c r="B131" s="101" t="s">
        <v>823</v>
      </c>
    </row>
    <row r="132" spans="1:9" hidden="1" outlineLevel="2" x14ac:dyDescent="0.15">
      <c r="A132" s="102">
        <v>4</v>
      </c>
      <c r="B132" s="101" t="s">
        <v>820</v>
      </c>
    </row>
    <row r="133" spans="1:9" hidden="1" outlineLevel="2" x14ac:dyDescent="0.15">
      <c r="A133" s="102">
        <f>+A132+1</f>
        <v>5</v>
      </c>
      <c r="B133" s="816" t="s">
        <v>825</v>
      </c>
    </row>
    <row r="134" spans="1:9" hidden="1" outlineLevel="2" x14ac:dyDescent="0.15">
      <c r="A134" s="102">
        <f t="shared" ref="A134:A139" si="3">+A133+1</f>
        <v>6</v>
      </c>
      <c r="B134" s="816" t="s">
        <v>824</v>
      </c>
    </row>
    <row r="135" spans="1:9" hidden="1" outlineLevel="2" x14ac:dyDescent="0.15">
      <c r="A135" s="102">
        <f t="shared" si="3"/>
        <v>7</v>
      </c>
      <c r="B135" s="816" t="s">
        <v>826</v>
      </c>
    </row>
    <row r="136" spans="1:9" hidden="1" outlineLevel="2" x14ac:dyDescent="0.15">
      <c r="A136" s="102">
        <f t="shared" si="3"/>
        <v>8</v>
      </c>
      <c r="B136" s="816" t="s">
        <v>827</v>
      </c>
    </row>
    <row r="137" spans="1:9" s="816" customFormat="1" hidden="1" outlineLevel="2" x14ac:dyDescent="0.15">
      <c r="A137" s="817">
        <f t="shared" si="3"/>
        <v>9</v>
      </c>
      <c r="B137" s="1984" t="s">
        <v>867</v>
      </c>
      <c r="C137" s="1983"/>
      <c r="D137" s="1983"/>
      <c r="E137" s="1983"/>
      <c r="F137" s="1983"/>
      <c r="G137" s="1983"/>
      <c r="H137" s="1984"/>
      <c r="I137" s="1984"/>
    </row>
    <row r="138" spans="1:9" s="816" customFormat="1" hidden="1" outlineLevel="2" x14ac:dyDescent="0.15">
      <c r="A138" s="817">
        <f t="shared" si="3"/>
        <v>10</v>
      </c>
      <c r="B138" s="816" t="s">
        <v>861</v>
      </c>
      <c r="C138" s="1957"/>
      <c r="D138" s="1957"/>
      <c r="E138" s="1957"/>
      <c r="F138" s="1957"/>
      <c r="G138" s="1957"/>
    </row>
    <row r="139" spans="1:9" s="816" customFormat="1" hidden="1" outlineLevel="2" x14ac:dyDescent="0.15">
      <c r="A139" s="817">
        <f t="shared" si="3"/>
        <v>11</v>
      </c>
      <c r="B139" s="816" t="s">
        <v>862</v>
      </c>
      <c r="C139" s="1957"/>
      <c r="D139" s="1957"/>
      <c r="E139" s="1957"/>
      <c r="F139" s="1957"/>
      <c r="G139" s="1957"/>
    </row>
    <row r="140" spans="1:9" hidden="1" outlineLevel="2" x14ac:dyDescent="0.15">
      <c r="A140" s="815" t="s">
        <v>208</v>
      </c>
      <c r="B140" s="816"/>
    </row>
    <row r="141" spans="1:9" hidden="1" outlineLevel="2" x14ac:dyDescent="0.15">
      <c r="A141" s="102">
        <v>1</v>
      </c>
      <c r="B141" s="816" t="s">
        <v>821</v>
      </c>
    </row>
    <row r="142" spans="1:9" s="816" customFormat="1" hidden="1" outlineLevel="2" x14ac:dyDescent="0.15">
      <c r="A142" s="817">
        <v>2</v>
      </c>
      <c r="B142" s="1984" t="s">
        <v>868</v>
      </c>
      <c r="C142" s="1984"/>
      <c r="D142" s="1984"/>
      <c r="E142" s="1984"/>
      <c r="F142" s="1984"/>
      <c r="G142" s="1984"/>
      <c r="H142" s="1984"/>
      <c r="I142" s="1984"/>
    </row>
    <row r="143" spans="1:9" hidden="1" outlineLevel="2" x14ac:dyDescent="0.15">
      <c r="A143" s="815" t="s">
        <v>125</v>
      </c>
      <c r="B143" s="816"/>
    </row>
    <row r="144" spans="1:9" hidden="1" outlineLevel="2" x14ac:dyDescent="0.15">
      <c r="A144" s="102">
        <v>1</v>
      </c>
      <c r="B144" s="101" t="s">
        <v>820</v>
      </c>
    </row>
    <row r="145" spans="1:7" s="816" customFormat="1" hidden="1" outlineLevel="2" x14ac:dyDescent="0.15">
      <c r="A145" s="817">
        <f t="shared" ref="A145:A151" si="4">+A144+1</f>
        <v>2</v>
      </c>
      <c r="B145" s="816" t="s">
        <v>834</v>
      </c>
    </row>
    <row r="146" spans="1:7" s="816" customFormat="1" hidden="1" outlineLevel="2" x14ac:dyDescent="0.15">
      <c r="A146" s="817">
        <f t="shared" si="4"/>
        <v>3</v>
      </c>
      <c r="B146" s="816" t="s">
        <v>836</v>
      </c>
    </row>
    <row r="147" spans="1:7" s="816" customFormat="1" hidden="1" outlineLevel="2" x14ac:dyDescent="0.15">
      <c r="A147" s="817">
        <f t="shared" si="4"/>
        <v>4</v>
      </c>
      <c r="B147" s="816" t="s">
        <v>837</v>
      </c>
    </row>
    <row r="148" spans="1:7" s="816" customFormat="1" hidden="1" outlineLevel="2" x14ac:dyDescent="0.15">
      <c r="A148" s="817">
        <f t="shared" si="4"/>
        <v>5</v>
      </c>
      <c r="B148" s="816" t="s">
        <v>844</v>
      </c>
    </row>
    <row r="149" spans="1:7" s="816" customFormat="1" hidden="1" outlineLevel="2" x14ac:dyDescent="0.15">
      <c r="A149" s="817">
        <f t="shared" si="4"/>
        <v>6</v>
      </c>
      <c r="B149" s="816" t="s">
        <v>845</v>
      </c>
    </row>
    <row r="150" spans="1:7" s="816" customFormat="1" hidden="1" outlineLevel="2" x14ac:dyDescent="0.15">
      <c r="A150" s="817">
        <f t="shared" si="4"/>
        <v>7</v>
      </c>
      <c r="B150" s="816" t="s">
        <v>861</v>
      </c>
      <c r="C150" s="1957"/>
      <c r="D150" s="1957"/>
      <c r="E150" s="1957"/>
      <c r="F150" s="1957"/>
      <c r="G150" s="1957"/>
    </row>
    <row r="151" spans="1:7" s="816" customFormat="1" hidden="1" outlineLevel="2" x14ac:dyDescent="0.15">
      <c r="A151" s="817">
        <f t="shared" si="4"/>
        <v>8</v>
      </c>
      <c r="B151" s="816" t="s">
        <v>862</v>
      </c>
      <c r="C151" s="1957"/>
      <c r="D151" s="1957"/>
      <c r="E151" s="1957"/>
      <c r="F151" s="1957"/>
      <c r="G151" s="1957"/>
    </row>
    <row r="152" spans="1:7" hidden="1" outlineLevel="2" x14ac:dyDescent="0.15">
      <c r="A152" s="815" t="s">
        <v>680</v>
      </c>
      <c r="B152" s="816"/>
    </row>
    <row r="153" spans="1:7" hidden="1" outlineLevel="2" x14ac:dyDescent="0.15">
      <c r="A153" s="102">
        <v>1</v>
      </c>
      <c r="B153" s="101" t="s">
        <v>832</v>
      </c>
    </row>
    <row r="154" spans="1:7" s="816" customFormat="1" hidden="1" outlineLevel="1" collapsed="1" x14ac:dyDescent="0.15">
      <c r="A154" s="1760" t="s">
        <v>923</v>
      </c>
    </row>
    <row r="155" spans="1:7" s="816" customFormat="1" hidden="1" outlineLevel="2" x14ac:dyDescent="0.15">
      <c r="A155" s="815" t="s">
        <v>806</v>
      </c>
    </row>
    <row r="156" spans="1:7" s="816" customFormat="1" hidden="1" outlineLevel="2" x14ac:dyDescent="0.15">
      <c r="A156" s="817">
        <f>+A141+1</f>
        <v>2</v>
      </c>
      <c r="B156" s="816" t="s">
        <v>865</v>
      </c>
      <c r="C156" s="1957"/>
      <c r="D156" s="1957"/>
      <c r="E156" s="1957"/>
      <c r="F156" s="1957"/>
      <c r="G156" s="1957"/>
    </row>
    <row r="157" spans="1:7" s="816" customFormat="1" hidden="1" outlineLevel="2" x14ac:dyDescent="0.15">
      <c r="A157" s="817">
        <f>+A156+1</f>
        <v>3</v>
      </c>
      <c r="B157" s="816" t="s">
        <v>866</v>
      </c>
      <c r="C157" s="1957"/>
      <c r="D157" s="1957"/>
      <c r="E157" s="1957"/>
      <c r="F157" s="1957"/>
      <c r="G157" s="1957"/>
    </row>
    <row r="158" spans="1:7" s="816" customFormat="1" hidden="1" outlineLevel="2" x14ac:dyDescent="0.15">
      <c r="A158" s="815" t="s">
        <v>125</v>
      </c>
    </row>
    <row r="159" spans="1:7" s="816" customFormat="1" hidden="1" outlineLevel="2" x14ac:dyDescent="0.15">
      <c r="A159" s="817">
        <v>1</v>
      </c>
      <c r="B159" s="816" t="s">
        <v>865</v>
      </c>
      <c r="C159" s="1957"/>
      <c r="D159" s="1957"/>
      <c r="E159" s="1957"/>
      <c r="F159" s="1957"/>
      <c r="G159" s="1957"/>
    </row>
    <row r="160" spans="1:7" s="816" customFormat="1" hidden="1" outlineLevel="2" x14ac:dyDescent="0.15">
      <c r="A160" s="817">
        <f>+A159+1</f>
        <v>2</v>
      </c>
      <c r="B160" s="816" t="s">
        <v>866</v>
      </c>
      <c r="C160" s="1957"/>
      <c r="D160" s="1957"/>
      <c r="E160" s="1957"/>
      <c r="F160" s="1957"/>
      <c r="G160" s="1957"/>
    </row>
    <row r="161" spans="1:2" hidden="1" outlineLevel="1" collapsed="1" x14ac:dyDescent="0.15">
      <c r="A161" s="1760" t="s">
        <v>924</v>
      </c>
    </row>
    <row r="162" spans="1:2" hidden="1" outlineLevel="2" x14ac:dyDescent="0.15">
      <c r="A162" s="815" t="s">
        <v>806</v>
      </c>
    </row>
    <row r="163" spans="1:2" hidden="1" outlineLevel="2" x14ac:dyDescent="0.15">
      <c r="A163" s="817">
        <v>1</v>
      </c>
      <c r="B163" s="101" t="s">
        <v>853</v>
      </c>
    </row>
    <row r="164" spans="1:2" hidden="1" outlineLevel="2" x14ac:dyDescent="0.15">
      <c r="A164" s="102">
        <f>+A163+1</f>
        <v>2</v>
      </c>
      <c r="B164" s="101" t="s">
        <v>859</v>
      </c>
    </row>
    <row r="165" spans="1:2" hidden="1" outlineLevel="2" x14ac:dyDescent="0.15">
      <c r="A165" s="102">
        <f>+A164+1</f>
        <v>3</v>
      </c>
      <c r="B165" s="101" t="s">
        <v>854</v>
      </c>
    </row>
    <row r="166" spans="1:2" hidden="1" outlineLevel="2" x14ac:dyDescent="0.15">
      <c r="A166" s="102">
        <f>+A165+1</f>
        <v>4</v>
      </c>
      <c r="B166" s="101" t="s">
        <v>857</v>
      </c>
    </row>
    <row r="167" spans="1:2" hidden="1" outlineLevel="2" x14ac:dyDescent="0.15">
      <c r="A167" s="102">
        <f>+A166+1</f>
        <v>5</v>
      </c>
      <c r="B167" s="101" t="s">
        <v>852</v>
      </c>
    </row>
    <row r="168" spans="1:2" hidden="1" outlineLevel="2" x14ac:dyDescent="0.15">
      <c r="A168" s="102">
        <f>+A167+1</f>
        <v>6</v>
      </c>
      <c r="B168" s="101" t="s">
        <v>904</v>
      </c>
    </row>
    <row r="169" spans="1:2" hidden="1" outlineLevel="2" x14ac:dyDescent="0.15">
      <c r="A169" s="815" t="s">
        <v>208</v>
      </c>
    </row>
    <row r="170" spans="1:2" hidden="1" outlineLevel="2" x14ac:dyDescent="0.15">
      <c r="A170" s="817">
        <v>1</v>
      </c>
      <c r="B170" s="101" t="s">
        <v>855</v>
      </c>
    </row>
    <row r="171" spans="1:2" hidden="1" outlineLevel="2" x14ac:dyDescent="0.15">
      <c r="A171" s="815" t="s">
        <v>856</v>
      </c>
    </row>
    <row r="172" spans="1:2" hidden="1" outlineLevel="2" x14ac:dyDescent="0.15">
      <c r="A172" s="817">
        <v>1</v>
      </c>
      <c r="B172" s="101" t="s">
        <v>858</v>
      </c>
    </row>
    <row r="173" spans="1:2" hidden="1" outlineLevel="2" x14ac:dyDescent="0.15">
      <c r="A173" s="102">
        <f>+A172+1</f>
        <v>2</v>
      </c>
      <c r="B173" s="101" t="s">
        <v>857</v>
      </c>
    </row>
    <row r="174" spans="1:2" hidden="1" outlineLevel="2" x14ac:dyDescent="0.15">
      <c r="A174" s="102">
        <f>+A173+1</f>
        <v>3</v>
      </c>
      <c r="B174" s="101" t="s">
        <v>852</v>
      </c>
    </row>
    <row r="175" spans="1:2" hidden="1" outlineLevel="2" x14ac:dyDescent="0.15">
      <c r="A175" s="102">
        <f>+A174+1</f>
        <v>4</v>
      </c>
      <c r="B175" s="101" t="s">
        <v>903</v>
      </c>
    </row>
    <row r="176" spans="1:2" hidden="1" outlineLevel="2" x14ac:dyDescent="0.15">
      <c r="A176" s="815" t="s">
        <v>680</v>
      </c>
    </row>
    <row r="177" spans="1:2" hidden="1" outlineLevel="2" x14ac:dyDescent="0.15">
      <c r="A177" s="817">
        <v>1</v>
      </c>
      <c r="B177" s="101" t="s">
        <v>864</v>
      </c>
    </row>
    <row r="178" spans="1:2" hidden="1" outlineLevel="2" x14ac:dyDescent="0.15">
      <c r="A178" s="102">
        <f>+A177+1</f>
        <v>2</v>
      </c>
      <c r="B178" s="101" t="s">
        <v>863</v>
      </c>
    </row>
    <row r="179" spans="1:2" hidden="1" outlineLevel="2" x14ac:dyDescent="0.15">
      <c r="A179" s="815" t="s">
        <v>85</v>
      </c>
    </row>
    <row r="180" spans="1:2" hidden="1" outlineLevel="2" x14ac:dyDescent="0.15">
      <c r="A180" s="817">
        <v>1</v>
      </c>
      <c r="B180" s="101" t="s">
        <v>905</v>
      </c>
    </row>
    <row r="181" spans="1:2" hidden="1" outlineLevel="2" x14ac:dyDescent="0.15">
      <c r="A181" s="102">
        <v>2</v>
      </c>
      <c r="B181" s="101" t="s">
        <v>910</v>
      </c>
    </row>
    <row r="182" spans="1:2" hidden="1" outlineLevel="1" collapsed="1" x14ac:dyDescent="0.15">
      <c r="A182" s="1760" t="s">
        <v>941</v>
      </c>
    </row>
    <row r="183" spans="1:2" hidden="1" outlineLevel="2" x14ac:dyDescent="0.15">
      <c r="A183" s="815" t="s">
        <v>85</v>
      </c>
    </row>
    <row r="184" spans="1:2" hidden="1" outlineLevel="2" x14ac:dyDescent="0.15">
      <c r="A184" s="817">
        <v>1</v>
      </c>
      <c r="B184" s="816" t="s">
        <v>925</v>
      </c>
    </row>
    <row r="185" spans="1:2" hidden="1" outlineLevel="2" x14ac:dyDescent="0.15">
      <c r="A185" s="817">
        <f>+A184+1</f>
        <v>2</v>
      </c>
      <c r="B185" s="816" t="s">
        <v>926</v>
      </c>
    </row>
    <row r="186" spans="1:2" hidden="1" outlineLevel="2" x14ac:dyDescent="0.15">
      <c r="A186" s="817">
        <f>+A185+1</f>
        <v>3</v>
      </c>
      <c r="B186" s="816" t="s">
        <v>927</v>
      </c>
    </row>
    <row r="187" spans="1:2" hidden="1" outlineLevel="2" x14ac:dyDescent="0.15">
      <c r="A187" s="815" t="s">
        <v>155</v>
      </c>
      <c r="B187" s="816"/>
    </row>
    <row r="188" spans="1:2" hidden="1" outlineLevel="2" x14ac:dyDescent="0.15">
      <c r="A188" s="817">
        <v>1</v>
      </c>
      <c r="B188" s="816" t="s">
        <v>928</v>
      </c>
    </row>
    <row r="189" spans="1:2" hidden="1" outlineLevel="2" x14ac:dyDescent="0.15">
      <c r="A189" s="815" t="s">
        <v>806</v>
      </c>
      <c r="B189" s="816"/>
    </row>
    <row r="190" spans="1:2" hidden="1" outlineLevel="2" x14ac:dyDescent="0.15">
      <c r="A190" s="817">
        <v>1</v>
      </c>
      <c r="B190" s="816" t="s">
        <v>929</v>
      </c>
    </row>
    <row r="191" spans="1:2" hidden="1" outlineLevel="2" x14ac:dyDescent="0.15">
      <c r="A191" s="817">
        <f>+A190+1</f>
        <v>2</v>
      </c>
      <c r="B191" s="816" t="s">
        <v>933</v>
      </c>
    </row>
    <row r="192" spans="1:2" hidden="1" outlineLevel="2" x14ac:dyDescent="0.15">
      <c r="A192" s="817">
        <f>+A191+1</f>
        <v>3</v>
      </c>
      <c r="B192" s="816" t="s">
        <v>943</v>
      </c>
    </row>
    <row r="193" spans="1:2" hidden="1" outlineLevel="2" x14ac:dyDescent="0.15">
      <c r="A193" s="815" t="s">
        <v>420</v>
      </c>
      <c r="B193" s="816"/>
    </row>
    <row r="194" spans="1:2" hidden="1" outlineLevel="2" x14ac:dyDescent="0.15">
      <c r="A194" s="817">
        <v>1</v>
      </c>
      <c r="B194" s="816" t="s">
        <v>929</v>
      </c>
    </row>
    <row r="195" spans="1:2" hidden="1" outlineLevel="2" x14ac:dyDescent="0.15">
      <c r="A195" s="817">
        <f>+A194+1</f>
        <v>2</v>
      </c>
      <c r="B195" s="816" t="s">
        <v>930</v>
      </c>
    </row>
    <row r="196" spans="1:2" hidden="1" outlineLevel="2" x14ac:dyDescent="0.15">
      <c r="A196" s="817">
        <f>+A195+1</f>
        <v>3</v>
      </c>
      <c r="B196" s="816" t="s">
        <v>931</v>
      </c>
    </row>
    <row r="197" spans="1:2" hidden="1" outlineLevel="2" x14ac:dyDescent="0.15">
      <c r="A197" s="815" t="s">
        <v>125</v>
      </c>
      <c r="B197" s="816"/>
    </row>
    <row r="198" spans="1:2" hidden="1" outlineLevel="2" x14ac:dyDescent="0.15">
      <c r="A198" s="817">
        <v>1</v>
      </c>
      <c r="B198" s="816" t="s">
        <v>940</v>
      </c>
    </row>
    <row r="199" spans="1:2" hidden="1" outlineLevel="1" collapsed="1" x14ac:dyDescent="0.15">
      <c r="A199" s="1760" t="s">
        <v>945</v>
      </c>
    </row>
    <row r="200" spans="1:2" hidden="1" outlineLevel="2" x14ac:dyDescent="0.15">
      <c r="A200" s="815" t="s">
        <v>806</v>
      </c>
    </row>
    <row r="201" spans="1:2" hidden="1" outlineLevel="2" x14ac:dyDescent="0.15">
      <c r="A201" s="817">
        <v>1</v>
      </c>
      <c r="B201" s="816" t="s">
        <v>962</v>
      </c>
    </row>
    <row r="202" spans="1:2" hidden="1" outlineLevel="2" x14ac:dyDescent="0.15">
      <c r="A202" s="102">
        <f>+A201+1</f>
        <v>2</v>
      </c>
      <c r="B202" s="101" t="s">
        <v>961</v>
      </c>
    </row>
    <row r="203" spans="1:2" hidden="1" outlineLevel="2" x14ac:dyDescent="0.15">
      <c r="A203" s="102">
        <f>+A202+1</f>
        <v>3</v>
      </c>
      <c r="B203" s="101" t="s">
        <v>953</v>
      </c>
    </row>
    <row r="204" spans="1:2" hidden="1" outlineLevel="2" x14ac:dyDescent="0.15">
      <c r="A204" s="102">
        <f t="shared" ref="A204:A210" si="5">+A203+1</f>
        <v>4</v>
      </c>
      <c r="B204" s="101" t="s">
        <v>950</v>
      </c>
    </row>
    <row r="205" spans="1:2" hidden="1" outlineLevel="2" x14ac:dyDescent="0.15">
      <c r="A205" s="102">
        <f t="shared" si="5"/>
        <v>5</v>
      </c>
      <c r="B205" s="101" t="s">
        <v>952</v>
      </c>
    </row>
    <row r="206" spans="1:2" s="816" customFormat="1" hidden="1" outlineLevel="2" x14ac:dyDescent="0.15">
      <c r="A206" s="817">
        <f t="shared" si="5"/>
        <v>6</v>
      </c>
      <c r="B206" s="816" t="s">
        <v>963</v>
      </c>
    </row>
    <row r="207" spans="1:2" hidden="1" outlineLevel="2" x14ac:dyDescent="0.15">
      <c r="A207" s="817">
        <f t="shared" si="5"/>
        <v>7</v>
      </c>
      <c r="B207" s="101" t="s">
        <v>954</v>
      </c>
    </row>
    <row r="208" spans="1:2" s="816" customFormat="1" hidden="1" outlineLevel="2" x14ac:dyDescent="0.15">
      <c r="A208" s="817">
        <f t="shared" si="5"/>
        <v>8</v>
      </c>
      <c r="B208" s="816" t="s">
        <v>963</v>
      </c>
    </row>
    <row r="209" spans="1:2" s="816" customFormat="1" hidden="1" outlineLevel="2" x14ac:dyDescent="0.15">
      <c r="A209" s="817">
        <f t="shared" si="5"/>
        <v>9</v>
      </c>
      <c r="B209" s="816" t="s">
        <v>959</v>
      </c>
    </row>
    <row r="210" spans="1:2" s="816" customFormat="1" hidden="1" outlineLevel="2" x14ac:dyDescent="0.15">
      <c r="A210" s="817">
        <f t="shared" si="5"/>
        <v>10</v>
      </c>
      <c r="B210" s="816" t="s">
        <v>958</v>
      </c>
    </row>
    <row r="211" spans="1:2" hidden="1" outlineLevel="2" x14ac:dyDescent="0.15">
      <c r="A211" s="815" t="s">
        <v>420</v>
      </c>
      <c r="B211" s="816"/>
    </row>
    <row r="212" spans="1:2" hidden="1" outlineLevel="2" x14ac:dyDescent="0.15">
      <c r="A212" s="817">
        <v>1</v>
      </c>
      <c r="B212" s="816" t="s">
        <v>955</v>
      </c>
    </row>
    <row r="213" spans="1:2" hidden="1" outlineLevel="2" x14ac:dyDescent="0.15">
      <c r="A213" s="102">
        <f>+A212+1</f>
        <v>2</v>
      </c>
      <c r="B213" s="816" t="s">
        <v>944</v>
      </c>
    </row>
    <row r="214" spans="1:2" hidden="1" outlineLevel="2" x14ac:dyDescent="0.15">
      <c r="A214" s="815" t="s">
        <v>125</v>
      </c>
    </row>
    <row r="215" spans="1:2" hidden="1" outlineLevel="2" x14ac:dyDescent="0.15">
      <c r="A215" s="102">
        <v>1</v>
      </c>
      <c r="B215" s="101" t="s">
        <v>947</v>
      </c>
    </row>
    <row r="216" spans="1:2" hidden="1" outlineLevel="2" x14ac:dyDescent="0.15">
      <c r="A216" s="102">
        <v>2</v>
      </c>
      <c r="B216" s="101" t="s">
        <v>950</v>
      </c>
    </row>
    <row r="217" spans="1:2" s="816" customFormat="1" hidden="1" outlineLevel="2" x14ac:dyDescent="0.15">
      <c r="A217" s="817">
        <f>+A216+1</f>
        <v>3</v>
      </c>
      <c r="B217" s="816" t="s">
        <v>959</v>
      </c>
    </row>
    <row r="218" spans="1:2" s="816" customFormat="1" hidden="1" outlineLevel="2" x14ac:dyDescent="0.15">
      <c r="A218" s="817">
        <f>+A217+1</f>
        <v>4</v>
      </c>
      <c r="B218" s="816" t="s">
        <v>958</v>
      </c>
    </row>
    <row r="219" spans="1:2" s="816" customFormat="1" hidden="1" outlineLevel="2" x14ac:dyDescent="0.15">
      <c r="A219" s="817">
        <f>+A218+1</f>
        <v>5</v>
      </c>
      <c r="B219" s="816" t="s">
        <v>960</v>
      </c>
    </row>
    <row r="220" spans="1:2" hidden="1" outlineLevel="1" collapsed="1" x14ac:dyDescent="0.15">
      <c r="A220" s="1760" t="s">
        <v>969</v>
      </c>
    </row>
    <row r="221" spans="1:2" hidden="1" outlineLevel="2" x14ac:dyDescent="0.15">
      <c r="A221" s="815" t="s">
        <v>806</v>
      </c>
    </row>
    <row r="222" spans="1:2" hidden="1" outlineLevel="2" x14ac:dyDescent="0.15">
      <c r="A222" s="817">
        <v>1</v>
      </c>
      <c r="B222" s="816" t="s">
        <v>967</v>
      </c>
    </row>
    <row r="223" spans="1:2" hidden="1" outlineLevel="2" x14ac:dyDescent="0.15">
      <c r="A223" s="815" t="s">
        <v>125</v>
      </c>
    </row>
    <row r="224" spans="1:2" hidden="1" outlineLevel="2" x14ac:dyDescent="0.15">
      <c r="A224" s="102">
        <v>1</v>
      </c>
      <c r="B224" s="816" t="s">
        <v>968</v>
      </c>
    </row>
    <row r="225" spans="1:18" hidden="1" outlineLevel="1" collapsed="1" x14ac:dyDescent="0.15">
      <c r="A225" s="3188"/>
      <c r="B225" s="3190"/>
      <c r="C225" s="3189"/>
      <c r="D225" s="3189"/>
      <c r="E225" s="3189"/>
      <c r="F225" s="3189"/>
      <c r="G225" s="3189"/>
      <c r="H225" s="3189"/>
      <c r="I225" s="3189"/>
      <c r="J225" s="3189"/>
      <c r="K225" s="3189"/>
      <c r="L225" s="3189"/>
      <c r="M225" s="3189"/>
      <c r="N225" s="3189"/>
      <c r="O225" s="3189"/>
      <c r="P225" s="3189"/>
      <c r="Q225" s="3189"/>
      <c r="R225" s="3189"/>
    </row>
    <row r="226" spans="1:18" s="533" customFormat="1" ht="16" collapsed="1" x14ac:dyDescent="0.2">
      <c r="A226" s="535">
        <v>2015</v>
      </c>
      <c r="B226" s="536"/>
      <c r="C226" s="534"/>
      <c r="D226" s="536"/>
      <c r="E226" s="534"/>
      <c r="F226" s="534"/>
      <c r="G226" s="534"/>
      <c r="H226" s="534"/>
      <c r="I226" s="534"/>
      <c r="J226" s="534"/>
      <c r="K226" s="534"/>
      <c r="L226" s="534"/>
      <c r="M226" s="534"/>
      <c r="N226" s="534"/>
      <c r="O226" s="534"/>
      <c r="P226" s="534"/>
      <c r="Q226" s="534"/>
      <c r="R226" s="534"/>
    </row>
    <row r="227" spans="1:18" hidden="1" outlineLevel="1" x14ac:dyDescent="0.15">
      <c r="A227" s="1760" t="s">
        <v>980</v>
      </c>
    </row>
    <row r="228" spans="1:18" hidden="1" outlineLevel="2" x14ac:dyDescent="0.15">
      <c r="A228" s="815" t="s">
        <v>806</v>
      </c>
    </row>
    <row r="229" spans="1:18" hidden="1" outlineLevel="2" x14ac:dyDescent="0.15">
      <c r="A229" s="817">
        <v>1</v>
      </c>
      <c r="B229" s="816" t="s">
        <v>971</v>
      </c>
    </row>
    <row r="230" spans="1:18" hidden="1" outlineLevel="2" x14ac:dyDescent="0.15">
      <c r="A230" s="817">
        <f>+A222+1</f>
        <v>2</v>
      </c>
      <c r="B230" s="816" t="s">
        <v>979</v>
      </c>
    </row>
    <row r="231" spans="1:18" s="816" customFormat="1" hidden="1" outlineLevel="2" x14ac:dyDescent="0.15">
      <c r="A231" s="817">
        <f>+A230+1</f>
        <v>3</v>
      </c>
      <c r="B231" s="816" t="s">
        <v>1021</v>
      </c>
    </row>
    <row r="232" spans="1:18" hidden="1" outlineLevel="2" x14ac:dyDescent="0.15">
      <c r="A232" s="815" t="s">
        <v>208</v>
      </c>
    </row>
    <row r="233" spans="1:18" hidden="1" outlineLevel="2" x14ac:dyDescent="0.15">
      <c r="A233" s="102">
        <v>1</v>
      </c>
      <c r="B233" s="816" t="s">
        <v>972</v>
      </c>
    </row>
    <row r="234" spans="1:18" hidden="1" outlineLevel="2" x14ac:dyDescent="0.15">
      <c r="A234" s="817">
        <f>A233+1</f>
        <v>2</v>
      </c>
      <c r="B234" s="816" t="s">
        <v>981</v>
      </c>
    </row>
    <row r="235" spans="1:18" hidden="1" outlineLevel="2" x14ac:dyDescent="0.15">
      <c r="A235" s="817">
        <f>A234+1</f>
        <v>3</v>
      </c>
      <c r="B235" s="816" t="s">
        <v>1020</v>
      </c>
    </row>
    <row r="236" spans="1:18" hidden="1" outlineLevel="2" x14ac:dyDescent="0.15">
      <c r="A236" s="815" t="s">
        <v>125</v>
      </c>
    </row>
    <row r="237" spans="1:18" hidden="1" outlineLevel="2" x14ac:dyDescent="0.15">
      <c r="A237" s="102">
        <v>1</v>
      </c>
      <c r="B237" s="816" t="s">
        <v>972</v>
      </c>
    </row>
    <row r="238" spans="1:18" hidden="1" outlineLevel="2" x14ac:dyDescent="0.15">
      <c r="A238" s="102">
        <f>+A237+1</f>
        <v>2</v>
      </c>
      <c r="B238" s="816" t="s">
        <v>1013</v>
      </c>
    </row>
    <row r="239" spans="1:18" hidden="1" outlineLevel="2" x14ac:dyDescent="0.15">
      <c r="A239" s="815" t="s">
        <v>1010</v>
      </c>
    </row>
    <row r="240" spans="1:18" hidden="1" outlineLevel="2" x14ac:dyDescent="0.15">
      <c r="A240" s="102">
        <v>1</v>
      </c>
      <c r="B240" s="816" t="s">
        <v>1017</v>
      </c>
    </row>
    <row r="241" spans="1:2" hidden="1" outlineLevel="2" x14ac:dyDescent="0.15">
      <c r="A241" s="815" t="s">
        <v>1011</v>
      </c>
    </row>
    <row r="242" spans="1:2" hidden="1" outlineLevel="2" x14ac:dyDescent="0.15">
      <c r="A242" s="102">
        <v>1</v>
      </c>
      <c r="B242" s="816" t="s">
        <v>1012</v>
      </c>
    </row>
    <row r="243" spans="1:2" hidden="1" outlineLevel="1" collapsed="1" x14ac:dyDescent="0.15">
      <c r="A243" s="1760" t="s">
        <v>980</v>
      </c>
    </row>
    <row r="244" spans="1:2" hidden="1" outlineLevel="2" x14ac:dyDescent="0.15">
      <c r="A244" s="815" t="s">
        <v>806</v>
      </c>
    </row>
    <row r="245" spans="1:2" hidden="1" outlineLevel="2" x14ac:dyDescent="0.15">
      <c r="A245" s="817">
        <v>1</v>
      </c>
      <c r="B245" s="816" t="s">
        <v>1066</v>
      </c>
    </row>
    <row r="246" spans="1:2" hidden="1" outlineLevel="2" x14ac:dyDescent="0.15">
      <c r="A246" s="102">
        <f>+A245+1</f>
        <v>2</v>
      </c>
      <c r="B246" s="101" t="s">
        <v>1053</v>
      </c>
    </row>
    <row r="247" spans="1:2" hidden="1" outlineLevel="2" x14ac:dyDescent="0.15">
      <c r="A247" s="102">
        <f>+A246+1</f>
        <v>3</v>
      </c>
      <c r="B247" s="101" t="s">
        <v>1054</v>
      </c>
    </row>
    <row r="248" spans="1:2" hidden="1" outlineLevel="2" x14ac:dyDescent="0.15">
      <c r="A248" s="102">
        <f>+A247+1</f>
        <v>4</v>
      </c>
      <c r="B248" s="101" t="s">
        <v>1057</v>
      </c>
    </row>
    <row r="249" spans="1:2" hidden="1" outlineLevel="2" x14ac:dyDescent="0.15">
      <c r="A249" s="102">
        <f t="shared" ref="A249:A256" si="6">+A248+1</f>
        <v>5</v>
      </c>
      <c r="B249" s="101" t="s">
        <v>1058</v>
      </c>
    </row>
    <row r="250" spans="1:2" hidden="1" outlineLevel="2" x14ac:dyDescent="0.15">
      <c r="A250" s="102">
        <f t="shared" si="6"/>
        <v>6</v>
      </c>
      <c r="B250" s="101" t="s">
        <v>1059</v>
      </c>
    </row>
    <row r="251" spans="1:2" hidden="1" outlineLevel="2" x14ac:dyDescent="0.15">
      <c r="A251" s="102">
        <f t="shared" si="6"/>
        <v>7</v>
      </c>
      <c r="B251" s="101" t="s">
        <v>1060</v>
      </c>
    </row>
    <row r="252" spans="1:2" hidden="1" outlineLevel="2" x14ac:dyDescent="0.15">
      <c r="A252" s="102">
        <f t="shared" si="6"/>
        <v>8</v>
      </c>
      <c r="B252" s="101" t="s">
        <v>1061</v>
      </c>
    </row>
    <row r="253" spans="1:2" hidden="1" outlineLevel="2" x14ac:dyDescent="0.15">
      <c r="A253" s="102">
        <f t="shared" si="6"/>
        <v>9</v>
      </c>
      <c r="B253" s="101" t="s">
        <v>1062</v>
      </c>
    </row>
    <row r="254" spans="1:2" hidden="1" outlineLevel="2" x14ac:dyDescent="0.15">
      <c r="A254" s="102">
        <f t="shared" si="6"/>
        <v>10</v>
      </c>
      <c r="B254" s="101" t="s">
        <v>1063</v>
      </c>
    </row>
    <row r="255" spans="1:2" hidden="1" outlineLevel="2" x14ac:dyDescent="0.15">
      <c r="A255" s="102">
        <f t="shared" si="6"/>
        <v>11</v>
      </c>
      <c r="B255" s="101" t="s">
        <v>1064</v>
      </c>
    </row>
    <row r="256" spans="1:2" hidden="1" outlineLevel="2" x14ac:dyDescent="0.15">
      <c r="A256" s="102">
        <f t="shared" si="6"/>
        <v>12</v>
      </c>
      <c r="B256" s="101" t="s">
        <v>1065</v>
      </c>
    </row>
    <row r="257" spans="1:3" hidden="1" outlineLevel="2" x14ac:dyDescent="0.15">
      <c r="A257" s="815" t="s">
        <v>125</v>
      </c>
    </row>
    <row r="258" spans="1:3" hidden="1" outlineLevel="2" x14ac:dyDescent="0.15">
      <c r="A258" s="102">
        <v>1</v>
      </c>
      <c r="B258" s="816" t="s">
        <v>1056</v>
      </c>
    </row>
    <row r="259" spans="1:3" s="816" customFormat="1" hidden="1" outlineLevel="2" x14ac:dyDescent="0.15">
      <c r="A259" s="815" t="s">
        <v>85</v>
      </c>
    </row>
    <row r="260" spans="1:3" s="816" customFormat="1" hidden="1" outlineLevel="2" x14ac:dyDescent="0.15">
      <c r="A260" s="817">
        <v>1</v>
      </c>
      <c r="B260" s="816" t="s">
        <v>1113</v>
      </c>
    </row>
    <row r="261" spans="1:3" s="816" customFormat="1" hidden="1" outlineLevel="2" x14ac:dyDescent="0.15">
      <c r="A261" s="817">
        <f>A260+1</f>
        <v>2</v>
      </c>
      <c r="B261" s="816" t="s">
        <v>1121</v>
      </c>
    </row>
    <row r="262" spans="1:3" s="816" customFormat="1" hidden="1" outlineLevel="2" x14ac:dyDescent="0.15">
      <c r="A262" s="815" t="s">
        <v>1011</v>
      </c>
    </row>
    <row r="263" spans="1:3" s="816" customFormat="1" hidden="1" outlineLevel="2" x14ac:dyDescent="0.15">
      <c r="A263" s="817">
        <v>1</v>
      </c>
      <c r="B263" s="816" t="s">
        <v>1114</v>
      </c>
    </row>
    <row r="264" spans="1:3" hidden="1" outlineLevel="1" collapsed="1" x14ac:dyDescent="0.15">
      <c r="A264" s="1760" t="s">
        <v>1251</v>
      </c>
    </row>
    <row r="265" spans="1:3" hidden="1" outlineLevel="2" x14ac:dyDescent="0.15">
      <c r="A265" s="815" t="s">
        <v>806</v>
      </c>
      <c r="B265" s="816"/>
      <c r="C265" s="816"/>
    </row>
    <row r="266" spans="1:3" hidden="1" outlineLevel="2" x14ac:dyDescent="0.15">
      <c r="A266" s="817">
        <v>1</v>
      </c>
      <c r="B266" s="816" t="s">
        <v>1066</v>
      </c>
      <c r="C266" s="816"/>
    </row>
    <row r="267" spans="1:3" hidden="1" outlineLevel="2" x14ac:dyDescent="0.15">
      <c r="A267" s="817">
        <f>+A266+1</f>
        <v>2</v>
      </c>
      <c r="B267" s="816" t="s">
        <v>1053</v>
      </c>
      <c r="C267" s="816"/>
    </row>
    <row r="268" spans="1:3" hidden="1" outlineLevel="2" x14ac:dyDescent="0.15">
      <c r="A268" s="817">
        <f>+A267+1</f>
        <v>3</v>
      </c>
      <c r="B268" s="816" t="s">
        <v>1054</v>
      </c>
      <c r="C268" s="816"/>
    </row>
    <row r="269" spans="1:3" hidden="1" outlineLevel="2" x14ac:dyDescent="0.15">
      <c r="A269" s="817">
        <f>+A268+1</f>
        <v>4</v>
      </c>
      <c r="B269" s="816" t="s">
        <v>1057</v>
      </c>
      <c r="C269" s="816"/>
    </row>
    <row r="270" spans="1:3" hidden="1" outlineLevel="2" x14ac:dyDescent="0.15">
      <c r="A270" s="817">
        <f t="shared" ref="A270:A278" si="7">+A269+1</f>
        <v>5</v>
      </c>
      <c r="B270" s="816" t="s">
        <v>1058</v>
      </c>
      <c r="C270" s="816"/>
    </row>
    <row r="271" spans="1:3" hidden="1" outlineLevel="2" x14ac:dyDescent="0.15">
      <c r="A271" s="817">
        <f t="shared" si="7"/>
        <v>6</v>
      </c>
      <c r="B271" s="816" t="s">
        <v>1167</v>
      </c>
      <c r="C271" s="816"/>
    </row>
    <row r="272" spans="1:3" hidden="1" outlineLevel="2" x14ac:dyDescent="0.15">
      <c r="A272" s="817">
        <f t="shared" si="7"/>
        <v>7</v>
      </c>
      <c r="B272" s="816" t="s">
        <v>1168</v>
      </c>
      <c r="C272" s="816"/>
    </row>
    <row r="273" spans="1:3" hidden="1" outlineLevel="2" x14ac:dyDescent="0.15">
      <c r="A273" s="817">
        <f t="shared" si="7"/>
        <v>8</v>
      </c>
      <c r="B273" s="816" t="s">
        <v>1061</v>
      </c>
      <c r="C273" s="816"/>
    </row>
    <row r="274" spans="1:3" hidden="1" outlineLevel="2" x14ac:dyDescent="0.15">
      <c r="A274" s="817">
        <f t="shared" si="7"/>
        <v>9</v>
      </c>
      <c r="B274" s="816" t="s">
        <v>1062</v>
      </c>
      <c r="C274" s="816"/>
    </row>
    <row r="275" spans="1:3" hidden="1" outlineLevel="2" x14ac:dyDescent="0.15">
      <c r="A275" s="817">
        <f t="shared" si="7"/>
        <v>10</v>
      </c>
      <c r="B275" s="816" t="s">
        <v>1056</v>
      </c>
      <c r="C275" s="816"/>
    </row>
    <row r="276" spans="1:3" hidden="1" outlineLevel="2" x14ac:dyDescent="0.15">
      <c r="A276" s="817">
        <f t="shared" si="7"/>
        <v>11</v>
      </c>
      <c r="B276" s="816" t="s">
        <v>1063</v>
      </c>
      <c r="C276" s="816"/>
    </row>
    <row r="277" spans="1:3" hidden="1" outlineLevel="2" x14ac:dyDescent="0.15">
      <c r="A277" s="817">
        <f t="shared" si="7"/>
        <v>12</v>
      </c>
      <c r="B277" s="816" t="s">
        <v>1064</v>
      </c>
      <c r="C277" s="816"/>
    </row>
    <row r="278" spans="1:3" hidden="1" outlineLevel="2" x14ac:dyDescent="0.15">
      <c r="A278" s="817">
        <f t="shared" si="7"/>
        <v>13</v>
      </c>
      <c r="B278" s="816" t="s">
        <v>1065</v>
      </c>
      <c r="C278" s="816"/>
    </row>
    <row r="279" spans="1:3" hidden="1" outlineLevel="2" x14ac:dyDescent="0.15">
      <c r="A279" s="817">
        <f>A278+1</f>
        <v>14</v>
      </c>
      <c r="B279" s="816" t="s">
        <v>1169</v>
      </c>
      <c r="C279" s="816"/>
    </row>
    <row r="280" spans="1:3" hidden="1" outlineLevel="2" x14ac:dyDescent="0.15">
      <c r="A280" s="817">
        <f>A279+1</f>
        <v>15</v>
      </c>
      <c r="B280" s="816" t="s">
        <v>1182</v>
      </c>
      <c r="C280" s="816"/>
    </row>
    <row r="281" spans="1:3" hidden="1" outlineLevel="2" x14ac:dyDescent="0.15">
      <c r="A281" s="817">
        <f>A280+1</f>
        <v>16</v>
      </c>
      <c r="B281" s="816" t="s">
        <v>1207</v>
      </c>
      <c r="C281" s="816"/>
    </row>
    <row r="282" spans="1:3" hidden="1" outlineLevel="2" x14ac:dyDescent="0.15">
      <c r="A282" s="815" t="s">
        <v>420</v>
      </c>
      <c r="B282" s="816"/>
      <c r="C282" s="816"/>
    </row>
    <row r="283" spans="1:3" hidden="1" outlineLevel="2" x14ac:dyDescent="0.15">
      <c r="A283" s="817">
        <v>1</v>
      </c>
      <c r="B283" s="816" t="s">
        <v>1170</v>
      </c>
      <c r="C283" s="816"/>
    </row>
    <row r="284" spans="1:3" hidden="1" outlineLevel="2" x14ac:dyDescent="0.15">
      <c r="A284" s="817">
        <f>+A283+1</f>
        <v>2</v>
      </c>
      <c r="B284" s="816" t="s">
        <v>1171</v>
      </c>
      <c r="C284" s="816"/>
    </row>
    <row r="285" spans="1:3" hidden="1" outlineLevel="2" x14ac:dyDescent="0.15">
      <c r="A285" s="817">
        <f>+A284+1</f>
        <v>3</v>
      </c>
      <c r="B285" s="816" t="s">
        <v>1172</v>
      </c>
      <c r="C285" s="816"/>
    </row>
    <row r="286" spans="1:3" hidden="1" outlineLevel="2" x14ac:dyDescent="0.15">
      <c r="A286" s="817">
        <f>A285+1</f>
        <v>4</v>
      </c>
      <c r="B286" s="816" t="s">
        <v>1209</v>
      </c>
      <c r="C286" s="816"/>
    </row>
    <row r="287" spans="1:3" hidden="1" outlineLevel="2" x14ac:dyDescent="0.15">
      <c r="A287" s="815" t="s">
        <v>125</v>
      </c>
      <c r="B287" s="816"/>
      <c r="C287" s="816"/>
    </row>
    <row r="288" spans="1:3" hidden="1" outlineLevel="2" x14ac:dyDescent="0.15">
      <c r="A288" s="817">
        <v>1</v>
      </c>
      <c r="B288" s="816" t="s">
        <v>1056</v>
      </c>
      <c r="C288" s="816"/>
    </row>
    <row r="289" spans="1:18" hidden="1" outlineLevel="2" x14ac:dyDescent="0.15">
      <c r="A289" s="817">
        <f>+A288+1</f>
        <v>2</v>
      </c>
      <c r="B289" s="816" t="s">
        <v>1177</v>
      </c>
      <c r="C289" s="816"/>
    </row>
    <row r="290" spans="1:18" hidden="1" outlineLevel="2" x14ac:dyDescent="0.15">
      <c r="A290" s="817">
        <f>A289+1</f>
        <v>3</v>
      </c>
      <c r="B290" s="816" t="s">
        <v>1209</v>
      </c>
      <c r="C290" s="816"/>
    </row>
    <row r="291" spans="1:18" hidden="1" outlineLevel="2" x14ac:dyDescent="0.15">
      <c r="A291" s="815" t="s">
        <v>85</v>
      </c>
      <c r="B291" s="816"/>
      <c r="C291" s="816"/>
    </row>
    <row r="292" spans="1:18" hidden="1" outlineLevel="2" x14ac:dyDescent="0.15">
      <c r="A292" s="817">
        <v>1</v>
      </c>
      <c r="B292" s="816" t="s">
        <v>1113</v>
      </c>
      <c r="C292" s="816"/>
    </row>
    <row r="293" spans="1:18" hidden="1" outlineLevel="2" x14ac:dyDescent="0.15">
      <c r="A293" s="815" t="s">
        <v>1011</v>
      </c>
      <c r="B293" s="816"/>
      <c r="C293" s="816"/>
    </row>
    <row r="294" spans="1:18" hidden="1" outlineLevel="2" x14ac:dyDescent="0.15">
      <c r="A294" s="817">
        <v>1</v>
      </c>
      <c r="B294" s="816" t="s">
        <v>1114</v>
      </c>
      <c r="C294" s="816"/>
    </row>
    <row r="295" spans="1:18" hidden="1" outlineLevel="2" x14ac:dyDescent="0.15">
      <c r="A295" s="102">
        <f>+A294+1</f>
        <v>2</v>
      </c>
      <c r="B295" s="101" t="s">
        <v>1187</v>
      </c>
    </row>
    <row r="296" spans="1:18" hidden="1" outlineLevel="2" x14ac:dyDescent="0.15">
      <c r="A296" s="102">
        <f>+A295+1</f>
        <v>3</v>
      </c>
      <c r="B296" s="101" t="s">
        <v>1186</v>
      </c>
    </row>
    <row r="297" spans="1:18" hidden="1" outlineLevel="1" collapsed="1" x14ac:dyDescent="0.15">
      <c r="A297" s="3188"/>
      <c r="B297" s="3189"/>
      <c r="C297" s="3189"/>
      <c r="D297" s="3189"/>
      <c r="E297" s="3189"/>
      <c r="F297" s="3189"/>
      <c r="G297" s="3189"/>
      <c r="H297" s="3189"/>
      <c r="I297" s="3189"/>
      <c r="J297" s="3189"/>
      <c r="K297" s="3189"/>
      <c r="L297" s="3189"/>
      <c r="M297" s="3189"/>
      <c r="N297" s="3189"/>
      <c r="O297" s="3189"/>
      <c r="P297" s="3189"/>
      <c r="Q297" s="3189"/>
      <c r="R297" s="3189"/>
    </row>
    <row r="298" spans="1:18" s="533" customFormat="1" ht="16" collapsed="1" x14ac:dyDescent="0.2">
      <c r="A298" s="535">
        <v>2016</v>
      </c>
      <c r="B298" s="2670"/>
      <c r="C298" s="534"/>
      <c r="D298" s="536"/>
      <c r="E298" s="534"/>
      <c r="F298" s="2670"/>
      <c r="G298" s="534"/>
      <c r="H298" s="534"/>
      <c r="I298" s="534"/>
      <c r="J298" s="2670"/>
      <c r="K298" s="534"/>
      <c r="L298" s="534"/>
      <c r="M298" s="534"/>
      <c r="N298" s="534"/>
      <c r="O298" s="534"/>
      <c r="P298" s="534"/>
      <c r="Q298" s="534"/>
      <c r="R298" s="534"/>
    </row>
    <row r="299" spans="1:18" hidden="1" outlineLevel="1" x14ac:dyDescent="0.15">
      <c r="A299" s="1760" t="s">
        <v>1259</v>
      </c>
      <c r="B299" s="816"/>
    </row>
    <row r="300" spans="1:18" hidden="1" outlineLevel="2" x14ac:dyDescent="0.15">
      <c r="A300" s="815" t="s">
        <v>806</v>
      </c>
      <c r="B300" s="816"/>
    </row>
    <row r="301" spans="1:18" hidden="1" outlineLevel="2" x14ac:dyDescent="0.15">
      <c r="A301" s="817">
        <v>1</v>
      </c>
      <c r="B301" s="816"/>
    </row>
    <row r="302" spans="1:18" hidden="1" outlineLevel="2" x14ac:dyDescent="0.15">
      <c r="A302" s="817">
        <f>A301+1</f>
        <v>2</v>
      </c>
      <c r="B302" s="816"/>
    </row>
    <row r="303" spans="1:18" hidden="1" outlineLevel="2" x14ac:dyDescent="0.15">
      <c r="A303" s="817">
        <f t="shared" ref="A303:A316" si="8">A302+1</f>
        <v>3</v>
      </c>
      <c r="B303" s="816"/>
    </row>
    <row r="304" spans="1:18" hidden="1" outlineLevel="2" x14ac:dyDescent="0.15">
      <c r="A304" s="817">
        <f t="shared" si="8"/>
        <v>4</v>
      </c>
      <c r="B304" s="816"/>
    </row>
    <row r="305" spans="1:14" hidden="1" outlineLevel="2" x14ac:dyDescent="0.15">
      <c r="A305" s="817">
        <f t="shared" si="8"/>
        <v>5</v>
      </c>
      <c r="B305" s="816"/>
    </row>
    <row r="306" spans="1:14" hidden="1" outlineLevel="2" x14ac:dyDescent="0.15">
      <c r="A306" s="817">
        <f t="shared" si="8"/>
        <v>6</v>
      </c>
      <c r="B306" s="816"/>
    </row>
    <row r="307" spans="1:14" hidden="1" outlineLevel="2" x14ac:dyDescent="0.15">
      <c r="A307" s="817">
        <f t="shared" si="8"/>
        <v>7</v>
      </c>
      <c r="B307" s="816"/>
    </row>
    <row r="308" spans="1:14" hidden="1" outlineLevel="2" x14ac:dyDescent="0.15">
      <c r="A308" s="817">
        <f t="shared" si="8"/>
        <v>8</v>
      </c>
      <c r="B308" s="1882"/>
    </row>
    <row r="309" spans="1:14" hidden="1" outlineLevel="2" x14ac:dyDescent="0.15">
      <c r="A309" s="817">
        <f t="shared" si="8"/>
        <v>9</v>
      </c>
      <c r="B309" s="816"/>
    </row>
    <row r="310" spans="1:14" hidden="1" outlineLevel="2" x14ac:dyDescent="0.15">
      <c r="A310" s="817">
        <f t="shared" si="8"/>
        <v>10</v>
      </c>
      <c r="B310" s="816"/>
    </row>
    <row r="311" spans="1:14" hidden="1" outlineLevel="2" x14ac:dyDescent="0.15">
      <c r="A311" s="817">
        <f t="shared" si="8"/>
        <v>11</v>
      </c>
      <c r="B311" s="816"/>
    </row>
    <row r="312" spans="1:14" hidden="1" outlineLevel="2" x14ac:dyDescent="0.15">
      <c r="A312" s="817">
        <f t="shared" si="8"/>
        <v>12</v>
      </c>
      <c r="B312" s="816"/>
    </row>
    <row r="313" spans="1:14" hidden="1" outlineLevel="2" x14ac:dyDescent="0.15">
      <c r="A313" s="817">
        <f t="shared" si="8"/>
        <v>13</v>
      </c>
      <c r="B313" s="816"/>
    </row>
    <row r="314" spans="1:14" hidden="1" outlineLevel="2" x14ac:dyDescent="0.15">
      <c r="A314" s="817">
        <f t="shared" si="8"/>
        <v>14</v>
      </c>
      <c r="B314" s="816"/>
    </row>
    <row r="315" spans="1:14" hidden="1" outlineLevel="2" x14ac:dyDescent="0.15">
      <c r="A315" s="817">
        <f t="shared" si="8"/>
        <v>15</v>
      </c>
      <c r="B315" s="816"/>
    </row>
    <row r="316" spans="1:14" s="2520" customFormat="1" hidden="1" outlineLevel="2" x14ac:dyDescent="0.15">
      <c r="A316" s="817">
        <f t="shared" si="8"/>
        <v>16</v>
      </c>
      <c r="B316" s="2523"/>
      <c r="L316" s="2525"/>
      <c r="M316" s="2525"/>
      <c r="N316" s="2525"/>
    </row>
    <row r="317" spans="1:14" hidden="1" outlineLevel="2" x14ac:dyDescent="0.15">
      <c r="A317" s="815" t="s">
        <v>1238</v>
      </c>
      <c r="B317" s="816"/>
    </row>
    <row r="318" spans="1:14" hidden="1" outlineLevel="2" x14ac:dyDescent="0.15">
      <c r="A318" s="817">
        <v>1</v>
      </c>
      <c r="B318" s="816"/>
    </row>
    <row r="319" spans="1:14" hidden="1" outlineLevel="2" x14ac:dyDescent="0.15">
      <c r="A319" s="817">
        <v>2</v>
      </c>
      <c r="B319" s="816"/>
    </row>
    <row r="320" spans="1:14" hidden="1" outlineLevel="2" x14ac:dyDescent="0.15">
      <c r="A320" s="815" t="s">
        <v>125</v>
      </c>
      <c r="B320" s="816"/>
    </row>
    <row r="321" spans="1:14" hidden="1" outlineLevel="2" x14ac:dyDescent="0.15">
      <c r="A321" s="817">
        <v>1</v>
      </c>
      <c r="B321" s="816"/>
    </row>
    <row r="322" spans="1:14" hidden="1" outlineLevel="2" x14ac:dyDescent="0.15">
      <c r="A322" s="817">
        <f>+A321+1</f>
        <v>2</v>
      </c>
      <c r="B322" s="816"/>
    </row>
    <row r="323" spans="1:14" hidden="1" outlineLevel="2" x14ac:dyDescent="0.15">
      <c r="A323" s="817">
        <f>+A322+1</f>
        <v>3</v>
      </c>
      <c r="B323" s="816"/>
    </row>
    <row r="324" spans="1:14" hidden="1" outlineLevel="2" x14ac:dyDescent="0.15">
      <c r="A324" s="817">
        <f>A323+1</f>
        <v>4</v>
      </c>
      <c r="B324" s="816"/>
    </row>
    <row r="325" spans="1:14" hidden="1" outlineLevel="2" x14ac:dyDescent="0.15">
      <c r="A325" s="817">
        <f>A324+1</f>
        <v>5</v>
      </c>
      <c r="B325" s="816"/>
    </row>
    <row r="326" spans="1:14" hidden="1" outlineLevel="2" x14ac:dyDescent="0.15">
      <c r="A326" s="817">
        <f>A325+1</f>
        <v>6</v>
      </c>
      <c r="B326" s="816"/>
    </row>
    <row r="327" spans="1:14" hidden="1" outlineLevel="2" x14ac:dyDescent="0.15">
      <c r="A327" s="815" t="s">
        <v>420</v>
      </c>
      <c r="B327" s="816"/>
    </row>
    <row r="328" spans="1:14" hidden="1" outlineLevel="2" x14ac:dyDescent="0.15">
      <c r="A328" s="817">
        <v>1</v>
      </c>
      <c r="B328" s="816"/>
    </row>
    <row r="329" spans="1:14" hidden="1" outlineLevel="2" x14ac:dyDescent="0.15">
      <c r="A329" s="817">
        <f>+A328+1</f>
        <v>2</v>
      </c>
      <c r="B329" s="816"/>
    </row>
    <row r="330" spans="1:14" hidden="1" outlineLevel="2" x14ac:dyDescent="0.15">
      <c r="A330" s="815" t="s">
        <v>155</v>
      </c>
      <c r="B330" s="816"/>
    </row>
    <row r="331" spans="1:14" hidden="1" outlineLevel="2" x14ac:dyDescent="0.15">
      <c r="A331" s="817">
        <v>1</v>
      </c>
      <c r="B331" s="816"/>
    </row>
    <row r="332" spans="1:14" hidden="1" outlineLevel="1" collapsed="1" x14ac:dyDescent="0.15">
      <c r="A332" s="1760" t="s">
        <v>1314</v>
      </c>
      <c r="B332" s="816"/>
    </row>
    <row r="333" spans="1:14" hidden="1" outlineLevel="2" x14ac:dyDescent="0.15">
      <c r="A333" s="815" t="s">
        <v>806</v>
      </c>
      <c r="B333" s="816"/>
    </row>
    <row r="334" spans="1:14" s="2520" customFormat="1" hidden="1" outlineLevel="2" x14ac:dyDescent="0.15">
      <c r="A334" s="2524">
        <v>1</v>
      </c>
      <c r="B334" s="2523"/>
      <c r="L334" s="2525"/>
      <c r="M334" s="2525"/>
      <c r="N334" s="2525"/>
    </row>
    <row r="335" spans="1:14" hidden="1" outlineLevel="2" x14ac:dyDescent="0.15">
      <c r="A335" s="815" t="s">
        <v>125</v>
      </c>
      <c r="B335" s="2523"/>
      <c r="L335" s="2525"/>
      <c r="M335" s="2525"/>
      <c r="N335" s="2525"/>
    </row>
    <row r="336" spans="1:14" s="2519" customFormat="1" hidden="1" outlineLevel="2" x14ac:dyDescent="0.15">
      <c r="A336" s="2524">
        <v>1</v>
      </c>
      <c r="B336" s="2523"/>
      <c r="L336" s="2523"/>
      <c r="M336" s="2523"/>
      <c r="N336" s="2523"/>
    </row>
    <row r="337" spans="1:17" s="2519" customFormat="1" hidden="1" outlineLevel="2" x14ac:dyDescent="0.15">
      <c r="A337" s="2524">
        <f>+A336+1</f>
        <v>2</v>
      </c>
      <c r="B337" s="2523"/>
      <c r="L337" s="2523"/>
      <c r="M337" s="2523"/>
      <c r="N337" s="2523"/>
    </row>
    <row r="338" spans="1:17" hidden="1" outlineLevel="1" collapsed="1" x14ac:dyDescent="0.15">
      <c r="A338" s="1760" t="s">
        <v>1315</v>
      </c>
      <c r="B338" s="2523"/>
      <c r="L338" s="2525"/>
      <c r="M338" s="2525"/>
      <c r="N338" s="2525"/>
    </row>
    <row r="339" spans="1:17" hidden="1" outlineLevel="2" x14ac:dyDescent="0.15">
      <c r="A339" s="815" t="s">
        <v>806</v>
      </c>
      <c r="B339" s="2523"/>
      <c r="L339" s="2525"/>
      <c r="M339" s="2525"/>
      <c r="N339" s="2525"/>
    </row>
    <row r="340" spans="1:17" s="2521" customFormat="1" hidden="1" outlineLevel="2" x14ac:dyDescent="0.15">
      <c r="A340" s="2524">
        <v>1</v>
      </c>
      <c r="B340" s="2523"/>
      <c r="L340" s="2525"/>
      <c r="M340" s="2525"/>
      <c r="N340" s="2525"/>
    </row>
    <row r="341" spans="1:17" hidden="1" outlineLevel="2" x14ac:dyDescent="0.15">
      <c r="A341" s="815" t="s">
        <v>420</v>
      </c>
      <c r="B341" s="2523"/>
      <c r="L341" s="2525"/>
      <c r="M341" s="2525"/>
      <c r="N341" s="2525"/>
    </row>
    <row r="342" spans="1:17" s="2521" customFormat="1" hidden="1" outlineLevel="2" x14ac:dyDescent="0.15">
      <c r="A342" s="2524">
        <v>1</v>
      </c>
      <c r="B342" s="2523"/>
      <c r="L342" s="2525"/>
      <c r="M342" s="2525"/>
      <c r="N342" s="2525"/>
    </row>
    <row r="343" spans="1:17" hidden="1" outlineLevel="2" x14ac:dyDescent="0.15">
      <c r="A343" s="815" t="s">
        <v>85</v>
      </c>
    </row>
    <row r="344" spans="1:17" hidden="1" outlineLevel="2" x14ac:dyDescent="0.15">
      <c r="A344" s="2524">
        <v>1</v>
      </c>
      <c r="B344" s="2523"/>
    </row>
    <row r="345" spans="1:17" hidden="1" outlineLevel="2" x14ac:dyDescent="0.15">
      <c r="A345" s="817">
        <f>+A344+1</f>
        <v>2</v>
      </c>
      <c r="B345" s="816"/>
    </row>
    <row r="346" spans="1:17" hidden="1" outlineLevel="1" collapsed="1" x14ac:dyDescent="0.15">
      <c r="A346" s="1760" t="s">
        <v>1404</v>
      </c>
    </row>
    <row r="347" spans="1:17" hidden="1" outlineLevel="2" x14ac:dyDescent="0.15">
      <c r="A347" s="815" t="s">
        <v>1238</v>
      </c>
    </row>
    <row r="348" spans="1:17" hidden="1" outlineLevel="2" x14ac:dyDescent="0.15">
      <c r="A348" s="2524">
        <v>1</v>
      </c>
    </row>
    <row r="349" spans="1:17" hidden="1" outlineLevel="2" x14ac:dyDescent="0.15">
      <c r="A349" s="817">
        <f>+A348+1</f>
        <v>2</v>
      </c>
    </row>
    <row r="350" spans="1:17" hidden="1" outlineLevel="2" x14ac:dyDescent="0.15">
      <c r="A350" s="815" t="s">
        <v>157</v>
      </c>
      <c r="C350" s="2671"/>
    </row>
    <row r="351" spans="1:17" hidden="1" outlineLevel="2" x14ac:dyDescent="0.15">
      <c r="A351" s="102">
        <v>1</v>
      </c>
    </row>
    <row r="352" spans="1:17" s="816" customFormat="1" hidden="1" outlineLevel="2" x14ac:dyDescent="0.15">
      <c r="A352" s="2668">
        <f>+A351+1</f>
        <v>2</v>
      </c>
      <c r="B352" s="2669"/>
      <c r="C352" s="2669"/>
      <c r="D352" s="2669"/>
      <c r="E352" s="2669"/>
      <c r="F352" s="2669"/>
      <c r="G352" s="2669"/>
      <c r="H352" s="2669"/>
      <c r="I352" s="2669"/>
      <c r="J352" s="2669"/>
      <c r="K352" s="2669"/>
      <c r="L352" s="2669"/>
      <c r="M352" s="2669"/>
      <c r="N352" s="2669"/>
      <c r="O352" s="2669"/>
      <c r="P352" s="2669"/>
      <c r="Q352" s="2669"/>
    </row>
    <row r="353" spans="1:17" s="816" customFormat="1" hidden="1" outlineLevel="2" x14ac:dyDescent="0.15">
      <c r="A353" s="2668">
        <f>+A352+1</f>
        <v>3</v>
      </c>
      <c r="B353" s="2669"/>
      <c r="C353" s="2669"/>
      <c r="D353" s="2669"/>
      <c r="E353" s="2669"/>
      <c r="F353" s="2669"/>
      <c r="G353" s="2669"/>
      <c r="H353" s="2669"/>
      <c r="I353" s="2669"/>
      <c r="J353" s="2669"/>
      <c r="K353" s="2669"/>
      <c r="L353" s="2669"/>
      <c r="M353" s="2669"/>
      <c r="N353" s="2669"/>
      <c r="O353" s="2669"/>
      <c r="P353" s="2669"/>
      <c r="Q353" s="2669"/>
    </row>
    <row r="354" spans="1:17" s="816" customFormat="1" hidden="1" outlineLevel="2" x14ac:dyDescent="0.15">
      <c r="A354" s="2668">
        <f>+A353+1</f>
        <v>4</v>
      </c>
      <c r="B354" s="2669"/>
      <c r="C354" s="2669"/>
      <c r="D354" s="2669"/>
      <c r="E354" s="2669"/>
      <c r="F354" s="2669"/>
      <c r="G354" s="2669"/>
      <c r="H354" s="2669"/>
      <c r="I354" s="2669"/>
      <c r="J354" s="2669"/>
      <c r="K354" s="2669"/>
      <c r="L354" s="2669"/>
      <c r="M354" s="2669"/>
      <c r="N354" s="2669"/>
      <c r="O354" s="2669"/>
      <c r="P354" s="2669"/>
      <c r="Q354" s="2669"/>
    </row>
    <row r="355" spans="1:17" s="816" customFormat="1" hidden="1" outlineLevel="2" x14ac:dyDescent="0.15">
      <c r="A355" s="2668">
        <f>+A354+1</f>
        <v>5</v>
      </c>
      <c r="B355" s="2669"/>
      <c r="C355" s="2669"/>
      <c r="D355" s="2669"/>
      <c r="E355" s="2669"/>
      <c r="F355" s="2669"/>
      <c r="G355" s="2669"/>
      <c r="H355" s="2669"/>
      <c r="I355" s="2669"/>
      <c r="J355" s="2669"/>
      <c r="K355" s="2669"/>
      <c r="L355" s="2669"/>
      <c r="M355" s="2669"/>
      <c r="N355" s="2669"/>
      <c r="O355" s="2669"/>
      <c r="P355" s="2669"/>
      <c r="Q355" s="2669"/>
    </row>
    <row r="356" spans="1:17" s="816" customFormat="1" hidden="1" outlineLevel="2" x14ac:dyDescent="0.15">
      <c r="A356" s="2668">
        <f>+A355+1</f>
        <v>6</v>
      </c>
      <c r="B356" s="2669"/>
      <c r="C356" s="2669"/>
      <c r="D356" s="2669"/>
      <c r="E356" s="2669"/>
      <c r="F356" s="2669"/>
      <c r="G356" s="2669"/>
      <c r="H356" s="2669"/>
      <c r="I356" s="2669"/>
      <c r="J356" s="2669"/>
      <c r="K356" s="2669"/>
      <c r="L356" s="2669"/>
      <c r="M356" s="2669"/>
      <c r="N356" s="2669"/>
      <c r="O356" s="2669"/>
      <c r="P356" s="2669"/>
      <c r="Q356" s="2669"/>
    </row>
    <row r="357" spans="1:17" hidden="1" outlineLevel="2" x14ac:dyDescent="0.15">
      <c r="A357" s="815" t="s">
        <v>420</v>
      </c>
    </row>
    <row r="358" spans="1:17" hidden="1" outlineLevel="2" x14ac:dyDescent="0.15">
      <c r="A358" s="102">
        <v>1</v>
      </c>
    </row>
    <row r="359" spans="1:17" hidden="1" outlineLevel="2" x14ac:dyDescent="0.15">
      <c r="A359" s="817">
        <f>+A358+1</f>
        <v>2</v>
      </c>
    </row>
    <row r="360" spans="1:17" hidden="1" outlineLevel="2" x14ac:dyDescent="0.15">
      <c r="A360" s="817">
        <f>+A359+1</f>
        <v>3</v>
      </c>
    </row>
    <row r="361" spans="1:17" hidden="1" outlineLevel="2" x14ac:dyDescent="0.15">
      <c r="A361" s="815" t="s">
        <v>125</v>
      </c>
    </row>
    <row r="362" spans="1:17" hidden="1" outlineLevel="2" x14ac:dyDescent="0.15">
      <c r="A362" s="102">
        <v>1</v>
      </c>
    </row>
    <row r="363" spans="1:17" hidden="1" outlineLevel="2" x14ac:dyDescent="0.15">
      <c r="A363" s="815" t="s">
        <v>85</v>
      </c>
    </row>
    <row r="364" spans="1:17" hidden="1" outlineLevel="2" x14ac:dyDescent="0.15">
      <c r="A364" s="102">
        <v>1</v>
      </c>
    </row>
    <row r="365" spans="1:17" hidden="1" outlineLevel="2" x14ac:dyDescent="0.15">
      <c r="A365" s="815" t="s">
        <v>1011</v>
      </c>
    </row>
    <row r="366" spans="1:17" hidden="1" outlineLevel="2" x14ac:dyDescent="0.15">
      <c r="A366" s="102">
        <v>1</v>
      </c>
    </row>
    <row r="367" spans="1:17" hidden="1" outlineLevel="2" x14ac:dyDescent="0.15">
      <c r="A367" s="815" t="s">
        <v>155</v>
      </c>
    </row>
    <row r="368" spans="1:17" hidden="1" outlineLevel="2" x14ac:dyDescent="0.15">
      <c r="A368" s="102">
        <v>1</v>
      </c>
    </row>
    <row r="369" spans="1:18" hidden="1" outlineLevel="1" collapsed="1" x14ac:dyDescent="0.15">
      <c r="A369" s="3188"/>
      <c r="B369" s="3189"/>
      <c r="C369" s="3189"/>
      <c r="D369" s="3189"/>
      <c r="E369" s="3189"/>
      <c r="F369" s="3189"/>
      <c r="G369" s="3189"/>
      <c r="H369" s="3189"/>
      <c r="I369" s="3189"/>
      <c r="J369" s="3189"/>
      <c r="K369" s="3189"/>
      <c r="L369" s="3189"/>
      <c r="M369" s="3189"/>
      <c r="N369" s="3189"/>
      <c r="O369" s="3189"/>
      <c r="P369" s="3189"/>
      <c r="Q369" s="3189"/>
      <c r="R369" s="3189"/>
    </row>
    <row r="370" spans="1:18" s="533" customFormat="1" ht="16" collapsed="1" x14ac:dyDescent="0.2">
      <c r="A370" s="535">
        <v>2017</v>
      </c>
      <c r="B370" s="2670"/>
      <c r="C370" s="534"/>
      <c r="D370" s="536"/>
      <c r="E370" s="534"/>
      <c r="F370" s="2670"/>
      <c r="G370" s="534"/>
      <c r="H370" s="534"/>
      <c r="I370" s="534"/>
      <c r="J370" s="2670"/>
      <c r="K370" s="534"/>
      <c r="L370" s="534"/>
      <c r="M370" s="534"/>
      <c r="N370" s="534"/>
      <c r="O370" s="534"/>
      <c r="P370" s="534"/>
      <c r="Q370" s="534"/>
      <c r="R370" s="534"/>
    </row>
    <row r="371" spans="1:18" hidden="1" outlineLevel="1" x14ac:dyDescent="0.15">
      <c r="A371" s="1760" t="s">
        <v>1473</v>
      </c>
    </row>
    <row r="372" spans="1:18" hidden="1" outlineLevel="2" x14ac:dyDescent="0.15">
      <c r="A372" s="815" t="s">
        <v>157</v>
      </c>
    </row>
    <row r="373" spans="1:18" hidden="1" outlineLevel="2" x14ac:dyDescent="0.15">
      <c r="A373" s="102">
        <v>1</v>
      </c>
    </row>
    <row r="374" spans="1:18" hidden="1" outlineLevel="2" x14ac:dyDescent="0.15">
      <c r="A374" s="815" t="s">
        <v>125</v>
      </c>
    </row>
    <row r="375" spans="1:18" hidden="1" outlineLevel="2" x14ac:dyDescent="0.15">
      <c r="A375" s="102">
        <v>1</v>
      </c>
    </row>
    <row r="376" spans="1:18" hidden="1" outlineLevel="2" x14ac:dyDescent="0.15">
      <c r="A376" s="102">
        <f>+A375+1</f>
        <v>2</v>
      </c>
    </row>
    <row r="377" spans="1:18" hidden="1" outlineLevel="2" x14ac:dyDescent="0.15">
      <c r="A377" s="102">
        <f>+A376+1</f>
        <v>3</v>
      </c>
    </row>
    <row r="378" spans="1:18" hidden="1" outlineLevel="2" x14ac:dyDescent="0.15">
      <c r="A378" s="102">
        <f>+A377+1</f>
        <v>4</v>
      </c>
    </row>
    <row r="379" spans="1:18" hidden="1" outlineLevel="2" x14ac:dyDescent="0.15">
      <c r="A379" s="102">
        <f>+A378+1</f>
        <v>5</v>
      </c>
    </row>
    <row r="380" spans="1:18" hidden="1" outlineLevel="2" x14ac:dyDescent="0.15">
      <c r="A380" s="102">
        <f>+A379+1</f>
        <v>6</v>
      </c>
    </row>
    <row r="381" spans="1:18" hidden="1" outlineLevel="2" x14ac:dyDescent="0.15">
      <c r="A381" s="817">
        <v>1</v>
      </c>
      <c r="B381" s="816"/>
    </row>
    <row r="382" spans="1:18" hidden="1" outlineLevel="2" x14ac:dyDescent="0.15">
      <c r="A382" s="815" t="s">
        <v>85</v>
      </c>
      <c r="B382" s="816"/>
    </row>
    <row r="383" spans="1:18" hidden="1" outlineLevel="2" x14ac:dyDescent="0.15">
      <c r="A383" s="817">
        <v>1</v>
      </c>
      <c r="B383" s="816"/>
    </row>
    <row r="384" spans="1:18" hidden="1" outlineLevel="1" collapsed="1" x14ac:dyDescent="0.15">
      <c r="A384" s="1760" t="s">
        <v>1693</v>
      </c>
    </row>
    <row r="385" spans="1:1" hidden="1" outlineLevel="2" x14ac:dyDescent="0.15">
      <c r="A385" s="815" t="s">
        <v>1238</v>
      </c>
    </row>
    <row r="386" spans="1:1" hidden="1" outlineLevel="2" x14ac:dyDescent="0.15">
      <c r="A386" s="2524">
        <v>1</v>
      </c>
    </row>
    <row r="387" spans="1:1" hidden="1" outlineLevel="2" x14ac:dyDescent="0.15">
      <c r="A387" s="815" t="s">
        <v>157</v>
      </c>
    </row>
    <row r="388" spans="1:1" hidden="1" outlineLevel="2" x14ac:dyDescent="0.15">
      <c r="A388" s="102">
        <v>1</v>
      </c>
    </row>
    <row r="389" spans="1:1" hidden="1" outlineLevel="2" x14ac:dyDescent="0.15">
      <c r="A389" s="102">
        <v>1</v>
      </c>
    </row>
    <row r="390" spans="1:1" hidden="1" outlineLevel="2" x14ac:dyDescent="0.15">
      <c r="A390" s="102">
        <f>+A389+1</f>
        <v>2</v>
      </c>
    </row>
    <row r="391" spans="1:1" hidden="1" outlineLevel="2" x14ac:dyDescent="0.15">
      <c r="A391" s="102">
        <f>A390+1</f>
        <v>3</v>
      </c>
    </row>
    <row r="392" spans="1:1" hidden="1" outlineLevel="2" x14ac:dyDescent="0.15">
      <c r="A392" s="815" t="s">
        <v>125</v>
      </c>
    </row>
    <row r="393" spans="1:1" hidden="1" outlineLevel="2" x14ac:dyDescent="0.15">
      <c r="A393" s="102">
        <v>1</v>
      </c>
    </row>
    <row r="394" spans="1:1" hidden="1" outlineLevel="2" x14ac:dyDescent="0.15">
      <c r="A394" s="102">
        <f>+A393+1</f>
        <v>2</v>
      </c>
    </row>
    <row r="395" spans="1:1" hidden="1" outlineLevel="2" x14ac:dyDescent="0.15">
      <c r="A395" s="102">
        <f>A394+1</f>
        <v>3</v>
      </c>
    </row>
    <row r="396" spans="1:1" hidden="1" outlineLevel="2" x14ac:dyDescent="0.15">
      <c r="A396" s="102">
        <f>A395+1</f>
        <v>4</v>
      </c>
    </row>
    <row r="397" spans="1:1" hidden="1" outlineLevel="2" x14ac:dyDescent="0.15">
      <c r="A397" s="815" t="s">
        <v>85</v>
      </c>
    </row>
    <row r="398" spans="1:1" hidden="1" outlineLevel="2" x14ac:dyDescent="0.15">
      <c r="A398" s="102">
        <v>1</v>
      </c>
    </row>
    <row r="399" spans="1:1" hidden="1" outlineLevel="2" x14ac:dyDescent="0.15">
      <c r="A399" s="102">
        <v>1</v>
      </c>
    </row>
    <row r="400" spans="1:1" hidden="1" outlineLevel="1" collapsed="1" x14ac:dyDescent="0.15">
      <c r="A400" s="1760" t="s">
        <v>1567</v>
      </c>
    </row>
    <row r="401" spans="1:14" hidden="1" outlineLevel="2" x14ac:dyDescent="0.15">
      <c r="A401" s="815" t="s">
        <v>157</v>
      </c>
    </row>
    <row r="402" spans="1:14" hidden="1" outlineLevel="2" x14ac:dyDescent="0.15">
      <c r="A402" s="102">
        <v>1</v>
      </c>
    </row>
    <row r="403" spans="1:14" hidden="1" outlineLevel="2" x14ac:dyDescent="0.15">
      <c r="A403" s="102">
        <v>2</v>
      </c>
    </row>
    <row r="404" spans="1:14" hidden="1" outlineLevel="2" x14ac:dyDescent="0.15">
      <c r="A404" s="815" t="s">
        <v>208</v>
      </c>
    </row>
    <row r="405" spans="1:14" hidden="1" outlineLevel="2" x14ac:dyDescent="0.15">
      <c r="A405" s="102">
        <v>1</v>
      </c>
    </row>
    <row r="406" spans="1:14" hidden="1" outlineLevel="2" x14ac:dyDescent="0.15">
      <c r="A406" s="102">
        <v>1</v>
      </c>
    </row>
    <row r="407" spans="1:14" hidden="1" outlineLevel="2" x14ac:dyDescent="0.15">
      <c r="A407" s="815" t="s">
        <v>125</v>
      </c>
    </row>
    <row r="408" spans="1:14" hidden="1" outlineLevel="2" x14ac:dyDescent="0.15">
      <c r="A408" s="102">
        <v>1</v>
      </c>
    </row>
    <row r="409" spans="1:14" hidden="1" outlineLevel="2" x14ac:dyDescent="0.15">
      <c r="A409" s="102">
        <v>2</v>
      </c>
      <c r="N409" s="816"/>
    </row>
    <row r="410" spans="1:14" hidden="1" outlineLevel="2" x14ac:dyDescent="0.15">
      <c r="A410" s="815" t="s">
        <v>1011</v>
      </c>
    </row>
    <row r="411" spans="1:14" hidden="1" outlineLevel="2" x14ac:dyDescent="0.15">
      <c r="A411" s="102">
        <v>1</v>
      </c>
    </row>
    <row r="412" spans="1:14" hidden="1" outlineLevel="2" x14ac:dyDescent="0.15">
      <c r="A412" s="815" t="s">
        <v>85</v>
      </c>
    </row>
    <row r="413" spans="1:14" hidden="1" outlineLevel="2" x14ac:dyDescent="0.15">
      <c r="A413" s="102">
        <v>1</v>
      </c>
    </row>
    <row r="414" spans="1:14" hidden="1" outlineLevel="1" collapsed="1" x14ac:dyDescent="0.15">
      <c r="A414" s="1760" t="s">
        <v>1783</v>
      </c>
    </row>
    <row r="415" spans="1:14" hidden="1" outlineLevel="2" x14ac:dyDescent="0.15">
      <c r="A415" s="815" t="s">
        <v>157</v>
      </c>
    </row>
    <row r="416" spans="1:14" hidden="1" outlineLevel="2" x14ac:dyDescent="0.15">
      <c r="A416" s="102">
        <v>1</v>
      </c>
    </row>
    <row r="417" spans="1:1" hidden="1" outlineLevel="2" x14ac:dyDescent="0.15">
      <c r="A417" s="102">
        <f>A416+1</f>
        <v>2</v>
      </c>
    </row>
    <row r="418" spans="1:1" hidden="1" outlineLevel="2" x14ac:dyDescent="0.15">
      <c r="A418" s="102">
        <f>A417+1</f>
        <v>3</v>
      </c>
    </row>
    <row r="419" spans="1:1" hidden="1" outlineLevel="2" x14ac:dyDescent="0.15">
      <c r="A419" s="102">
        <f>A418+1</f>
        <v>4</v>
      </c>
    </row>
    <row r="420" spans="1:1" hidden="1" outlineLevel="2" x14ac:dyDescent="0.15">
      <c r="A420" s="102">
        <f>A419+1</f>
        <v>5</v>
      </c>
    </row>
    <row r="421" spans="1:1" hidden="1" outlineLevel="2" x14ac:dyDescent="0.15">
      <c r="A421" s="102">
        <f>A432+1</f>
        <v>6</v>
      </c>
    </row>
    <row r="422" spans="1:1" hidden="1" outlineLevel="2" x14ac:dyDescent="0.15">
      <c r="A422" s="815" t="s">
        <v>208</v>
      </c>
    </row>
    <row r="423" spans="1:1" hidden="1" outlineLevel="2" x14ac:dyDescent="0.15">
      <c r="A423" s="102">
        <v>1</v>
      </c>
    </row>
    <row r="424" spans="1:1" hidden="1" outlineLevel="2" x14ac:dyDescent="0.15">
      <c r="A424" s="815" t="s">
        <v>85</v>
      </c>
    </row>
    <row r="425" spans="1:1" hidden="1" outlineLevel="2" x14ac:dyDescent="0.15">
      <c r="A425" s="102">
        <v>1</v>
      </c>
    </row>
    <row r="426" spans="1:1" hidden="1" outlineLevel="2" x14ac:dyDescent="0.15">
      <c r="A426" s="102">
        <f>+A425+1</f>
        <v>2</v>
      </c>
    </row>
    <row r="427" spans="1:1" hidden="1" outlineLevel="2" x14ac:dyDescent="0.15">
      <c r="A427" s="815" t="s">
        <v>125</v>
      </c>
    </row>
    <row r="428" spans="1:1" hidden="1" outlineLevel="2" x14ac:dyDescent="0.15">
      <c r="A428" s="102">
        <v>1</v>
      </c>
    </row>
    <row r="429" spans="1:1" hidden="1" outlineLevel="2" x14ac:dyDescent="0.15">
      <c r="A429" s="102">
        <f>A428+1</f>
        <v>2</v>
      </c>
    </row>
    <row r="430" spans="1:1" hidden="1" outlineLevel="2" x14ac:dyDescent="0.15">
      <c r="A430" s="102">
        <f>A429+1</f>
        <v>3</v>
      </c>
    </row>
    <row r="431" spans="1:1" hidden="1" outlineLevel="2" x14ac:dyDescent="0.15">
      <c r="A431" s="102">
        <f>A430+1</f>
        <v>4</v>
      </c>
    </row>
    <row r="432" spans="1:1" hidden="1" outlineLevel="2" x14ac:dyDescent="0.15">
      <c r="A432" s="102">
        <f>A431+1</f>
        <v>5</v>
      </c>
    </row>
    <row r="433" spans="1:18" hidden="1" outlineLevel="1" collapsed="1" x14ac:dyDescent="0.15">
      <c r="A433" s="1760" t="s">
        <v>1811</v>
      </c>
    </row>
    <row r="434" spans="1:18" hidden="1" outlineLevel="2" x14ac:dyDescent="0.15">
      <c r="A434" s="815" t="s">
        <v>85</v>
      </c>
    </row>
    <row r="435" spans="1:18" hidden="1" outlineLevel="2" x14ac:dyDescent="0.15">
      <c r="A435" s="102">
        <v>1</v>
      </c>
    </row>
    <row r="436" spans="1:18" hidden="1" outlineLevel="2" x14ac:dyDescent="0.15">
      <c r="A436" s="815" t="s">
        <v>157</v>
      </c>
    </row>
    <row r="437" spans="1:18" hidden="1" outlineLevel="2" x14ac:dyDescent="0.15">
      <c r="A437" s="102">
        <v>1</v>
      </c>
    </row>
    <row r="438" spans="1:18" hidden="1" outlineLevel="2" x14ac:dyDescent="0.15">
      <c r="A438" s="815" t="s">
        <v>125</v>
      </c>
    </row>
    <row r="439" spans="1:18" hidden="1" outlineLevel="2" x14ac:dyDescent="0.15">
      <c r="A439" s="102">
        <v>1</v>
      </c>
    </row>
    <row r="440" spans="1:18" hidden="1" outlineLevel="1" collapsed="1" x14ac:dyDescent="0.15">
      <c r="A440" s="3188"/>
      <c r="B440" s="3189"/>
      <c r="C440" s="3189"/>
      <c r="D440" s="3189"/>
      <c r="E440" s="3189"/>
      <c r="F440" s="3189"/>
      <c r="G440" s="3189"/>
      <c r="H440" s="3189"/>
      <c r="I440" s="3189"/>
      <c r="J440" s="3189"/>
      <c r="K440" s="3189"/>
      <c r="L440" s="3189"/>
      <c r="M440" s="3189"/>
      <c r="N440" s="3189"/>
      <c r="O440" s="3189"/>
      <c r="P440" s="3189"/>
      <c r="Q440" s="3189"/>
      <c r="R440" s="3189"/>
    </row>
    <row r="441" spans="1:18" s="533" customFormat="1" ht="16" collapsed="1" x14ac:dyDescent="0.2">
      <c r="A441" s="535">
        <v>2018</v>
      </c>
      <c r="B441" s="2670"/>
      <c r="C441" s="534"/>
      <c r="D441" s="536"/>
      <c r="E441" s="534"/>
      <c r="F441" s="2670"/>
      <c r="G441" s="534"/>
      <c r="H441" s="534"/>
      <c r="I441" s="534"/>
      <c r="J441" s="2670"/>
      <c r="K441" s="534"/>
      <c r="L441" s="534"/>
      <c r="M441" s="534"/>
      <c r="N441" s="534"/>
      <c r="O441" s="534"/>
      <c r="P441" s="534"/>
      <c r="Q441" s="534"/>
      <c r="R441" s="534"/>
    </row>
    <row r="442" spans="1:18" x14ac:dyDescent="0.15">
      <c r="A442" s="1760" t="s">
        <v>1831</v>
      </c>
    </row>
    <row r="443" spans="1:18" hidden="1" outlineLevel="1" x14ac:dyDescent="0.15">
      <c r="A443" s="815" t="s">
        <v>1011</v>
      </c>
    </row>
    <row r="444" spans="1:18" hidden="1" outlineLevel="1" x14ac:dyDescent="0.15">
      <c r="A444" s="102">
        <v>1</v>
      </c>
      <c r="B444" s="101" t="s">
        <v>1832</v>
      </c>
      <c r="L444" s="101" t="s">
        <v>1451</v>
      </c>
      <c r="N444" s="101" t="s">
        <v>1835</v>
      </c>
    </row>
    <row r="445" spans="1:18" hidden="1" outlineLevel="1" x14ac:dyDescent="0.15">
      <c r="A445" s="815" t="s">
        <v>85</v>
      </c>
    </row>
    <row r="446" spans="1:18" hidden="1" outlineLevel="1" x14ac:dyDescent="0.15">
      <c r="A446" s="102">
        <v>1</v>
      </c>
      <c r="B446" s="101" t="s">
        <v>1834</v>
      </c>
      <c r="L446" s="101" t="s">
        <v>1573</v>
      </c>
      <c r="N446" s="101" t="s">
        <v>1836</v>
      </c>
    </row>
    <row r="447" spans="1:18" hidden="1" outlineLevel="1" x14ac:dyDescent="0.15">
      <c r="A447" s="815" t="s">
        <v>157</v>
      </c>
    </row>
    <row r="448" spans="1:18" hidden="1" outlineLevel="1" x14ac:dyDescent="0.15">
      <c r="A448" s="102">
        <v>1</v>
      </c>
      <c r="B448" s="101" t="s">
        <v>1837</v>
      </c>
      <c r="L448" s="101" t="s">
        <v>1573</v>
      </c>
      <c r="N448" s="101" t="s">
        <v>1838</v>
      </c>
    </row>
    <row r="449" spans="1:14" hidden="1" outlineLevel="1" x14ac:dyDescent="0.15">
      <c r="A449" s="102">
        <f>A448+1</f>
        <v>2</v>
      </c>
      <c r="B449" s="101" t="s">
        <v>1842</v>
      </c>
      <c r="L449" s="101" t="s">
        <v>1573</v>
      </c>
      <c r="N449" s="101" t="s">
        <v>1841</v>
      </c>
    </row>
    <row r="450" spans="1:14" hidden="1" outlineLevel="1" x14ac:dyDescent="0.15">
      <c r="A450" s="102">
        <f>A449+1</f>
        <v>3</v>
      </c>
      <c r="B450" s="101" t="s">
        <v>1861</v>
      </c>
      <c r="L450" s="101" t="s">
        <v>1573</v>
      </c>
      <c r="N450" s="101" t="s">
        <v>1862</v>
      </c>
    </row>
    <row r="451" spans="1:14" hidden="1" outlineLevel="1" x14ac:dyDescent="0.15">
      <c r="A451" s="815" t="s">
        <v>125</v>
      </c>
    </row>
    <row r="452" spans="1:14" hidden="1" outlineLevel="1" x14ac:dyDescent="0.15">
      <c r="A452" s="102">
        <v>1</v>
      </c>
      <c r="B452" s="101" t="s">
        <v>1837</v>
      </c>
      <c r="L452" s="101" t="s">
        <v>1573</v>
      </c>
      <c r="N452" s="101" t="s">
        <v>1838</v>
      </c>
    </row>
    <row r="453" spans="1:14" hidden="1" outlineLevel="1" x14ac:dyDescent="0.15">
      <c r="A453" s="815" t="s">
        <v>1238</v>
      </c>
    </row>
    <row r="454" spans="1:14" hidden="1" outlineLevel="1" x14ac:dyDescent="0.15">
      <c r="A454" s="102">
        <v>1</v>
      </c>
      <c r="B454" s="101" t="s">
        <v>1840</v>
      </c>
      <c r="L454" s="101" t="s">
        <v>1573</v>
      </c>
      <c r="N454" s="101" t="s">
        <v>1841</v>
      </c>
    </row>
    <row r="455" spans="1:14" collapsed="1" x14ac:dyDescent="0.15">
      <c r="A455" s="1760" t="s">
        <v>1883</v>
      </c>
    </row>
    <row r="456" spans="1:14" x14ac:dyDescent="0.15">
      <c r="A456" s="815" t="s">
        <v>1238</v>
      </c>
    </row>
    <row r="457" spans="1:14" x14ac:dyDescent="0.15">
      <c r="A457" s="102">
        <v>1</v>
      </c>
      <c r="B457" s="101" t="s">
        <v>1893</v>
      </c>
      <c r="L457" s="101" t="s">
        <v>1573</v>
      </c>
      <c r="N457" s="101" t="s">
        <v>1897</v>
      </c>
    </row>
    <row r="458" spans="1:14" x14ac:dyDescent="0.15">
      <c r="A458" s="815" t="s">
        <v>85</v>
      </c>
    </row>
    <row r="459" spans="1:14" x14ac:dyDescent="0.15">
      <c r="A459" s="102">
        <v>1</v>
      </c>
      <c r="B459" s="101" t="s">
        <v>1929</v>
      </c>
      <c r="L459" s="101" t="s">
        <v>1573</v>
      </c>
      <c r="N459" s="101" t="s">
        <v>1897</v>
      </c>
    </row>
    <row r="460" spans="1:14" x14ac:dyDescent="0.15">
      <c r="A460" s="815" t="s">
        <v>680</v>
      </c>
    </row>
    <row r="461" spans="1:14" x14ac:dyDescent="0.15">
      <c r="A461" s="102">
        <v>1</v>
      </c>
      <c r="B461" s="101" t="s">
        <v>1928</v>
      </c>
      <c r="L461" s="101" t="s">
        <v>1573</v>
      </c>
      <c r="N461" s="101" t="s">
        <v>1897</v>
      </c>
    </row>
    <row r="462" spans="1:14" x14ac:dyDescent="0.15">
      <c r="A462" s="815" t="s">
        <v>1890</v>
      </c>
    </row>
    <row r="463" spans="1:14" x14ac:dyDescent="0.15">
      <c r="A463" s="102">
        <v>1</v>
      </c>
      <c r="B463" s="101" t="s">
        <v>1896</v>
      </c>
      <c r="L463" s="101" t="s">
        <v>1573</v>
      </c>
      <c r="N463" s="101" t="s">
        <v>1897</v>
      </c>
    </row>
    <row r="464" spans="1:14" x14ac:dyDescent="0.15">
      <c r="A464" s="102">
        <f>+A463+1</f>
        <v>2</v>
      </c>
      <c r="B464" s="101" t="s">
        <v>1891</v>
      </c>
      <c r="L464" s="101" t="s">
        <v>1573</v>
      </c>
      <c r="N464" s="101" t="s">
        <v>1892</v>
      </c>
    </row>
    <row r="465" spans="1:14" x14ac:dyDescent="0.15">
      <c r="A465" s="102">
        <f>+A464+1</f>
        <v>3</v>
      </c>
      <c r="B465" s="101" t="s">
        <v>1909</v>
      </c>
      <c r="L465" s="101" t="s">
        <v>1573</v>
      </c>
      <c r="N465" s="101" t="s">
        <v>1910</v>
      </c>
    </row>
    <row r="466" spans="1:14" x14ac:dyDescent="0.15">
      <c r="A466" s="815" t="s">
        <v>157</v>
      </c>
    </row>
    <row r="467" spans="1:14" x14ac:dyDescent="0.15">
      <c r="A467" s="102">
        <v>1</v>
      </c>
      <c r="B467" s="101" t="s">
        <v>1896</v>
      </c>
      <c r="L467" s="101" t="s">
        <v>1573</v>
      </c>
      <c r="N467" s="101" t="s">
        <v>1897</v>
      </c>
    </row>
    <row r="468" spans="1:14" x14ac:dyDescent="0.15">
      <c r="A468" s="815" t="s">
        <v>208</v>
      </c>
    </row>
    <row r="469" spans="1:14" x14ac:dyDescent="0.15">
      <c r="A469" s="102">
        <v>1</v>
      </c>
      <c r="B469" s="101" t="s">
        <v>1884</v>
      </c>
      <c r="L469" s="101" t="s">
        <v>1573</v>
      </c>
      <c r="N469" s="101" t="s">
        <v>1897</v>
      </c>
    </row>
    <row r="470" spans="1:14" x14ac:dyDescent="0.15">
      <c r="A470" s="102">
        <f>+A469+1</f>
        <v>2</v>
      </c>
      <c r="B470" s="101" t="s">
        <v>1894</v>
      </c>
      <c r="L470" s="101" t="s">
        <v>1573</v>
      </c>
      <c r="N470" s="101" t="s">
        <v>1885</v>
      </c>
    </row>
    <row r="471" spans="1:14" x14ac:dyDescent="0.15">
      <c r="A471" s="102">
        <f>+A470+1</f>
        <v>3</v>
      </c>
      <c r="B471" s="101" t="s">
        <v>1895</v>
      </c>
      <c r="L471" s="101" t="s">
        <v>1573</v>
      </c>
      <c r="N471" s="101" t="s">
        <v>1886</v>
      </c>
    </row>
    <row r="472" spans="1:14" x14ac:dyDescent="0.15">
      <c r="A472" s="815" t="s">
        <v>856</v>
      </c>
    </row>
    <row r="473" spans="1:14" x14ac:dyDescent="0.15">
      <c r="A473" s="102">
        <v>1</v>
      </c>
      <c r="B473" s="101" t="s">
        <v>1896</v>
      </c>
      <c r="L473" s="101" t="s">
        <v>1573</v>
      </c>
      <c r="N473" s="101" t="s">
        <v>1897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663300"/>
  </sheetPr>
  <dimension ref="A1:B106"/>
  <sheetViews>
    <sheetView workbookViewId="0">
      <selection activeCell="A27" sqref="A27"/>
    </sheetView>
  </sheetViews>
  <sheetFormatPr baseColWidth="10" defaultColWidth="8.83203125" defaultRowHeight="15" customHeight="1" x14ac:dyDescent="0.2"/>
  <cols>
    <col min="1" max="1" width="54.6640625" style="25" customWidth="1"/>
    <col min="2" max="2" width="64.5" customWidth="1"/>
    <col min="3" max="3" width="28" bestFit="1" customWidth="1"/>
  </cols>
  <sheetData>
    <row r="1" spans="1:2" ht="15" customHeight="1" x14ac:dyDescent="0.2">
      <c r="A1" s="225"/>
      <c r="B1" s="220"/>
    </row>
    <row r="2" spans="1:2" ht="15" customHeight="1" x14ac:dyDescent="0.2">
      <c r="A2" s="223" t="s">
        <v>390</v>
      </c>
      <c r="B2" s="221" t="s">
        <v>391</v>
      </c>
    </row>
    <row r="3" spans="1:2" ht="15" customHeight="1" thickBot="1" x14ac:dyDescent="0.2">
      <c r="A3" s="224" t="s">
        <v>301</v>
      </c>
      <c r="B3" s="222"/>
    </row>
    <row r="4" spans="1:2" ht="15" customHeight="1" x14ac:dyDescent="0.2">
      <c r="A4" s="1069" t="s">
        <v>1575</v>
      </c>
      <c r="B4" s="1069"/>
    </row>
    <row r="5" spans="1:2" ht="15" customHeight="1" x14ac:dyDescent="0.2">
      <c r="A5" s="159" t="s">
        <v>1284</v>
      </c>
      <c r="B5" s="212">
        <f>VLOOKUP(A5,wfRange,30,FALSE)</f>
        <v>0.76443878410714283</v>
      </c>
    </row>
    <row r="6" spans="1:2" ht="15" customHeight="1" x14ac:dyDescent="0.2">
      <c r="A6" s="159" t="str">
        <f>A5</f>
        <v>AGD wkstn ArcMap 2D V Med 100%Dyn 19x10 Feature</v>
      </c>
      <c r="B6" s="212">
        <f>VLOOKUP(A6,wfRange,30,FALSE)</f>
        <v>0.76443878410714283</v>
      </c>
    </row>
    <row r="7" spans="1:2" ht="15" customHeight="1" x14ac:dyDescent="0.2">
      <c r="A7" s="159" t="s">
        <v>1357</v>
      </c>
      <c r="B7" s="212">
        <f>VLOOKUP(A7,wfRange,30,FALSE)</f>
        <v>1.1466581761607144</v>
      </c>
    </row>
    <row r="8" spans="1:2" ht="15" customHeight="1" x14ac:dyDescent="0.2">
      <c r="A8" s="159" t="s">
        <v>1485</v>
      </c>
      <c r="B8" s="212">
        <f>VLOOKUP(A8,wfRange,30,FALSE)</f>
        <v>0.32507805041071441</v>
      </c>
    </row>
    <row r="9" spans="1:2" ht="15" customHeight="1" x14ac:dyDescent="0.2">
      <c r="A9" s="1069" t="s">
        <v>1577</v>
      </c>
      <c r="B9" s="1069"/>
    </row>
    <row r="10" spans="1:2" ht="15" customHeight="1" x14ac:dyDescent="0.2">
      <c r="A10" s="159" t="s">
        <v>1285</v>
      </c>
      <c r="B10" s="212">
        <f t="shared" ref="B10:B15" si="0">VLOOKUP(A10,wfRange,30,FALSE)</f>
        <v>0.80832449839285714</v>
      </c>
    </row>
    <row r="11" spans="1:2" ht="15" customHeight="1" x14ac:dyDescent="0.2">
      <c r="A11" s="159" t="s">
        <v>1362</v>
      </c>
      <c r="B11" s="212">
        <f t="shared" si="0"/>
        <v>1.1905438904464287</v>
      </c>
    </row>
    <row r="12" spans="1:2" ht="15" customHeight="1" x14ac:dyDescent="0.2">
      <c r="A12" s="159" t="s">
        <v>1286</v>
      </c>
      <c r="B12" s="212">
        <f t="shared" si="0"/>
        <v>0.80832449839285714</v>
      </c>
    </row>
    <row r="13" spans="1:2" ht="15" customHeight="1" x14ac:dyDescent="0.2">
      <c r="A13" s="159" t="s">
        <v>1363</v>
      </c>
      <c r="B13" s="212">
        <f t="shared" si="0"/>
        <v>1.1905438904464287</v>
      </c>
    </row>
    <row r="14" spans="1:2" ht="15" customHeight="1" x14ac:dyDescent="0.2">
      <c r="A14" s="159" t="s">
        <v>1486</v>
      </c>
      <c r="B14" s="212" t="e">
        <f t="shared" si="0"/>
        <v>#N/A</v>
      </c>
    </row>
    <row r="15" spans="1:2" ht="15" customHeight="1" x14ac:dyDescent="0.2">
      <c r="A15" s="159" t="s">
        <v>1487</v>
      </c>
      <c r="B15" s="212" t="e">
        <f t="shared" si="0"/>
        <v>#N/A</v>
      </c>
    </row>
    <row r="16" spans="1:2" ht="15" customHeight="1" x14ac:dyDescent="0.2">
      <c r="A16" s="1069" t="s">
        <v>1576</v>
      </c>
      <c r="B16" s="1069"/>
    </row>
    <row r="17" spans="1:2" ht="15" customHeight="1" x14ac:dyDescent="0.2">
      <c r="A17" s="159" t="s">
        <v>1358</v>
      </c>
      <c r="B17" s="212">
        <f>VLOOKUP(A17,wfRange,30,FALSE)</f>
        <v>0.76443878410714283</v>
      </c>
    </row>
    <row r="18" spans="1:2" ht="15" customHeight="1" x14ac:dyDescent="0.2">
      <c r="A18" s="159" t="s">
        <v>1359</v>
      </c>
      <c r="B18" s="212">
        <f>VLOOKUP(A18,wfRange,30,FALSE)</f>
        <v>1.1466581761607144</v>
      </c>
    </row>
    <row r="19" spans="1:2" ht="15" customHeight="1" x14ac:dyDescent="0.2">
      <c r="A19" s="159" t="s">
        <v>1360</v>
      </c>
      <c r="B19" s="212">
        <f>VLOOKUP(A19,wfRange,30,FALSE)</f>
        <v>0.3250780504107143</v>
      </c>
    </row>
    <row r="20" spans="1:2" ht="15" customHeight="1" x14ac:dyDescent="0.2">
      <c r="A20" s="159" t="s">
        <v>1361</v>
      </c>
      <c r="B20" s="212">
        <f>VLOOKUP(A20,wfRange,30,FALSE)</f>
        <v>2.1786608547321431</v>
      </c>
    </row>
    <row r="21" spans="1:2" ht="15" customHeight="1" x14ac:dyDescent="0.2">
      <c r="A21" s="1069" t="s">
        <v>1578</v>
      </c>
      <c r="B21" s="1069"/>
    </row>
    <row r="22" spans="1:2" ht="15" customHeight="1" x14ac:dyDescent="0.2">
      <c r="A22" s="159" t="s">
        <v>1287</v>
      </c>
      <c r="B22" s="212">
        <f t="shared" ref="B22:B29" si="1">VLOOKUP(A22,wfRange,30,FALSE)</f>
        <v>0.80832449839285714</v>
      </c>
    </row>
    <row r="23" spans="1:2" ht="15" customHeight="1" x14ac:dyDescent="0.2">
      <c r="A23" s="159" t="s">
        <v>1365</v>
      </c>
      <c r="B23" s="212">
        <f t="shared" si="1"/>
        <v>1.1905438904464287</v>
      </c>
    </row>
    <row r="24" spans="1:2" ht="15" customHeight="1" x14ac:dyDescent="0.2">
      <c r="A24" s="159" t="s">
        <v>1288</v>
      </c>
      <c r="B24" s="212">
        <f t="shared" si="1"/>
        <v>0.80832449839285714</v>
      </c>
    </row>
    <row r="25" spans="1:2" ht="15" customHeight="1" x14ac:dyDescent="0.2">
      <c r="A25" s="159" t="s">
        <v>1364</v>
      </c>
      <c r="B25" s="212">
        <f t="shared" si="1"/>
        <v>1.1905438904464287</v>
      </c>
    </row>
    <row r="26" spans="1:2" ht="15" customHeight="1" x14ac:dyDescent="0.2">
      <c r="A26" s="159" t="s">
        <v>1366</v>
      </c>
      <c r="B26" s="212" t="e">
        <f t="shared" si="1"/>
        <v>#N/A</v>
      </c>
    </row>
    <row r="27" spans="1:2" ht="15" customHeight="1" x14ac:dyDescent="0.2">
      <c r="A27" s="159" t="s">
        <v>1367</v>
      </c>
      <c r="B27" s="212" t="e">
        <f t="shared" si="1"/>
        <v>#N/A</v>
      </c>
    </row>
    <row r="28" spans="1:2" ht="15" customHeight="1" x14ac:dyDescent="0.2">
      <c r="A28" s="159" t="s">
        <v>1368</v>
      </c>
      <c r="B28" s="212">
        <f t="shared" si="1"/>
        <v>2.2225465690178572</v>
      </c>
    </row>
    <row r="29" spans="1:2" ht="15" customHeight="1" x14ac:dyDescent="0.2">
      <c r="A29" s="159" t="s">
        <v>1369</v>
      </c>
      <c r="B29" s="212">
        <f t="shared" si="1"/>
        <v>2.2225465690178572</v>
      </c>
    </row>
    <row r="30" spans="1:2" ht="15" customHeight="1" x14ac:dyDescent="0.2">
      <c r="A30" s="1069" t="s">
        <v>1326</v>
      </c>
      <c r="B30" s="1069"/>
    </row>
    <row r="31" spans="1:2" ht="15" customHeight="1" x14ac:dyDescent="0.2">
      <c r="A31" s="159" t="s">
        <v>1289</v>
      </c>
      <c r="B31" s="212" t="e">
        <f>VLOOKUP(A31,wfRange,30,FALSE)</f>
        <v>#N/A</v>
      </c>
    </row>
    <row r="32" spans="1:2" ht="15" customHeight="1" x14ac:dyDescent="0.2">
      <c r="A32" s="159" t="s">
        <v>1290</v>
      </c>
      <c r="B32" s="212" t="e">
        <f>VLOOKUP(A32,wfRange,30,FALSE)</f>
        <v>#N/A</v>
      </c>
    </row>
    <row r="33" spans="1:2" ht="15" customHeight="1" x14ac:dyDescent="0.2">
      <c r="A33" s="159" t="s">
        <v>1291</v>
      </c>
      <c r="B33" s="212">
        <f>VLOOKUP(A33,wfRange,30,FALSE)</f>
        <v>0.33190188140178567</v>
      </c>
    </row>
    <row r="34" spans="1:2" ht="15" customHeight="1" x14ac:dyDescent="0.2">
      <c r="A34" s="159" t="s">
        <v>1292</v>
      </c>
      <c r="B34" s="212" t="e">
        <f>VLOOKUP(A34,wfRange,30,FALSE)</f>
        <v>#N/A</v>
      </c>
    </row>
    <row r="35" spans="1:2" ht="15" customHeight="1" x14ac:dyDescent="0.2">
      <c r="A35" s="159" t="s">
        <v>1293</v>
      </c>
      <c r="B35" s="212" t="e">
        <f>VLOOKUP(A35,wfRange,30,FALSE)</f>
        <v>#N/A</v>
      </c>
    </row>
    <row r="36" spans="1:2" ht="15" customHeight="1" x14ac:dyDescent="0.2">
      <c r="A36" s="1069" t="s">
        <v>1327</v>
      </c>
      <c r="B36" s="1069"/>
    </row>
    <row r="37" spans="1:2" ht="15" customHeight="1" x14ac:dyDescent="0.2">
      <c r="A37" s="159" t="s">
        <v>1294</v>
      </c>
      <c r="B37" s="212">
        <f>VLOOKUP(A37,wfRange,30,FALSE)</f>
        <v>3.235430599732142E-2</v>
      </c>
    </row>
    <row r="38" spans="1:2" ht="15" customHeight="1" x14ac:dyDescent="0.2">
      <c r="A38" s="1069" t="s">
        <v>1328</v>
      </c>
      <c r="B38" s="1069"/>
    </row>
    <row r="39" spans="1:2" ht="15" customHeight="1" x14ac:dyDescent="0.2">
      <c r="A39" s="159" t="s">
        <v>1312</v>
      </c>
      <c r="B39" s="212">
        <f>VLOOKUP(A39,wfRange,30,FALSE)</f>
        <v>1.8285714285714285</v>
      </c>
    </row>
    <row r="40" spans="1:2" ht="15" customHeight="1" thickBot="1" x14ac:dyDescent="0.25">
      <c r="A40" s="213"/>
      <c r="B40" s="213"/>
    </row>
    <row r="41" spans="1:2" ht="15" customHeight="1" thickBot="1" x14ac:dyDescent="0.25"/>
    <row r="42" spans="1:2" ht="15" customHeight="1" x14ac:dyDescent="0.2">
      <c r="A42" s="214" t="s">
        <v>398</v>
      </c>
      <c r="B42" s="215" t="s">
        <v>418</v>
      </c>
    </row>
    <row r="43" spans="1:2" ht="15" customHeight="1" x14ac:dyDescent="0.2">
      <c r="A43" s="131" t="s">
        <v>488</v>
      </c>
      <c r="B43" s="210"/>
    </row>
    <row r="44" spans="1:2" ht="15" customHeight="1" x14ac:dyDescent="0.15">
      <c r="A44" s="156" t="s">
        <v>939</v>
      </c>
      <c r="B44" s="211" t="str">
        <f>CONCATENATE("Platform Specifications: ",  VLOOKUP(A44,Hardware!$A$3:$I$632,9,FALSE),",  Throughput = ",ROUND(VLOOKUP(A44,Hardware!$A$3:$I$632,6,FALSE),1),",  Baseline/Core = ",ROUND(VLOOKUP(A44,Hardware!$A$3:$I$632,7,FALSE),1))</f>
        <v>Platform Specifications: Intel,  Throughput = 209,  Baseline/Core = 52.3</v>
      </c>
    </row>
    <row r="45" spans="1:2" ht="15" customHeight="1" x14ac:dyDescent="0.2">
      <c r="A45" s="131" t="s">
        <v>1329</v>
      </c>
      <c r="B45" s="210"/>
    </row>
    <row r="46" spans="1:2" ht="15" customHeight="1" x14ac:dyDescent="0.15">
      <c r="A46" s="156" t="s">
        <v>1108</v>
      </c>
      <c r="B46" s="211" t="str">
        <f>CONCATENATE("Platform Specifications: ",  VLOOKUP(A46,Hardware!$A$3:$I$632,9,FALSE),",  Throughput = ",ROUND(VLOOKUP(A46,Hardware!$A$3:$I$632,6,FALSE),1),",  Baseline/Core = ",ROUND(VLOOKUP(A46,Hardware!$A$3:$I$632,7,FALSE),1))</f>
        <v>Platform Specifications: Intel,  Throughput = 235,  Baseline/Core = 58.8</v>
      </c>
    </row>
    <row r="47" spans="1:2" ht="15" customHeight="1" x14ac:dyDescent="0.15">
      <c r="A47" s="156" t="s">
        <v>1109</v>
      </c>
      <c r="B47" s="211" t="str">
        <f>CONCATENATE("Platform Specifications: ",  VLOOKUP(A47,Hardware!$A$3:$I$632,9,FALSE),",  Throughput = ",ROUND(VLOOKUP(A47,Hardware!$A$3:$I$632,6,FALSE),1),",  Baseline/Core = ",ROUND(VLOOKUP(A47,Hardware!$A$3:$I$632,7,FALSE),1))</f>
        <v>Platform Specifications: Intel,  Throughput = 459,  Baseline/Core = 57.4</v>
      </c>
    </row>
    <row r="48" spans="1:2" ht="15" customHeight="1" x14ac:dyDescent="0.15">
      <c r="A48" s="156" t="s">
        <v>1110</v>
      </c>
      <c r="B48" s="211" t="str">
        <f>CONCATENATE("Platform Specifications: ",  VLOOKUP(A48,Hardware!$A$3:$I$632,9,FALSE),",  Throughput = ",ROUND(VLOOKUP(A48,Hardware!$A$3:$I$632,6,FALSE),1),",  Baseline/Core = ",ROUND(VLOOKUP(A48,Hardware!$A$3:$I$632,7,FALSE),1))</f>
        <v>Platform Specifications: Intel,  Throughput = 671,  Baseline/Core = 55.9</v>
      </c>
    </row>
    <row r="49" spans="1:2" ht="15" customHeight="1" x14ac:dyDescent="0.15">
      <c r="A49" s="156" t="s">
        <v>1111</v>
      </c>
      <c r="B49" s="211" t="str">
        <f>CONCATENATE("Platform Specifications: ",  VLOOKUP(A49,Hardware!$A$3:$I$632,9,FALSE),",  Throughput = ",ROUND(VLOOKUP(A49,Hardware!$A$3:$I$632,6,FALSE),1),",  Baseline/Core = ",ROUND(VLOOKUP(A49,Hardware!$A$3:$I$632,7,FALSE),1))</f>
        <v>Platform Specifications: Intel,  Throughput = 816,  Baseline/Core = 51</v>
      </c>
    </row>
    <row r="50" spans="1:2" ht="15" customHeight="1" x14ac:dyDescent="0.15">
      <c r="A50" s="156" t="s">
        <v>1183</v>
      </c>
      <c r="B50" s="211" t="str">
        <f>CONCATENATE("Platform Specifications: ",  VLOOKUP(A50,Hardware!$A$3:$I$632,9,FALSE),",  Throughput = ",ROUND(VLOOKUP(A50,Hardware!$A$3:$I$632,6,FALSE),1),",  Baseline/Core = ",ROUND(VLOOKUP(A50,Hardware!$A$3:$I$632,7,FALSE),1))</f>
        <v>Platform Specifications: Intel,  Throughput = 954,  Baseline/Core = 47.7</v>
      </c>
    </row>
    <row r="51" spans="1:2" ht="15" customHeight="1" x14ac:dyDescent="0.15">
      <c r="A51" s="156" t="s">
        <v>1184</v>
      </c>
      <c r="B51" s="211" t="str">
        <f>CONCATENATE("Platform Specifications: ",  VLOOKUP(A51,Hardware!$A$3:$I$632,9,FALSE),",  Throughput = ",ROUND(VLOOKUP(A51,Hardware!$A$3:$I$632,6,FALSE),1),",  Baseline/Core = ",ROUND(VLOOKUP(A51,Hardware!$A$3:$I$632,7,FALSE),1))</f>
        <v>Platform Specifications: Intel,  Throughput = 1100,  Baseline/Core = 45.8</v>
      </c>
    </row>
    <row r="52" spans="1:2" ht="15" customHeight="1" x14ac:dyDescent="0.15">
      <c r="A52" s="156" t="s">
        <v>1185</v>
      </c>
      <c r="B52" s="211" t="str">
        <f>CONCATENATE("Platform Specifications: ",  VLOOKUP(A52,Hardware!$A$3:$I$632,9,FALSE),",  Throughput = ",ROUND(VLOOKUP(A52,Hardware!$A$3:$I$632,6,FALSE),1),",  Baseline/Core = ",ROUND(VLOOKUP(A52,Hardware!$A$3:$I$632,7,FALSE),1))</f>
        <v>Platform Specifications: Intel,  Throughput = 1210,  Baseline/Core = 43.2</v>
      </c>
    </row>
    <row r="53" spans="1:2" ht="15" customHeight="1" x14ac:dyDescent="0.15">
      <c r="A53" s="156" t="s">
        <v>1330</v>
      </c>
      <c r="B53" s="211" t="e">
        <f>CONCATENATE("Platform Specifications: ",  VLOOKUP(A53,Hardware!$A$3:$I$632,9,FALSE),",  Throughput = ",ROUND(VLOOKUP(A53,Hardware!$A$3:$I$632,6,FALSE),1),",  Baseline/Core = ",ROUND(VLOOKUP(A53,Hardware!$A$3:$I$632,7,FALSE),1))</f>
        <v>#N/A</v>
      </c>
    </row>
    <row r="54" spans="1:2" ht="15" customHeight="1" thickBot="1" x14ac:dyDescent="0.25">
      <c r="A54" s="130"/>
      <c r="B54" s="209"/>
    </row>
    <row r="55" spans="1:2" s="217" customFormat="1" ht="15" customHeight="1" x14ac:dyDescent="0.2">
      <c r="A55" s="88"/>
      <c r="B55" s="216"/>
    </row>
    <row r="56" spans="1:2" s="217" customFormat="1" ht="15" customHeight="1" x14ac:dyDescent="0.2">
      <c r="A56" s="88"/>
      <c r="B56" s="216"/>
    </row>
    <row r="57" spans="1:2" s="217" customFormat="1" ht="15" customHeight="1" x14ac:dyDescent="0.2">
      <c r="A57" s="88"/>
      <c r="B57" s="216"/>
    </row>
    <row r="58" spans="1:2" s="217" customFormat="1" ht="15" customHeight="1" x14ac:dyDescent="0.2">
      <c r="A58" s="88"/>
      <c r="B58" s="216"/>
    </row>
    <row r="59" spans="1:2" s="217" customFormat="1" ht="15" customHeight="1" x14ac:dyDescent="0.2">
      <c r="A59" s="88"/>
      <c r="B59" s="216"/>
    </row>
    <row r="60" spans="1:2" s="217" customFormat="1" ht="15" customHeight="1" x14ac:dyDescent="0.2">
      <c r="A60" s="88"/>
      <c r="B60" s="216"/>
    </row>
    <row r="61" spans="1:2" s="217" customFormat="1" ht="15" customHeight="1" x14ac:dyDescent="0.2">
      <c r="A61" s="88"/>
      <c r="B61" s="216"/>
    </row>
    <row r="62" spans="1:2" s="217" customFormat="1" ht="15" customHeight="1" x14ac:dyDescent="0.2">
      <c r="A62" s="88"/>
      <c r="B62" s="216"/>
    </row>
    <row r="63" spans="1:2" s="217" customFormat="1" ht="15" customHeight="1" x14ac:dyDescent="0.2">
      <c r="A63" s="88"/>
      <c r="B63" s="216"/>
    </row>
    <row r="64" spans="1:2" s="217" customFormat="1" ht="15" customHeight="1" x14ac:dyDescent="0.2">
      <c r="A64" s="88"/>
      <c r="B64" s="216"/>
    </row>
    <row r="65" spans="1:2" s="217" customFormat="1" ht="15" customHeight="1" x14ac:dyDescent="0.2">
      <c r="A65" s="88"/>
      <c r="B65" s="216"/>
    </row>
    <row r="66" spans="1:2" s="217" customFormat="1" ht="15" customHeight="1" x14ac:dyDescent="0.2">
      <c r="A66" s="88"/>
      <c r="B66" s="216"/>
    </row>
    <row r="67" spans="1:2" s="217" customFormat="1" ht="15" customHeight="1" x14ac:dyDescent="0.2">
      <c r="A67" s="88"/>
      <c r="B67" s="216"/>
    </row>
    <row r="68" spans="1:2" s="217" customFormat="1" ht="15" customHeight="1" x14ac:dyDescent="0.2">
      <c r="A68" s="88"/>
      <c r="B68" s="216"/>
    </row>
    <row r="69" spans="1:2" s="217" customFormat="1" ht="15" customHeight="1" x14ac:dyDescent="0.2">
      <c r="A69" s="88"/>
      <c r="B69" s="216"/>
    </row>
    <row r="70" spans="1:2" s="217" customFormat="1" ht="15" customHeight="1" x14ac:dyDescent="0.2">
      <c r="A70" s="88"/>
      <c r="B70" s="216"/>
    </row>
    <row r="71" spans="1:2" s="217" customFormat="1" ht="15" customHeight="1" x14ac:dyDescent="0.2">
      <c r="A71" s="88"/>
      <c r="B71" s="216"/>
    </row>
    <row r="72" spans="1:2" s="217" customFormat="1" ht="15" customHeight="1" x14ac:dyDescent="0.2">
      <c r="A72" s="88"/>
      <c r="B72" s="216"/>
    </row>
    <row r="73" spans="1:2" s="217" customFormat="1" ht="15" customHeight="1" x14ac:dyDescent="0.2">
      <c r="A73" s="88"/>
      <c r="B73" s="216"/>
    </row>
    <row r="74" spans="1:2" s="217" customFormat="1" ht="15" customHeight="1" x14ac:dyDescent="0.2">
      <c r="A74" s="88"/>
      <c r="B74" s="216"/>
    </row>
    <row r="75" spans="1:2" s="217" customFormat="1" ht="15" customHeight="1" x14ac:dyDescent="0.2">
      <c r="A75" s="88"/>
      <c r="B75" s="216"/>
    </row>
    <row r="76" spans="1:2" s="217" customFormat="1" ht="15" customHeight="1" x14ac:dyDescent="0.2">
      <c r="A76" s="88"/>
      <c r="B76" s="216"/>
    </row>
    <row r="77" spans="1:2" s="217" customFormat="1" ht="15" customHeight="1" x14ac:dyDescent="0.2">
      <c r="A77" s="88"/>
      <c r="B77" s="216"/>
    </row>
    <row r="78" spans="1:2" s="217" customFormat="1" ht="15" customHeight="1" x14ac:dyDescent="0.2">
      <c r="A78" s="88"/>
      <c r="B78" s="216"/>
    </row>
    <row r="79" spans="1:2" s="217" customFormat="1" ht="15" customHeight="1" x14ac:dyDescent="0.2">
      <c r="A79" s="88"/>
      <c r="B79" s="216"/>
    </row>
    <row r="80" spans="1:2" s="217" customFormat="1" ht="15" customHeight="1" x14ac:dyDescent="0.2">
      <c r="A80" s="88"/>
      <c r="B80" s="216"/>
    </row>
    <row r="81" spans="1:2" s="217" customFormat="1" ht="15" customHeight="1" x14ac:dyDescent="0.2">
      <c r="A81" s="88"/>
      <c r="B81" s="216"/>
    </row>
    <row r="82" spans="1:2" s="217" customFormat="1" ht="15" customHeight="1" x14ac:dyDescent="0.2">
      <c r="A82" s="88"/>
      <c r="B82" s="216"/>
    </row>
    <row r="83" spans="1:2" s="217" customFormat="1" ht="15" customHeight="1" x14ac:dyDescent="0.2">
      <c r="A83" s="88"/>
      <c r="B83" s="216"/>
    </row>
    <row r="84" spans="1:2" s="217" customFormat="1" ht="15" customHeight="1" x14ac:dyDescent="0.2">
      <c r="A84" s="88"/>
      <c r="B84" s="216"/>
    </row>
    <row r="85" spans="1:2" s="217" customFormat="1" ht="15" customHeight="1" x14ac:dyDescent="0.2">
      <c r="A85" s="88"/>
      <c r="B85" s="216"/>
    </row>
    <row r="86" spans="1:2" s="217" customFormat="1" ht="15" customHeight="1" x14ac:dyDescent="0.2">
      <c r="A86" s="88"/>
      <c r="B86" s="216"/>
    </row>
    <row r="87" spans="1:2" s="217" customFormat="1" ht="15" customHeight="1" x14ac:dyDescent="0.2">
      <c r="A87" s="88"/>
      <c r="B87" s="216"/>
    </row>
    <row r="88" spans="1:2" s="217" customFormat="1" ht="15" customHeight="1" x14ac:dyDescent="0.2">
      <c r="A88" s="88"/>
      <c r="B88" s="216"/>
    </row>
    <row r="89" spans="1:2" s="217" customFormat="1" ht="15" customHeight="1" x14ac:dyDescent="0.2">
      <c r="A89" s="88"/>
      <c r="B89" s="216"/>
    </row>
    <row r="90" spans="1:2" s="217" customFormat="1" ht="15" customHeight="1" x14ac:dyDescent="0.2">
      <c r="A90" s="88"/>
      <c r="B90" s="216"/>
    </row>
    <row r="91" spans="1:2" s="217" customFormat="1" ht="15" customHeight="1" x14ac:dyDescent="0.2">
      <c r="A91" s="88"/>
      <c r="B91" s="216"/>
    </row>
    <row r="92" spans="1:2" s="217" customFormat="1" ht="15" customHeight="1" x14ac:dyDescent="0.2">
      <c r="A92" s="88"/>
      <c r="B92" s="216"/>
    </row>
    <row r="93" spans="1:2" s="217" customFormat="1" ht="15" customHeight="1" x14ac:dyDescent="0.2">
      <c r="A93" s="88"/>
      <c r="B93" s="216"/>
    </row>
    <row r="94" spans="1:2" s="217" customFormat="1" ht="15" customHeight="1" x14ac:dyDescent="0.2">
      <c r="A94" s="88"/>
      <c r="B94" s="216"/>
    </row>
    <row r="95" spans="1:2" s="217" customFormat="1" ht="15" customHeight="1" x14ac:dyDescent="0.2">
      <c r="A95" s="88"/>
      <c r="B95" s="216"/>
    </row>
    <row r="96" spans="1:2" s="217" customFormat="1" ht="15" customHeight="1" x14ac:dyDescent="0.2">
      <c r="A96" s="88"/>
      <c r="B96" s="216"/>
    </row>
    <row r="97" spans="1:2" s="217" customFormat="1" ht="15" customHeight="1" x14ac:dyDescent="0.2">
      <c r="A97" s="88"/>
      <c r="B97" s="216"/>
    </row>
    <row r="98" spans="1:2" s="217" customFormat="1" ht="15" customHeight="1" x14ac:dyDescent="0.2">
      <c r="A98" s="88"/>
      <c r="B98" s="216"/>
    </row>
    <row r="99" spans="1:2" s="217" customFormat="1" ht="15" customHeight="1" x14ac:dyDescent="0.2">
      <c r="A99" s="88"/>
      <c r="B99" s="216"/>
    </row>
    <row r="100" spans="1:2" s="217" customFormat="1" ht="15" customHeight="1" x14ac:dyDescent="0.2">
      <c r="A100" s="88"/>
      <c r="B100" s="216"/>
    </row>
    <row r="101" spans="1:2" s="217" customFormat="1" ht="15" customHeight="1" x14ac:dyDescent="0.2">
      <c r="A101" s="88"/>
      <c r="B101" s="216"/>
    </row>
    <row r="102" spans="1:2" s="217" customFormat="1" ht="15" customHeight="1" x14ac:dyDescent="0.2">
      <c r="A102" s="88"/>
      <c r="B102" s="216"/>
    </row>
    <row r="103" spans="1:2" s="217" customFormat="1" ht="15" customHeight="1" x14ac:dyDescent="0.2">
      <c r="A103" s="88"/>
      <c r="B103" s="216"/>
    </row>
    <row r="104" spans="1:2" s="217" customFormat="1" ht="15" customHeight="1" x14ac:dyDescent="0.2">
      <c r="A104" s="219" t="s">
        <v>419</v>
      </c>
      <c r="B104" s="218"/>
    </row>
    <row r="105" spans="1:2" ht="15" customHeight="1" x14ac:dyDescent="0.2">
      <c r="A105" s="25" t="s">
        <v>420</v>
      </c>
    </row>
    <row r="106" spans="1:2" ht="15" customHeight="1" x14ac:dyDescent="0.2">
      <c r="A106" s="25" t="s">
        <v>421</v>
      </c>
    </row>
  </sheetData>
  <phoneticPr fontId="0" type="noConversion"/>
  <dataValidations count="2">
    <dataValidation type="list" allowBlank="1" showInputMessage="1" showErrorMessage="1" sqref="A44 A46:A53">
      <formula1>HWList</formula1>
    </dataValidation>
    <dataValidation type="list" allowBlank="1" showInputMessage="1" showErrorMessage="1" sqref="A39 A31:A35 A37 A10:A15 A5:A8 A17:A20 A22:A29">
      <formula1>wfList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60033"/>
  </sheetPr>
  <dimension ref="A1:M38"/>
  <sheetViews>
    <sheetView showZeros="0" workbookViewId="0">
      <selection sqref="A1:M1048576"/>
    </sheetView>
  </sheetViews>
  <sheetFormatPr baseColWidth="10" defaultColWidth="8.83203125" defaultRowHeight="13" x14ac:dyDescent="0.15"/>
  <cols>
    <col min="1" max="1" width="28.1640625" style="2099" customWidth="1"/>
    <col min="2" max="2" width="11.1640625" style="2100" customWidth="1"/>
    <col min="3" max="3" width="9.1640625" style="2100" customWidth="1"/>
    <col min="4" max="4" width="10.33203125" style="2100" customWidth="1"/>
    <col min="5" max="5" width="10.83203125" style="2101" customWidth="1"/>
    <col min="6" max="6" width="10.5" style="2101" customWidth="1"/>
    <col min="7" max="7" width="9.5" style="2100" customWidth="1"/>
    <col min="8" max="8" width="9.1640625" style="2100" customWidth="1"/>
    <col min="9" max="9" width="10.33203125" style="2100" customWidth="1"/>
    <col min="10" max="10" width="9.6640625" style="2101" customWidth="1"/>
    <col min="11" max="11" width="10.5" style="2101" customWidth="1"/>
  </cols>
  <sheetData>
    <row r="1" spans="1:13" x14ac:dyDescent="0.15">
      <c r="A1" s="2110"/>
      <c r="B1" s="2122" t="s">
        <v>988</v>
      </c>
      <c r="C1" s="2123"/>
      <c r="D1" s="2124"/>
      <c r="E1" s="2125"/>
      <c r="F1" s="2126"/>
      <c r="G1" s="2122" t="s">
        <v>1920</v>
      </c>
      <c r="H1" s="2123"/>
      <c r="I1" s="2124"/>
      <c r="J1" s="2125"/>
      <c r="K1" s="2126"/>
      <c r="L1" s="2126"/>
      <c r="M1" s="2126"/>
    </row>
    <row r="2" spans="1:13" x14ac:dyDescent="0.15">
      <c r="A2" s="2111" t="s">
        <v>988</v>
      </c>
      <c r="B2" s="2127"/>
      <c r="C2" s="3261" t="s">
        <v>995</v>
      </c>
      <c r="D2" s="3262"/>
      <c r="E2" s="3262" t="s">
        <v>996</v>
      </c>
      <c r="F2" s="3263"/>
      <c r="G2" s="2127"/>
      <c r="H2" s="3261" t="s">
        <v>995</v>
      </c>
      <c r="I2" s="3262"/>
      <c r="J2" s="3261" t="s">
        <v>996</v>
      </c>
      <c r="K2" s="3262"/>
      <c r="L2" s="3262"/>
      <c r="M2" s="3263"/>
    </row>
    <row r="3" spans="1:13" x14ac:dyDescent="0.15">
      <c r="A3" s="2112"/>
      <c r="B3" s="2128"/>
      <c r="C3" s="3264" t="s">
        <v>12</v>
      </c>
      <c r="D3" s="3265"/>
      <c r="E3" s="3264" t="s">
        <v>104</v>
      </c>
      <c r="F3" s="3265"/>
      <c r="G3" s="2128" t="s">
        <v>982</v>
      </c>
      <c r="H3" s="3264" t="s">
        <v>12</v>
      </c>
      <c r="I3" s="3265"/>
      <c r="J3" s="3266" t="s">
        <v>104</v>
      </c>
      <c r="K3" s="3267"/>
      <c r="L3" s="3267"/>
      <c r="M3" s="3268"/>
    </row>
    <row r="4" spans="1:13" x14ac:dyDescent="0.15">
      <c r="A4" s="2112"/>
      <c r="B4" s="2128" t="s">
        <v>982</v>
      </c>
      <c r="C4" s="2105" t="s">
        <v>1921</v>
      </c>
      <c r="D4" s="2106" t="s">
        <v>1907</v>
      </c>
      <c r="E4" s="2105" t="s">
        <v>1921</v>
      </c>
      <c r="F4" s="2130" t="s">
        <v>1907</v>
      </c>
      <c r="G4" s="2129" t="s">
        <v>305</v>
      </c>
      <c r="H4" s="2105" t="s">
        <v>1921</v>
      </c>
      <c r="I4" s="2106" t="s">
        <v>1907</v>
      </c>
      <c r="J4" s="2105" t="s">
        <v>1921</v>
      </c>
      <c r="K4" s="3228" t="s">
        <v>970</v>
      </c>
      <c r="L4" s="2105" t="s">
        <v>1907</v>
      </c>
      <c r="M4" s="3229" t="s">
        <v>970</v>
      </c>
    </row>
    <row r="5" spans="1:13" x14ac:dyDescent="0.15">
      <c r="A5" s="2113" t="s">
        <v>983</v>
      </c>
      <c r="B5" s="2129" t="s">
        <v>305</v>
      </c>
      <c r="C5" s="2105" t="s">
        <v>997</v>
      </c>
      <c r="D5" s="2106" t="s">
        <v>998</v>
      </c>
      <c r="E5" s="2105" t="s">
        <v>999</v>
      </c>
      <c r="F5" s="2130" t="s">
        <v>993</v>
      </c>
      <c r="G5" s="2129" t="s">
        <v>305</v>
      </c>
      <c r="H5" s="2105" t="s">
        <v>997</v>
      </c>
      <c r="I5" s="2106" t="s">
        <v>998</v>
      </c>
      <c r="J5" s="2105" t="s">
        <v>999</v>
      </c>
      <c r="K5" s="3228" t="s">
        <v>999</v>
      </c>
      <c r="L5" s="2105" t="s">
        <v>993</v>
      </c>
      <c r="M5" s="3229" t="s">
        <v>993</v>
      </c>
    </row>
    <row r="6" spans="1:13" x14ac:dyDescent="0.15">
      <c r="A6" s="2114" t="s">
        <v>984</v>
      </c>
      <c r="B6" s="2131"/>
      <c r="C6" s="2103"/>
      <c r="D6" s="2097"/>
      <c r="E6" s="2098"/>
      <c r="F6" s="2132"/>
      <c r="G6" s="2131"/>
      <c r="H6" s="2103"/>
      <c r="I6" s="2097"/>
      <c r="J6" s="2098"/>
      <c r="K6" s="3230"/>
      <c r="L6" s="2098"/>
      <c r="M6" s="3231"/>
    </row>
    <row r="7" spans="1:13" x14ac:dyDescent="0.15">
      <c r="A7" s="2115" t="s">
        <v>985</v>
      </c>
      <c r="B7" s="2133">
        <v>4</v>
      </c>
      <c r="C7" s="2091">
        <v>2</v>
      </c>
      <c r="D7" s="2091">
        <v>1</v>
      </c>
      <c r="E7" s="2091"/>
      <c r="F7" s="2134"/>
      <c r="G7" s="2133">
        <v>4</v>
      </c>
      <c r="H7" s="2091">
        <v>2</v>
      </c>
      <c r="I7" s="2091">
        <v>1</v>
      </c>
      <c r="J7" s="2091"/>
      <c r="K7" s="3232"/>
      <c r="L7" s="2091"/>
      <c r="M7" s="3233"/>
    </row>
    <row r="8" spans="1:13" x14ac:dyDescent="0.15">
      <c r="A8" s="2115" t="s">
        <v>986</v>
      </c>
      <c r="B8" s="2133">
        <v>30</v>
      </c>
      <c r="C8" s="2091">
        <v>11</v>
      </c>
      <c r="D8" s="2091">
        <v>8</v>
      </c>
      <c r="E8" s="2091"/>
      <c r="F8" s="2134"/>
      <c r="G8" s="2133">
        <v>30</v>
      </c>
      <c r="H8" s="2091">
        <v>11</v>
      </c>
      <c r="I8" s="2091">
        <v>8</v>
      </c>
      <c r="J8" s="2091"/>
      <c r="K8" s="3232"/>
      <c r="L8" s="2091"/>
      <c r="M8" s="3233"/>
    </row>
    <row r="9" spans="1:13" ht="14" thickBot="1" x14ac:dyDescent="0.2">
      <c r="A9" s="2116" t="s">
        <v>987</v>
      </c>
      <c r="B9" s="2135">
        <v>60</v>
      </c>
      <c r="C9" s="2093">
        <v>40</v>
      </c>
      <c r="D9" s="2093">
        <v>8</v>
      </c>
      <c r="E9" s="2093"/>
      <c r="F9" s="2136"/>
      <c r="G9" s="2135">
        <v>60</v>
      </c>
      <c r="H9" s="2093">
        <v>40</v>
      </c>
      <c r="I9" s="2093">
        <v>8</v>
      </c>
      <c r="J9" s="2093"/>
      <c r="K9" s="3234"/>
      <c r="L9" s="2093"/>
      <c r="M9" s="3235"/>
    </row>
    <row r="10" spans="1:13" ht="14" thickTop="1" x14ac:dyDescent="0.15">
      <c r="A10" s="2117" t="str">
        <f>"Subtotal "&amp;A6</f>
        <v>Subtotal City Hall Local Network</v>
      </c>
      <c r="B10" s="2146">
        <f>SUM(B7:B9)</f>
        <v>94</v>
      </c>
      <c r="C10" s="2147">
        <f>SUM(C7:C9)</f>
        <v>53</v>
      </c>
      <c r="D10" s="2148">
        <f>SUM(D7:D9)</f>
        <v>17</v>
      </c>
      <c r="E10" s="2149">
        <v>10000</v>
      </c>
      <c r="F10" s="2150">
        <f>SUM(F7:F9)</f>
        <v>0</v>
      </c>
      <c r="G10" s="2146">
        <f>SUM(G7:G9)</f>
        <v>94</v>
      </c>
      <c r="H10" s="2147">
        <f>SUM(H7:H9)</f>
        <v>53</v>
      </c>
      <c r="I10" s="2148">
        <f>SUM(I7:I9)</f>
        <v>17</v>
      </c>
      <c r="J10" s="2149">
        <v>20000</v>
      </c>
      <c r="K10" s="3236">
        <f>SUM(K7:K9)</f>
        <v>0</v>
      </c>
      <c r="L10" s="2149">
        <f>SUM(L7:L9)</f>
        <v>0</v>
      </c>
      <c r="M10" s="3237">
        <f>SUM(M7:M9)</f>
        <v>0</v>
      </c>
    </row>
    <row r="11" spans="1:13" x14ac:dyDescent="0.15">
      <c r="A11" s="2114" t="s">
        <v>989</v>
      </c>
      <c r="B11" s="2137"/>
      <c r="C11" s="2104"/>
      <c r="D11" s="2096"/>
      <c r="E11" s="2095"/>
      <c r="F11" s="2138"/>
      <c r="G11" s="2137"/>
      <c r="H11" s="2104"/>
      <c r="I11" s="2096"/>
      <c r="J11" s="2095"/>
      <c r="K11" s="3238"/>
      <c r="L11" s="3239"/>
      <c r="M11" s="3240"/>
    </row>
    <row r="12" spans="1:13" x14ac:dyDescent="0.15">
      <c r="A12" s="2115" t="s">
        <v>990</v>
      </c>
      <c r="B12" s="2133">
        <v>140</v>
      </c>
      <c r="C12" s="2091">
        <v>108</v>
      </c>
      <c r="D12" s="2091">
        <v>40</v>
      </c>
      <c r="E12" s="2091">
        <v>12000</v>
      </c>
      <c r="F12" s="2134"/>
      <c r="G12" s="2133">
        <v>140</v>
      </c>
      <c r="H12" s="2091">
        <v>108</v>
      </c>
      <c r="I12" s="2091">
        <v>40</v>
      </c>
      <c r="J12" s="2091">
        <v>12000</v>
      </c>
      <c r="K12" s="3232">
        <f>J12*0.1</f>
        <v>1200</v>
      </c>
      <c r="L12" s="2091"/>
      <c r="M12" s="3233">
        <f>L12*0.1</f>
        <v>0</v>
      </c>
    </row>
    <row r="13" spans="1:13" ht="14" thickBot="1" x14ac:dyDescent="0.2">
      <c r="A13" s="2118" t="s">
        <v>991</v>
      </c>
      <c r="B13" s="2135"/>
      <c r="C13" s="2092"/>
      <c r="D13" s="2094">
        <v>15</v>
      </c>
      <c r="E13" s="2093">
        <v>3000</v>
      </c>
      <c r="F13" s="2136"/>
      <c r="G13" s="2135"/>
      <c r="H13" s="2092"/>
      <c r="I13" s="2094">
        <v>15</v>
      </c>
      <c r="J13" s="2093">
        <v>3000</v>
      </c>
      <c r="K13" s="3234">
        <f>J13*0.1</f>
        <v>300</v>
      </c>
      <c r="L13" s="2093"/>
      <c r="M13" s="3235">
        <f>L13*0.1</f>
        <v>0</v>
      </c>
    </row>
    <row r="14" spans="1:13" ht="14" thickTop="1" x14ac:dyDescent="0.15">
      <c r="A14" s="2117" t="str">
        <f>"Subtotal "&amp;A11</f>
        <v>Subtotal Wide Area Network (WAN)</v>
      </c>
      <c r="B14" s="2146">
        <f t="shared" ref="B14:L14" si="0">SUM(B12:B13)</f>
        <v>140</v>
      </c>
      <c r="C14" s="2148">
        <f t="shared" si="0"/>
        <v>108</v>
      </c>
      <c r="D14" s="2148">
        <f t="shared" si="0"/>
        <v>55</v>
      </c>
      <c r="E14" s="2151">
        <f t="shared" si="0"/>
        <v>15000</v>
      </c>
      <c r="F14" s="2150">
        <f t="shared" si="0"/>
        <v>0</v>
      </c>
      <c r="G14" s="2146">
        <f t="shared" si="0"/>
        <v>140</v>
      </c>
      <c r="H14" s="2148">
        <f t="shared" si="0"/>
        <v>108</v>
      </c>
      <c r="I14" s="2148">
        <f t="shared" si="0"/>
        <v>55</v>
      </c>
      <c r="J14" s="2151">
        <f t="shared" si="0"/>
        <v>15000</v>
      </c>
      <c r="K14" s="3236">
        <f t="shared" ref="K14:M14" si="1">SUM(K12:K13)</f>
        <v>1500</v>
      </c>
      <c r="L14" s="2149">
        <f t="shared" si="0"/>
        <v>0</v>
      </c>
      <c r="M14" s="3237">
        <f t="shared" si="1"/>
        <v>0</v>
      </c>
    </row>
    <row r="15" spans="1:13" x14ac:dyDescent="0.15">
      <c r="A15" s="2119" t="s">
        <v>992</v>
      </c>
      <c r="B15" s="2139"/>
      <c r="C15" s="2104"/>
      <c r="D15" s="2096"/>
      <c r="E15" s="2095"/>
      <c r="F15" s="2138"/>
      <c r="G15" s="2139"/>
      <c r="H15" s="2104"/>
      <c r="I15" s="2096"/>
      <c r="J15" s="2095"/>
      <c r="K15" s="3238"/>
      <c r="L15" s="3239"/>
      <c r="M15" s="3240"/>
    </row>
    <row r="16" spans="1:13" ht="14" thickBot="1" x14ac:dyDescent="0.2">
      <c r="A16" s="2120" t="s">
        <v>993</v>
      </c>
      <c r="B16" s="2140"/>
      <c r="C16" s="2107"/>
      <c r="D16" s="2108"/>
      <c r="E16" s="2109"/>
      <c r="F16" s="2141">
        <v>96000</v>
      </c>
      <c r="G16" s="2140"/>
      <c r="H16" s="2107"/>
      <c r="I16" s="2108"/>
      <c r="J16" s="2109"/>
      <c r="K16" s="3241">
        <f>J16*0.1</f>
        <v>0</v>
      </c>
      <c r="L16" s="2109">
        <v>96000</v>
      </c>
      <c r="M16" s="3242">
        <f>L16*0.1</f>
        <v>9600</v>
      </c>
    </row>
    <row r="17" spans="1:13" ht="15" thickTop="1" thickBot="1" x14ac:dyDescent="0.2">
      <c r="A17" s="2117" t="str">
        <f>"Subtotal "&amp;A15</f>
        <v>Subtotal Internet</v>
      </c>
      <c r="B17" s="2152">
        <f t="shared" ref="B17:M17" si="2">B16</f>
        <v>0</v>
      </c>
      <c r="C17" s="2153">
        <f t="shared" si="2"/>
        <v>0</v>
      </c>
      <c r="D17" s="2153">
        <f t="shared" si="2"/>
        <v>0</v>
      </c>
      <c r="E17" s="2154">
        <f t="shared" si="2"/>
        <v>0</v>
      </c>
      <c r="F17" s="2155">
        <f t="shared" si="2"/>
        <v>96000</v>
      </c>
      <c r="G17" s="2152">
        <f t="shared" si="2"/>
        <v>0</v>
      </c>
      <c r="H17" s="2153">
        <f t="shared" si="2"/>
        <v>0</v>
      </c>
      <c r="I17" s="2153">
        <f t="shared" si="2"/>
        <v>0</v>
      </c>
      <c r="J17" s="2154">
        <f t="shared" si="2"/>
        <v>0</v>
      </c>
      <c r="K17" s="3243">
        <f t="shared" si="2"/>
        <v>0</v>
      </c>
      <c r="L17" s="3244">
        <f t="shared" si="2"/>
        <v>96000</v>
      </c>
      <c r="M17" s="3245">
        <f t="shared" si="2"/>
        <v>9600</v>
      </c>
    </row>
    <row r="18" spans="1:13" ht="14" thickBot="1" x14ac:dyDescent="0.2">
      <c r="A18" s="2121" t="s">
        <v>994</v>
      </c>
      <c r="B18" s="2142">
        <f t="shared" ref="B18:M18" si="3">B17+B14+B10</f>
        <v>234</v>
      </c>
      <c r="C18" s="2143">
        <f t="shared" si="3"/>
        <v>161</v>
      </c>
      <c r="D18" s="2143">
        <f t="shared" si="3"/>
        <v>72</v>
      </c>
      <c r="E18" s="2144">
        <f t="shared" si="3"/>
        <v>25000</v>
      </c>
      <c r="F18" s="2145">
        <f t="shared" si="3"/>
        <v>96000</v>
      </c>
      <c r="G18" s="2142">
        <f t="shared" si="3"/>
        <v>234</v>
      </c>
      <c r="H18" s="2143">
        <f t="shared" si="3"/>
        <v>161</v>
      </c>
      <c r="I18" s="2143">
        <f t="shared" si="3"/>
        <v>72</v>
      </c>
      <c r="J18" s="2144">
        <f t="shared" si="3"/>
        <v>35000</v>
      </c>
      <c r="K18" s="3246">
        <f t="shared" si="3"/>
        <v>1500</v>
      </c>
      <c r="L18" s="2144">
        <f t="shared" si="3"/>
        <v>96000</v>
      </c>
      <c r="M18" s="3247">
        <f t="shared" si="3"/>
        <v>9600</v>
      </c>
    </row>
    <row r="20" spans="1:13" ht="15" x14ac:dyDescent="0.2">
      <c r="A20" s="2283" t="s">
        <v>1126</v>
      </c>
      <c r="B20" s="2279"/>
      <c r="C20" s="2279"/>
      <c r="D20" s="2279"/>
      <c r="E20" s="2279"/>
      <c r="F20" s="2280"/>
      <c r="G20" s="2101"/>
      <c r="H20" s="2102"/>
      <c r="J20" s="2100"/>
      <c r="L20" s="2101"/>
    </row>
    <row r="21" spans="1:13" ht="15" x14ac:dyDescent="0.2">
      <c r="A21" s="2253"/>
      <c r="B21" s="2254"/>
      <c r="C21" s="2254"/>
      <c r="D21" s="3256" t="s">
        <v>1127</v>
      </c>
      <c r="E21" s="3257"/>
      <c r="F21" s="3258"/>
      <c r="G21" s="2101"/>
      <c r="J21" s="2100"/>
      <c r="L21" s="2101"/>
    </row>
    <row r="22" spans="1:13" ht="15" x14ac:dyDescent="0.2">
      <c r="A22" s="2281" t="s">
        <v>1128</v>
      </c>
      <c r="B22" s="2282"/>
      <c r="C22" s="3248" t="s">
        <v>273</v>
      </c>
      <c r="D22" s="3259" t="s">
        <v>1129</v>
      </c>
      <c r="E22" s="3260"/>
      <c r="F22" s="2255"/>
      <c r="G22" s="2101"/>
      <c r="J22" s="2100"/>
      <c r="L22" s="2101"/>
    </row>
    <row r="23" spans="1:13" ht="15" x14ac:dyDescent="0.2">
      <c r="A23" s="2256" t="s">
        <v>327</v>
      </c>
      <c r="B23" s="2256" t="s">
        <v>326</v>
      </c>
      <c r="C23" s="3249" t="s">
        <v>305</v>
      </c>
      <c r="D23" s="2256" t="s">
        <v>1130</v>
      </c>
      <c r="E23" s="2257" t="s">
        <v>1131</v>
      </c>
      <c r="F23" s="2257" t="s">
        <v>1132</v>
      </c>
      <c r="G23" s="2101"/>
      <c r="J23" s="2100"/>
      <c r="L23" s="2101"/>
    </row>
    <row r="24" spans="1:13" ht="15" x14ac:dyDescent="0.2">
      <c r="A24" s="2258" t="s">
        <v>1133</v>
      </c>
      <c r="B24" s="2259">
        <v>1000</v>
      </c>
      <c r="C24" s="3250">
        <f>SUM(D24:F24)</f>
        <v>85</v>
      </c>
      <c r="D24" s="2260">
        <v>10</v>
      </c>
      <c r="E24" s="2260">
        <v>20</v>
      </c>
      <c r="F24" s="2260">
        <v>55</v>
      </c>
      <c r="G24" s="2101"/>
      <c r="J24" s="2100"/>
      <c r="L24" s="2101"/>
    </row>
    <row r="25" spans="1:13" ht="15" x14ac:dyDescent="0.2">
      <c r="A25" s="2258" t="s">
        <v>1134</v>
      </c>
      <c r="B25" s="2259">
        <v>90</v>
      </c>
      <c r="C25" s="3250">
        <f>SUM(D25:F25)</f>
        <v>83</v>
      </c>
      <c r="D25" s="2260">
        <v>8</v>
      </c>
      <c r="E25" s="2260">
        <v>55</v>
      </c>
      <c r="F25" s="2260">
        <v>20</v>
      </c>
      <c r="G25" s="2101"/>
      <c r="J25" s="2100"/>
      <c r="L25" s="2101"/>
    </row>
    <row r="26" spans="1:13" ht="15" x14ac:dyDescent="0.2">
      <c r="A26" s="2258" t="s">
        <v>1135</v>
      </c>
      <c r="B26" s="2259">
        <v>90</v>
      </c>
      <c r="C26" s="2259"/>
      <c r="D26" s="2261"/>
      <c r="E26" s="2261"/>
      <c r="F26" s="2262">
        <v>73000</v>
      </c>
      <c r="G26" s="2101"/>
      <c r="J26" s="2100"/>
      <c r="L26" s="2101"/>
    </row>
    <row r="27" spans="1:13" x14ac:dyDescent="0.15">
      <c r="A27"/>
      <c r="B27"/>
      <c r="C27"/>
      <c r="D27"/>
      <c r="E27"/>
      <c r="F27"/>
      <c r="G27" s="2101"/>
      <c r="J27" s="2100"/>
      <c r="L27" s="2101"/>
    </row>
    <row r="28" spans="1:13" ht="15" x14ac:dyDescent="0.2">
      <c r="A28" s="3251" t="s">
        <v>1126</v>
      </c>
      <c r="B28" s="2251"/>
      <c r="C28" s="2251"/>
      <c r="D28" s="2251"/>
      <c r="E28" s="2251"/>
      <c r="F28" s="2252"/>
      <c r="G28" s="2101"/>
      <c r="J28" s="2100"/>
      <c r="L28" s="2101"/>
    </row>
    <row r="29" spans="1:13" ht="15" x14ac:dyDescent="0.2">
      <c r="A29" s="2253"/>
      <c r="B29" s="2254"/>
      <c r="C29" s="2254"/>
      <c r="D29" s="3256" t="s">
        <v>1127</v>
      </c>
      <c r="E29" s="3257"/>
      <c r="F29" s="3258"/>
      <c r="G29" s="2101"/>
      <c r="J29" s="2100"/>
      <c r="L29" s="2101"/>
    </row>
    <row r="30" spans="1:13" ht="15" x14ac:dyDescent="0.2">
      <c r="A30" s="2281" t="s">
        <v>1128</v>
      </c>
      <c r="B30" s="3252"/>
      <c r="C30" s="3253" t="s">
        <v>273</v>
      </c>
      <c r="D30" s="3259" t="s">
        <v>1129</v>
      </c>
      <c r="E30" s="3260"/>
      <c r="F30" s="2255"/>
      <c r="G30" s="2101"/>
      <c r="J30" s="2100"/>
      <c r="L30" s="2101"/>
    </row>
    <row r="31" spans="1:13" ht="15" x14ac:dyDescent="0.2">
      <c r="A31" s="2281" t="s">
        <v>327</v>
      </c>
      <c r="B31" s="2281" t="s">
        <v>326</v>
      </c>
      <c r="C31" s="3254" t="s">
        <v>305</v>
      </c>
      <c r="D31" s="2281" t="s">
        <v>1130</v>
      </c>
      <c r="E31" s="3255" t="s">
        <v>1131</v>
      </c>
      <c r="F31" s="3255" t="s">
        <v>1132</v>
      </c>
      <c r="G31" s="2101"/>
      <c r="J31" s="2100"/>
      <c r="L31" s="2101"/>
    </row>
    <row r="32" spans="1:13" ht="15" x14ac:dyDescent="0.2">
      <c r="A32" s="2263" t="s">
        <v>1136</v>
      </c>
      <c r="B32" s="2259">
        <v>1000</v>
      </c>
      <c r="C32" s="2263"/>
      <c r="D32" s="2263"/>
      <c r="E32" s="2263"/>
      <c r="F32" s="2263"/>
      <c r="G32" s="2101"/>
      <c r="J32" s="2100"/>
      <c r="L32" s="2101"/>
    </row>
    <row r="33" spans="1:12" ht="15" x14ac:dyDescent="0.2">
      <c r="A33" s="2264" t="s">
        <v>1137</v>
      </c>
      <c r="B33" s="2259"/>
      <c r="C33" s="3250">
        <f>SUM(D33:F33)</f>
        <v>85</v>
      </c>
      <c r="D33" s="2260">
        <v>10</v>
      </c>
      <c r="E33" s="2260">
        <v>20</v>
      </c>
      <c r="F33" s="2260">
        <v>55</v>
      </c>
      <c r="G33" s="2101"/>
      <c r="J33" s="2100"/>
      <c r="L33" s="2101"/>
    </row>
    <row r="34" spans="1:12" ht="15" x14ac:dyDescent="0.2">
      <c r="A34" s="2263" t="s">
        <v>989</v>
      </c>
      <c r="B34" s="2259">
        <v>90</v>
      </c>
      <c r="C34" s="2263"/>
      <c r="D34" s="2263"/>
      <c r="E34" s="2263"/>
      <c r="F34" s="2263"/>
      <c r="G34" s="2101"/>
      <c r="J34" s="2100"/>
      <c r="L34" s="2101"/>
    </row>
    <row r="35" spans="1:12" ht="15" x14ac:dyDescent="0.2">
      <c r="A35" s="2265" t="s">
        <v>246</v>
      </c>
      <c r="B35" s="2259">
        <v>24</v>
      </c>
      <c r="C35" s="3250">
        <f>SUM(D35:F35)</f>
        <v>55</v>
      </c>
      <c r="D35" s="2260">
        <v>5</v>
      </c>
      <c r="E35" s="2260">
        <v>35</v>
      </c>
      <c r="F35" s="2260">
        <v>15</v>
      </c>
      <c r="G35" s="2101"/>
      <c r="J35" s="2100"/>
      <c r="L35" s="2101"/>
    </row>
    <row r="36" spans="1:12" ht="15" x14ac:dyDescent="0.2">
      <c r="A36" s="2265" t="s">
        <v>247</v>
      </c>
      <c r="B36" s="2259">
        <v>24</v>
      </c>
      <c r="C36" s="3250">
        <f>SUM(D36:F36)</f>
        <v>28</v>
      </c>
      <c r="D36" s="2260">
        <v>3</v>
      </c>
      <c r="E36" s="2260">
        <v>20</v>
      </c>
      <c r="F36" s="2260">
        <v>5</v>
      </c>
      <c r="G36" s="2101"/>
      <c r="J36" s="2100"/>
      <c r="L36" s="2101"/>
    </row>
    <row r="37" spans="1:12" ht="15" x14ac:dyDescent="0.2">
      <c r="A37" s="2263" t="s">
        <v>1135</v>
      </c>
      <c r="B37" s="2259">
        <v>90</v>
      </c>
      <c r="C37" s="2263"/>
      <c r="D37" s="2263"/>
      <c r="E37" s="2263"/>
      <c r="F37" s="2263"/>
      <c r="G37" s="2101"/>
      <c r="J37" s="2100"/>
      <c r="L37" s="2101"/>
    </row>
    <row r="38" spans="1:12" ht="15" x14ac:dyDescent="0.2">
      <c r="A38" s="2265" t="s">
        <v>993</v>
      </c>
      <c r="B38" s="2259">
        <v>90</v>
      </c>
      <c r="C38" s="2259"/>
      <c r="D38" s="2261"/>
      <c r="E38" s="2261"/>
      <c r="F38" s="2262">
        <v>73000</v>
      </c>
      <c r="G38" s="2101"/>
      <c r="J38" s="2100"/>
      <c r="L38" s="2101"/>
    </row>
  </sheetData>
  <mergeCells count="12">
    <mergeCell ref="J2:M2"/>
    <mergeCell ref="C3:D3"/>
    <mergeCell ref="E3:F3"/>
    <mergeCell ref="H3:I3"/>
    <mergeCell ref="J3:M3"/>
    <mergeCell ref="C2:D2"/>
    <mergeCell ref="E2:F2"/>
    <mergeCell ref="D21:F21"/>
    <mergeCell ref="D22:E22"/>
    <mergeCell ref="D29:F29"/>
    <mergeCell ref="D30:E30"/>
    <mergeCell ref="H2:I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660033"/>
  </sheetPr>
  <dimension ref="A1:T150"/>
  <sheetViews>
    <sheetView topLeftCell="B1" workbookViewId="0">
      <selection activeCell="H155" sqref="H155"/>
    </sheetView>
  </sheetViews>
  <sheetFormatPr baseColWidth="10" defaultColWidth="8.83203125" defaultRowHeight="13" outlineLevelRow="1" x14ac:dyDescent="0.15"/>
  <cols>
    <col min="1" max="1" width="51.5" hidden="1" customWidth="1"/>
    <col min="2" max="2" width="52" customWidth="1"/>
    <col min="3" max="3" width="16.5" bestFit="1" customWidth="1"/>
    <col min="4" max="4" width="13.83203125" customWidth="1"/>
    <col min="5" max="6" width="14.33203125" customWidth="1"/>
    <col min="7" max="7" width="12" customWidth="1"/>
    <col min="8" max="8" width="15.83203125" customWidth="1"/>
    <col min="9" max="9" width="14.83203125" customWidth="1"/>
    <col min="10" max="10" width="15.6640625" customWidth="1"/>
    <col min="11" max="11" width="11" customWidth="1"/>
    <col min="12" max="13" width="9.1640625" customWidth="1"/>
  </cols>
  <sheetData>
    <row r="1" spans="1:16" ht="18" x14ac:dyDescent="0.2">
      <c r="A1" s="2181"/>
      <c r="B1" s="3269" t="s">
        <v>1000</v>
      </c>
      <c r="C1" s="3270" t="s">
        <v>25</v>
      </c>
      <c r="D1" s="3272" t="s">
        <v>31</v>
      </c>
      <c r="E1" s="3272"/>
      <c r="F1" s="3269" t="s">
        <v>1001</v>
      </c>
      <c r="H1" s="986"/>
      <c r="L1" s="2888" t="s">
        <v>25</v>
      </c>
      <c r="M1" s="2889"/>
      <c r="O1" s="2860" t="s">
        <v>1507</v>
      </c>
    </row>
    <row r="2" spans="1:16" ht="18" x14ac:dyDescent="0.2">
      <c r="A2" s="2182" t="s">
        <v>1002</v>
      </c>
      <c r="B2" s="3269"/>
      <c r="C2" s="3271"/>
      <c r="D2" s="2175" t="s">
        <v>163</v>
      </c>
      <c r="E2" s="2156" t="s">
        <v>1003</v>
      </c>
      <c r="F2" s="3269"/>
      <c r="G2" s="2160"/>
      <c r="H2" s="2886" t="s">
        <v>1004</v>
      </c>
      <c r="I2" s="2159">
        <v>4995</v>
      </c>
      <c r="L2" s="2890">
        <v>0</v>
      </c>
      <c r="M2" s="2891">
        <v>32</v>
      </c>
      <c r="O2" s="949" t="s">
        <v>1508</v>
      </c>
    </row>
    <row r="3" spans="1:16" ht="18" x14ac:dyDescent="0.2">
      <c r="A3" s="2182"/>
      <c r="B3" s="3181" t="s">
        <v>1829</v>
      </c>
      <c r="C3" s="3182"/>
      <c r="D3" s="3183"/>
      <c r="E3" s="3184"/>
      <c r="F3" s="3181"/>
      <c r="G3" s="2160"/>
      <c r="H3" s="2887" t="s">
        <v>1026</v>
      </c>
      <c r="L3" s="2892">
        <f>+L2+10</f>
        <v>10</v>
      </c>
      <c r="M3" s="2893">
        <v>32</v>
      </c>
      <c r="N3" s="2630"/>
      <c r="O3" s="949" t="s">
        <v>1509</v>
      </c>
    </row>
    <row r="4" spans="1:16" ht="16" hidden="1" outlineLevel="1" x14ac:dyDescent="0.2">
      <c r="A4" s="2183" t="str">
        <f t="shared" ref="A4:A67" si="0">B4&amp;" "&amp;C4&amp;" GB RAM"</f>
        <v>Xeon E3-1280v6 4 core (1 chip) 3900 MHz 16 GB RAM</v>
      </c>
      <c r="B4" s="2626" t="s">
        <v>1817</v>
      </c>
      <c r="C4" s="2627">
        <v>16</v>
      </c>
      <c r="D4" s="2884">
        <f>VLOOKUP(B4,HWRange,6,FALSE)</f>
        <v>274</v>
      </c>
      <c r="E4" s="2885">
        <f>D4/VLOOKUP(B4,HWRange,3,FALSE)</f>
        <v>68.5</v>
      </c>
      <c r="F4" s="2628">
        <v>3942</v>
      </c>
      <c r="H4" s="3273" t="s">
        <v>1556</v>
      </c>
      <c r="I4" s="3274"/>
      <c r="L4" s="2892">
        <f>+L3+10</f>
        <v>20</v>
      </c>
      <c r="M4" s="2893">
        <f>+M2</f>
        <v>32</v>
      </c>
      <c r="N4" s="2630"/>
      <c r="O4" s="986" t="s">
        <v>1510</v>
      </c>
    </row>
    <row r="5" spans="1:16" ht="16" hidden="1" outlineLevel="1" x14ac:dyDescent="0.2">
      <c r="A5" s="2183" t="str">
        <f t="shared" si="0"/>
        <v>Xeon E3-1280v6 4 core (1 chip) 3900 MHz 32 GB RAM</v>
      </c>
      <c r="B5" s="2626" t="str">
        <f>B4</f>
        <v>Xeon E3-1280v6 4 core (1 chip) 3900 MHz</v>
      </c>
      <c r="C5" s="2627">
        <v>32</v>
      </c>
      <c r="D5" s="2884">
        <f t="shared" ref="D5:D68" si="1">VLOOKUP(B5,HWRange,6,FALSE)</f>
        <v>274</v>
      </c>
      <c r="E5" s="2885">
        <f t="shared" ref="E5:E68" si="2">D5/VLOOKUP(B5,HWRange,3,FALSE)</f>
        <v>68.5</v>
      </c>
      <c r="F5" s="2628">
        <v>4775.75</v>
      </c>
      <c r="G5" s="986"/>
      <c r="H5" s="3008" t="s">
        <v>1919</v>
      </c>
      <c r="I5" s="2881">
        <v>12292</v>
      </c>
      <c r="J5" s="986"/>
      <c r="L5" s="2892">
        <f t="shared" ref="L5:L68" si="3">+L4+10</f>
        <v>30</v>
      </c>
      <c r="M5" s="2893">
        <v>64</v>
      </c>
      <c r="N5" s="2630"/>
      <c r="O5" s="949" t="s">
        <v>1511</v>
      </c>
      <c r="P5" s="2630"/>
    </row>
    <row r="6" spans="1:16" ht="16" collapsed="1" x14ac:dyDescent="0.2">
      <c r="A6" s="2183" t="str">
        <f t="shared" si="0"/>
        <v>Xeon E3-1280v6 4 core (1 chip) 3900 MHz 64 GB RAM</v>
      </c>
      <c r="B6" s="2626" t="str">
        <f>B5</f>
        <v>Xeon E3-1280v6 4 core (1 chip) 3900 MHz</v>
      </c>
      <c r="C6" s="2627">
        <v>64</v>
      </c>
      <c r="D6" s="2884">
        <f>VLOOKUP(B6,HWRange,6,FALSE)</f>
        <v>274</v>
      </c>
      <c r="E6" s="2885">
        <f t="shared" si="2"/>
        <v>68.5</v>
      </c>
      <c r="F6" s="2628">
        <v>5609.5</v>
      </c>
      <c r="G6" s="986"/>
      <c r="H6" s="2886">
        <v>24</v>
      </c>
      <c r="I6" s="2881">
        <f>H6*125</f>
        <v>3000</v>
      </c>
      <c r="J6" s="986"/>
      <c r="L6" s="2892">
        <f t="shared" si="3"/>
        <v>40</v>
      </c>
      <c r="M6" s="2893">
        <v>64</v>
      </c>
      <c r="N6" s="2630"/>
    </row>
    <row r="7" spans="1:16" ht="16" hidden="1" outlineLevel="1" collapsed="1" x14ac:dyDescent="0.2">
      <c r="A7" s="2183" t="str">
        <f t="shared" si="0"/>
        <v>Xeon Gold 5122 4 core (1 chip) 3600 MHz 16 GB RAM</v>
      </c>
      <c r="B7" s="2623" t="s">
        <v>1816</v>
      </c>
      <c r="C7" s="2624">
        <v>16</v>
      </c>
      <c r="D7" s="2884">
        <f t="shared" si="1"/>
        <v>279</v>
      </c>
      <c r="E7" s="2885">
        <f t="shared" si="2"/>
        <v>69.75</v>
      </c>
      <c r="F7" s="2625">
        <v>8391</v>
      </c>
      <c r="G7" s="986"/>
      <c r="H7" s="2886">
        <v>4</v>
      </c>
      <c r="I7" s="2881">
        <f t="shared" ref="I7:I8" si="4">H7*125</f>
        <v>500</v>
      </c>
      <c r="J7" s="986"/>
      <c r="L7" s="2892">
        <f t="shared" si="3"/>
        <v>50</v>
      </c>
      <c r="M7" s="2893">
        <f t="shared" ref="M7:M68" si="5">+M6</f>
        <v>64</v>
      </c>
      <c r="O7" s="949" t="s">
        <v>1512</v>
      </c>
    </row>
    <row r="8" spans="1:16" ht="16" hidden="1" outlineLevel="1" x14ac:dyDescent="0.2">
      <c r="A8" s="2183" t="str">
        <f t="shared" si="0"/>
        <v>Xeon Gold 5122 4 core (1 chip) 3600 MHz 32 GB RAM</v>
      </c>
      <c r="B8" s="2623" t="str">
        <f>B7</f>
        <v>Xeon Gold 5122 4 core (1 chip) 3600 MHz</v>
      </c>
      <c r="C8" s="2624">
        <v>32</v>
      </c>
      <c r="D8" s="2884">
        <f>VLOOKUP(B8,HWRange,6,FALSE)</f>
        <v>279</v>
      </c>
      <c r="E8" s="2885">
        <f>D8/VLOOKUP(B8,HWRange,3,FALSE)</f>
        <v>69.75</v>
      </c>
      <c r="F8" s="2625">
        <v>9224.75</v>
      </c>
      <c r="G8" s="986"/>
      <c r="H8" s="2886">
        <v>1</v>
      </c>
      <c r="I8" s="2881">
        <f t="shared" si="4"/>
        <v>125</v>
      </c>
      <c r="J8" s="986"/>
      <c r="L8" s="2892">
        <f t="shared" si="3"/>
        <v>60</v>
      </c>
      <c r="M8" s="2893">
        <v>96</v>
      </c>
      <c r="O8" s="949" t="s">
        <v>1513</v>
      </c>
    </row>
    <row r="9" spans="1:16" ht="16" hidden="1" outlineLevel="1" x14ac:dyDescent="0.2">
      <c r="A9" s="2183" t="str">
        <f t="shared" si="0"/>
        <v>Xeon Gold 5122 4 core (1 chip) 3600 MHz 64 GB RAM</v>
      </c>
      <c r="B9" s="2623" t="str">
        <f>B8</f>
        <v>Xeon Gold 5122 4 core (1 chip) 3600 MHz</v>
      </c>
      <c r="C9" s="2624">
        <v>64</v>
      </c>
      <c r="D9" s="2884">
        <f>VLOOKUP(B9,HWRange,6,FALSE)</f>
        <v>279</v>
      </c>
      <c r="E9" s="2885">
        <f>D9/VLOOKUP(B9,HWRange,3,FALSE)</f>
        <v>69.75</v>
      </c>
      <c r="F9" s="2625">
        <v>10058.5</v>
      </c>
      <c r="G9" s="986"/>
      <c r="H9" s="986"/>
      <c r="I9" s="2631"/>
      <c r="J9" s="986"/>
      <c r="L9" s="2892">
        <f t="shared" si="3"/>
        <v>70</v>
      </c>
      <c r="M9" s="2893">
        <v>96</v>
      </c>
      <c r="O9" s="949" t="s">
        <v>1514</v>
      </c>
    </row>
    <row r="10" spans="1:16" ht="16" hidden="1" outlineLevel="1" x14ac:dyDescent="0.2">
      <c r="A10" s="2183" t="str">
        <f t="shared" si="0"/>
        <v>Xeon Gold 5122 4 core (1 chip) 3600 MHz 96 GB RAM</v>
      </c>
      <c r="B10" s="2623" t="str">
        <f>B9</f>
        <v>Xeon Gold 5122 4 core (1 chip) 3600 MHz</v>
      </c>
      <c r="C10" s="2624">
        <v>96</v>
      </c>
      <c r="D10" s="2884">
        <f>VLOOKUP(B10,HWRange,6,FALSE)</f>
        <v>279</v>
      </c>
      <c r="E10" s="2885">
        <f>D10/VLOOKUP(B10,HWRange,3,FALSE)</f>
        <v>69.75</v>
      </c>
      <c r="F10" s="2625">
        <v>10892.25</v>
      </c>
      <c r="G10" s="986"/>
      <c r="H10" s="986"/>
      <c r="I10" s="2631"/>
      <c r="J10" s="986"/>
      <c r="L10" s="2892">
        <f t="shared" si="3"/>
        <v>80</v>
      </c>
      <c r="M10" s="2893">
        <f t="shared" si="5"/>
        <v>96</v>
      </c>
      <c r="O10" s="949" t="s">
        <v>1732</v>
      </c>
    </row>
    <row r="11" spans="1:16" ht="16" collapsed="1" x14ac:dyDescent="0.2">
      <c r="A11" s="2183" t="str">
        <f t="shared" si="0"/>
        <v>Xeon Gold 5122 4 core (1 chip) 3600 MHz 128 GB RAM</v>
      </c>
      <c r="B11" s="2623" t="str">
        <f>B10</f>
        <v>Xeon Gold 5122 4 core (1 chip) 3600 MHz</v>
      </c>
      <c r="C11" s="2624">
        <v>128</v>
      </c>
      <c r="D11" s="2884">
        <f>VLOOKUP(B11,HWRange,6,FALSE)</f>
        <v>279</v>
      </c>
      <c r="E11" s="2885">
        <f>D11/VLOOKUP(B11,HWRange,3,FALSE)</f>
        <v>69.75</v>
      </c>
      <c r="F11" s="2625">
        <v>11726</v>
      </c>
      <c r="G11" s="986"/>
      <c r="H11" s="986"/>
      <c r="I11" s="2631"/>
      <c r="J11" s="986"/>
      <c r="L11" s="2892">
        <f t="shared" si="3"/>
        <v>90</v>
      </c>
      <c r="M11" s="2893">
        <v>128</v>
      </c>
    </row>
    <row r="12" spans="1:16" ht="16" hidden="1" outlineLevel="1" collapsed="1" x14ac:dyDescent="0.2">
      <c r="A12" s="2183" t="str">
        <f t="shared" si="0"/>
        <v>Xeon Gold 5122 8 core (2 chip) 3600 MHz 32 GB RAM</v>
      </c>
      <c r="B12" s="2174" t="s">
        <v>1815</v>
      </c>
      <c r="C12" s="2157">
        <v>32</v>
      </c>
      <c r="D12" s="2884">
        <f>VLOOKUP(B12,HWRange,6,FALSE)</f>
        <v>576</v>
      </c>
      <c r="E12" s="2885">
        <f>D12/VLOOKUP(B12,HWRange,3,FALSE)</f>
        <v>72</v>
      </c>
      <c r="F12" s="2158">
        <v>10323</v>
      </c>
      <c r="G12" s="986"/>
      <c r="H12" s="986"/>
      <c r="I12" s="2631"/>
      <c r="J12" s="986"/>
      <c r="L12" s="2892">
        <f t="shared" si="3"/>
        <v>100</v>
      </c>
      <c r="M12" s="2893">
        <v>128</v>
      </c>
    </row>
    <row r="13" spans="1:16" ht="16" hidden="1" outlineLevel="1" x14ac:dyDescent="0.2">
      <c r="A13" s="2183" t="str">
        <f t="shared" si="0"/>
        <v>Xeon Gold 5122 8 core (2 chip) 3600 MHz 64 GB RAM</v>
      </c>
      <c r="B13" s="2174" t="str">
        <f>B12</f>
        <v>Xeon Gold 5122 8 core (2 chip) 3600 MHz</v>
      </c>
      <c r="C13" s="2157">
        <v>64</v>
      </c>
      <c r="D13" s="2884">
        <f t="shared" si="1"/>
        <v>576</v>
      </c>
      <c r="E13" s="2885">
        <f t="shared" si="2"/>
        <v>72</v>
      </c>
      <c r="F13" s="2158">
        <v>11990.5</v>
      </c>
      <c r="G13" s="986"/>
      <c r="H13" s="986"/>
      <c r="I13" s="2631"/>
      <c r="J13" s="986"/>
      <c r="L13" s="2892">
        <f t="shared" si="3"/>
        <v>110</v>
      </c>
      <c r="M13" s="2893">
        <f t="shared" si="5"/>
        <v>128</v>
      </c>
    </row>
    <row r="14" spans="1:16" ht="16" hidden="1" outlineLevel="1" x14ac:dyDescent="0.2">
      <c r="A14" s="2183" t="str">
        <f t="shared" si="0"/>
        <v>Xeon Gold 5122 8 core (2 chip) 3600 MHz 96 GB RAM</v>
      </c>
      <c r="B14" s="2174" t="str">
        <f t="shared" ref="B14:B25" si="6">B13</f>
        <v>Xeon Gold 5122 8 core (2 chip) 3600 MHz</v>
      </c>
      <c r="C14" s="2157">
        <v>96</v>
      </c>
      <c r="D14" s="2884">
        <f>VLOOKUP(B14,HWRange,6,FALSE)</f>
        <v>576</v>
      </c>
      <c r="E14" s="2885">
        <f>D14/VLOOKUP(B14,HWRange,3,FALSE)</f>
        <v>72</v>
      </c>
      <c r="F14" s="2158">
        <v>12824.25</v>
      </c>
      <c r="G14" s="986"/>
      <c r="H14" s="986"/>
      <c r="I14" s="2631"/>
      <c r="J14" s="986"/>
      <c r="L14" s="2892">
        <f t="shared" si="3"/>
        <v>120</v>
      </c>
      <c r="M14" s="2893">
        <v>192</v>
      </c>
    </row>
    <row r="15" spans="1:16" ht="16" hidden="1" outlineLevel="1" x14ac:dyDescent="0.2">
      <c r="A15" s="2183" t="str">
        <f t="shared" si="0"/>
        <v>Xeon Gold 5122 8 core (2 chip) 3600 MHz 128 GB RAM</v>
      </c>
      <c r="B15" s="2174" t="str">
        <f t="shared" si="6"/>
        <v>Xeon Gold 5122 8 core (2 chip) 3600 MHz</v>
      </c>
      <c r="C15" s="2157">
        <v>128</v>
      </c>
      <c r="D15" s="2884">
        <f t="shared" si="1"/>
        <v>576</v>
      </c>
      <c r="E15" s="2885">
        <f t="shared" si="2"/>
        <v>72</v>
      </c>
      <c r="F15" s="2158">
        <v>13658</v>
      </c>
      <c r="G15" s="986"/>
      <c r="H15" s="986"/>
      <c r="I15" s="2631"/>
      <c r="J15" s="986"/>
      <c r="K15" s="2629"/>
      <c r="L15" s="2892">
        <f t="shared" si="3"/>
        <v>130</v>
      </c>
      <c r="M15" s="2893">
        <v>192</v>
      </c>
    </row>
    <row r="16" spans="1:16" ht="16" hidden="1" outlineLevel="1" x14ac:dyDescent="0.2">
      <c r="A16" s="2183" t="str">
        <f t="shared" si="0"/>
        <v>Xeon Gold 5122 8 core (2 chip) 3600 MHz 192 GB RAM</v>
      </c>
      <c r="B16" s="2174" t="str">
        <f t="shared" si="6"/>
        <v>Xeon Gold 5122 8 core (2 chip) 3600 MHz</v>
      </c>
      <c r="C16" s="2157">
        <v>192</v>
      </c>
      <c r="D16" s="2884">
        <f t="shared" si="1"/>
        <v>576</v>
      </c>
      <c r="E16" s="2885">
        <f t="shared" si="2"/>
        <v>72</v>
      </c>
      <c r="F16" s="2158">
        <v>15325.5</v>
      </c>
      <c r="G16" s="986"/>
      <c r="H16" s="986"/>
      <c r="I16" s="2631"/>
      <c r="J16" s="986"/>
      <c r="L16" s="2892">
        <f t="shared" si="3"/>
        <v>140</v>
      </c>
      <c r="M16" s="2893">
        <f t="shared" si="5"/>
        <v>192</v>
      </c>
    </row>
    <row r="17" spans="1:20" ht="16" hidden="1" outlineLevel="1" x14ac:dyDescent="0.2">
      <c r="A17" s="2183" t="str">
        <f t="shared" si="0"/>
        <v>Xeon Gold 5122 8 core (2 chip) 3600 MHz 256 GB RAM</v>
      </c>
      <c r="B17" s="2174" t="str">
        <f t="shared" si="6"/>
        <v>Xeon Gold 5122 8 core (2 chip) 3600 MHz</v>
      </c>
      <c r="C17" s="2157">
        <v>256</v>
      </c>
      <c r="D17" s="2884">
        <f t="shared" si="1"/>
        <v>576</v>
      </c>
      <c r="E17" s="2885">
        <f t="shared" si="2"/>
        <v>72</v>
      </c>
      <c r="F17" s="2158">
        <v>16993</v>
      </c>
      <c r="G17" s="986"/>
      <c r="H17" s="986"/>
      <c r="I17" s="2631"/>
      <c r="J17" s="986"/>
      <c r="L17" s="2892">
        <f t="shared" si="3"/>
        <v>150</v>
      </c>
      <c r="M17" s="2893">
        <f t="shared" si="5"/>
        <v>192</v>
      </c>
      <c r="O17" s="949"/>
    </row>
    <row r="18" spans="1:20" ht="16" hidden="1" outlineLevel="1" x14ac:dyDescent="0.2">
      <c r="A18" s="2183" t="str">
        <f t="shared" si="0"/>
        <v>Xeon Gold 5122 8 core (2 chip) 3600 MHz 320 GB RAM</v>
      </c>
      <c r="B18" s="2174" t="str">
        <f t="shared" si="6"/>
        <v>Xeon Gold 5122 8 core (2 chip) 3600 MHz</v>
      </c>
      <c r="C18" s="2157">
        <v>320</v>
      </c>
      <c r="D18" s="2884">
        <f t="shared" si="1"/>
        <v>576</v>
      </c>
      <c r="E18" s="2885">
        <f t="shared" si="2"/>
        <v>72</v>
      </c>
      <c r="F18" s="2158">
        <v>18660.5</v>
      </c>
      <c r="G18" s="986"/>
      <c r="H18" s="986"/>
      <c r="I18" s="2631"/>
      <c r="J18" s="986"/>
      <c r="L18" s="2892">
        <f t="shared" si="3"/>
        <v>160</v>
      </c>
      <c r="M18" s="2893">
        <f t="shared" si="5"/>
        <v>192</v>
      </c>
    </row>
    <row r="19" spans="1:20" ht="16" hidden="1" outlineLevel="1" x14ac:dyDescent="0.2">
      <c r="A19" s="2183" t="str">
        <f t="shared" si="0"/>
        <v>Xeon Gold 5122 8 core (2 chip) 3600 MHz 384 GB RAM</v>
      </c>
      <c r="B19" s="2174" t="str">
        <f t="shared" si="6"/>
        <v>Xeon Gold 5122 8 core (2 chip) 3600 MHz</v>
      </c>
      <c r="C19" s="2157">
        <v>384</v>
      </c>
      <c r="D19" s="2884">
        <f t="shared" si="1"/>
        <v>576</v>
      </c>
      <c r="E19" s="2885">
        <f t="shared" si="2"/>
        <v>72</v>
      </c>
      <c r="F19" s="2158">
        <v>20328</v>
      </c>
      <c r="G19" s="986"/>
      <c r="H19" s="986"/>
      <c r="I19" s="2631"/>
      <c r="J19" s="986"/>
      <c r="L19" s="2892">
        <f t="shared" si="3"/>
        <v>170</v>
      </c>
      <c r="M19" s="2893">
        <f t="shared" si="5"/>
        <v>192</v>
      </c>
    </row>
    <row r="20" spans="1:20" ht="16" hidden="1" outlineLevel="1" x14ac:dyDescent="0.2">
      <c r="A20" s="2183" t="str">
        <f t="shared" si="0"/>
        <v>Xeon Gold 5122 8 core (2 chip) 3600 MHz 448 GB RAM</v>
      </c>
      <c r="B20" s="2174" t="str">
        <f t="shared" si="6"/>
        <v>Xeon Gold 5122 8 core (2 chip) 3600 MHz</v>
      </c>
      <c r="C20" s="2157">
        <v>448</v>
      </c>
      <c r="D20" s="2884">
        <f t="shared" si="1"/>
        <v>576</v>
      </c>
      <c r="E20" s="2885">
        <f t="shared" si="2"/>
        <v>72</v>
      </c>
      <c r="F20" s="2158">
        <v>21995.5</v>
      </c>
      <c r="G20" s="986"/>
      <c r="H20" s="986"/>
      <c r="I20" s="2631"/>
      <c r="J20" s="986"/>
      <c r="L20" s="2892">
        <f t="shared" si="3"/>
        <v>180</v>
      </c>
      <c r="M20" s="2893">
        <v>256</v>
      </c>
    </row>
    <row r="21" spans="1:20" ht="16" hidden="1" outlineLevel="1" x14ac:dyDescent="0.2">
      <c r="A21" s="2183" t="str">
        <f t="shared" si="0"/>
        <v>Xeon Gold 5122 8 core (2 chip) 3600 MHz 512 GB RAM</v>
      </c>
      <c r="B21" s="2174" t="str">
        <f t="shared" si="6"/>
        <v>Xeon Gold 5122 8 core (2 chip) 3600 MHz</v>
      </c>
      <c r="C21" s="2157">
        <v>512</v>
      </c>
      <c r="D21" s="2884">
        <f t="shared" si="1"/>
        <v>576</v>
      </c>
      <c r="E21" s="2885">
        <f t="shared" si="2"/>
        <v>72</v>
      </c>
      <c r="F21" s="2158">
        <v>23663</v>
      </c>
      <c r="G21" s="986"/>
      <c r="H21" s="986"/>
      <c r="I21" s="2631"/>
      <c r="J21" s="986"/>
      <c r="L21" s="2892">
        <f t="shared" si="3"/>
        <v>190</v>
      </c>
      <c r="M21" s="2893">
        <v>256</v>
      </c>
    </row>
    <row r="22" spans="1:20" ht="16" hidden="1" outlineLevel="1" x14ac:dyDescent="0.2">
      <c r="A22" s="2183" t="str">
        <f t="shared" si="0"/>
        <v>Xeon Gold 5122 8 core (2 chip) 3600 MHz 576 GB RAM</v>
      </c>
      <c r="B22" s="2174" t="str">
        <f t="shared" si="6"/>
        <v>Xeon Gold 5122 8 core (2 chip) 3600 MHz</v>
      </c>
      <c r="C22" s="2157">
        <v>576</v>
      </c>
      <c r="D22" s="2884">
        <f t="shared" si="1"/>
        <v>576</v>
      </c>
      <c r="E22" s="2885">
        <f t="shared" si="2"/>
        <v>72</v>
      </c>
      <c r="F22" s="2158">
        <v>25330.5</v>
      </c>
      <c r="G22" s="986"/>
      <c r="H22" s="986"/>
      <c r="I22" s="2631"/>
      <c r="J22" s="986"/>
      <c r="L22" s="2892">
        <f t="shared" si="3"/>
        <v>200</v>
      </c>
      <c r="M22" s="2893">
        <v>256</v>
      </c>
    </row>
    <row r="23" spans="1:20" ht="16" hidden="1" outlineLevel="1" x14ac:dyDescent="0.2">
      <c r="A23" s="2183" t="str">
        <f t="shared" si="0"/>
        <v>Xeon Gold 5122 8 core (2 chip) 3600 MHz 640 GB RAM</v>
      </c>
      <c r="B23" s="2174" t="str">
        <f t="shared" si="6"/>
        <v>Xeon Gold 5122 8 core (2 chip) 3600 MHz</v>
      </c>
      <c r="C23" s="2157">
        <v>640</v>
      </c>
      <c r="D23" s="2884">
        <f t="shared" si="1"/>
        <v>576</v>
      </c>
      <c r="E23" s="2885">
        <f t="shared" si="2"/>
        <v>72</v>
      </c>
      <c r="F23" s="2158">
        <v>26998</v>
      </c>
      <c r="G23" s="986"/>
      <c r="H23" s="986"/>
      <c r="I23" s="2631"/>
      <c r="J23" s="986"/>
      <c r="L23" s="2892">
        <f t="shared" si="3"/>
        <v>210</v>
      </c>
      <c r="M23" s="2893">
        <f t="shared" si="5"/>
        <v>256</v>
      </c>
      <c r="O23" s="949"/>
    </row>
    <row r="24" spans="1:20" ht="16" hidden="1" outlineLevel="1" x14ac:dyDescent="0.2">
      <c r="A24" s="2183" t="str">
        <f t="shared" si="0"/>
        <v>Xeon Gold 5122 8 core (2 chip) 3600 MHz 704 GB RAM</v>
      </c>
      <c r="B24" s="2174" t="str">
        <f t="shared" si="6"/>
        <v>Xeon Gold 5122 8 core (2 chip) 3600 MHz</v>
      </c>
      <c r="C24" s="2157">
        <v>704</v>
      </c>
      <c r="D24" s="2884">
        <f t="shared" si="1"/>
        <v>576</v>
      </c>
      <c r="E24" s="2885">
        <f t="shared" si="2"/>
        <v>72</v>
      </c>
      <c r="F24" s="2158">
        <v>28665.5</v>
      </c>
      <c r="G24" s="986"/>
      <c r="H24" s="986"/>
      <c r="I24" s="2631"/>
      <c r="J24" s="986"/>
      <c r="L24" s="2892">
        <f t="shared" si="3"/>
        <v>220</v>
      </c>
      <c r="M24" s="2893">
        <f t="shared" si="5"/>
        <v>256</v>
      </c>
    </row>
    <row r="25" spans="1:20" ht="16" collapsed="1" x14ac:dyDescent="0.2">
      <c r="A25" s="2183" t="str">
        <f>B25&amp;" "&amp;C25&amp;" GB RAM"</f>
        <v>Xeon Gold 5122 8 core (2 chip) 3600 MHz 768 GB RAM</v>
      </c>
      <c r="B25" s="2174" t="str">
        <f t="shared" si="6"/>
        <v>Xeon Gold 5122 8 core (2 chip) 3600 MHz</v>
      </c>
      <c r="C25" s="2157">
        <v>768</v>
      </c>
      <c r="D25" s="2884">
        <f>VLOOKUP(B25,HWRange,6,FALSE)</f>
        <v>576</v>
      </c>
      <c r="E25" s="2885">
        <f>D25/VLOOKUP(B25,HWRange,3,FALSE)</f>
        <v>72</v>
      </c>
      <c r="F25" s="2158">
        <v>30333</v>
      </c>
      <c r="G25" s="2629"/>
      <c r="H25" s="986" t="s">
        <v>1922</v>
      </c>
      <c r="I25" s="2631"/>
      <c r="J25" s="986"/>
      <c r="L25" s="2892">
        <f t="shared" si="3"/>
        <v>230</v>
      </c>
      <c r="M25" s="2893">
        <f t="shared" si="5"/>
        <v>256</v>
      </c>
    </row>
    <row r="26" spans="1:20" ht="16" hidden="1" outlineLevel="1" x14ac:dyDescent="0.2">
      <c r="A26" s="2183" t="str">
        <f t="shared" si="0"/>
        <v>Xeon Gold 6128 12 core (2 chip) 3400 MHz 64 GB RAM</v>
      </c>
      <c r="B26" s="2228" t="s">
        <v>1818</v>
      </c>
      <c r="C26" s="2229">
        <v>64</v>
      </c>
      <c r="D26" s="2884">
        <f t="shared" si="1"/>
        <v>809</v>
      </c>
      <c r="E26" s="2885">
        <f t="shared" si="2"/>
        <v>67.416666666666671</v>
      </c>
      <c r="F26" s="2230">
        <v>15351.667279411764</v>
      </c>
      <c r="G26" s="2629"/>
      <c r="H26" s="986"/>
      <c r="I26" s="2631"/>
      <c r="J26" s="986"/>
      <c r="L26" s="2892">
        <f t="shared" si="3"/>
        <v>240</v>
      </c>
      <c r="M26" s="2893">
        <f t="shared" si="5"/>
        <v>256</v>
      </c>
    </row>
    <row r="27" spans="1:20" ht="16" hidden="1" outlineLevel="1" x14ac:dyDescent="0.2">
      <c r="A27" s="2183" t="str">
        <f>B27&amp;" "&amp;C27&amp;" GB RAM"</f>
        <v>Xeon Gold 6128 12 core (2 chip) 3400 MHz 96 GB RAM</v>
      </c>
      <c r="B27" s="2228" t="str">
        <f>B26</f>
        <v>Xeon Gold 6128 12 core (2 chip) 3400 MHz</v>
      </c>
      <c r="C27" s="2229">
        <v>96</v>
      </c>
      <c r="D27" s="2884">
        <f>VLOOKUP(B27,HWRange,6,FALSE)</f>
        <v>809</v>
      </c>
      <c r="E27" s="2885">
        <f>D27/VLOOKUP(B27,HWRange,3,FALSE)</f>
        <v>67.416666666666671</v>
      </c>
      <c r="F27" s="2230">
        <v>17852.917279411762</v>
      </c>
      <c r="G27" s="2629"/>
      <c r="H27" s="986"/>
      <c r="I27" s="2631"/>
      <c r="J27" s="986"/>
      <c r="L27" s="2892">
        <f t="shared" si="3"/>
        <v>250</v>
      </c>
      <c r="M27" s="2893">
        <v>320</v>
      </c>
    </row>
    <row r="28" spans="1:20" ht="16" hidden="1" outlineLevel="1" x14ac:dyDescent="0.2">
      <c r="A28" s="2183" t="str">
        <f t="shared" si="0"/>
        <v>Xeon Gold 6128 12 core (2 chip) 3400 MHz 128 GB RAM</v>
      </c>
      <c r="B28" s="2228" t="str">
        <f t="shared" ref="B28:B38" si="7">B27</f>
        <v>Xeon Gold 6128 12 core (2 chip) 3400 MHz</v>
      </c>
      <c r="C28" s="2229">
        <v>128</v>
      </c>
      <c r="D28" s="2884">
        <f t="shared" si="1"/>
        <v>809</v>
      </c>
      <c r="E28" s="2885">
        <f t="shared" si="2"/>
        <v>67.416666666666671</v>
      </c>
      <c r="F28" s="2230">
        <v>18686.667279411762</v>
      </c>
      <c r="G28" s="2629"/>
      <c r="H28" s="986"/>
      <c r="I28" s="2631"/>
      <c r="J28" s="986"/>
      <c r="L28" s="2892">
        <f t="shared" si="3"/>
        <v>260</v>
      </c>
      <c r="M28" s="2893">
        <v>320</v>
      </c>
      <c r="Q28" s="2447"/>
      <c r="R28" s="2447"/>
      <c r="S28" s="2447"/>
      <c r="T28" s="2447"/>
    </row>
    <row r="29" spans="1:20" ht="16" hidden="1" outlineLevel="1" x14ac:dyDescent="0.2">
      <c r="A29" s="2183" t="str">
        <f t="shared" si="0"/>
        <v>Xeon Gold 6128 12 core (2 chip) 3400 MHz 192 GB RAM</v>
      </c>
      <c r="B29" s="2228" t="str">
        <f t="shared" si="7"/>
        <v>Xeon Gold 6128 12 core (2 chip) 3400 MHz</v>
      </c>
      <c r="C29" s="2229">
        <v>192</v>
      </c>
      <c r="D29" s="2884">
        <f t="shared" si="1"/>
        <v>809</v>
      </c>
      <c r="E29" s="2885">
        <f t="shared" si="2"/>
        <v>67.416666666666671</v>
      </c>
      <c r="F29" s="2230">
        <v>20354.167279411762</v>
      </c>
      <c r="G29" s="2629"/>
      <c r="H29" s="986"/>
      <c r="I29" s="2631"/>
      <c r="J29" s="986"/>
      <c r="L29" s="2892">
        <f t="shared" si="3"/>
        <v>270</v>
      </c>
      <c r="M29" s="2893">
        <f t="shared" si="5"/>
        <v>320</v>
      </c>
      <c r="Q29" s="2447"/>
      <c r="R29" s="2447"/>
      <c r="S29" s="2447"/>
      <c r="T29" s="2447"/>
    </row>
    <row r="30" spans="1:20" ht="16" hidden="1" outlineLevel="1" x14ac:dyDescent="0.2">
      <c r="A30" s="2183" t="str">
        <f t="shared" si="0"/>
        <v>Xeon Gold 6128 12 core (2 chip) 3400 MHz 256 GB RAM</v>
      </c>
      <c r="B30" s="2228" t="str">
        <f t="shared" si="7"/>
        <v>Xeon Gold 6128 12 core (2 chip) 3400 MHz</v>
      </c>
      <c r="C30" s="2229">
        <v>256</v>
      </c>
      <c r="D30" s="2884">
        <f t="shared" si="1"/>
        <v>809</v>
      </c>
      <c r="E30" s="2885">
        <f t="shared" si="2"/>
        <v>67.416666666666671</v>
      </c>
      <c r="F30" s="2230">
        <v>22021.667279411762</v>
      </c>
      <c r="G30" s="2629"/>
      <c r="H30" s="986"/>
      <c r="I30" s="2631"/>
      <c r="J30" s="986"/>
      <c r="L30" s="2892">
        <f t="shared" si="3"/>
        <v>280</v>
      </c>
      <c r="M30" s="2893">
        <f t="shared" si="5"/>
        <v>320</v>
      </c>
      <c r="Q30" s="2447"/>
      <c r="R30" s="2447"/>
      <c r="S30" s="2447"/>
      <c r="T30" s="2447"/>
    </row>
    <row r="31" spans="1:20" ht="16" hidden="1" outlineLevel="1" x14ac:dyDescent="0.2">
      <c r="A31" s="2183" t="str">
        <f t="shared" si="0"/>
        <v>Xeon Gold 6128 12 core (2 chip) 3400 MHz 320 GB RAM</v>
      </c>
      <c r="B31" s="2228" t="str">
        <f t="shared" si="7"/>
        <v>Xeon Gold 6128 12 core (2 chip) 3400 MHz</v>
      </c>
      <c r="C31" s="2229">
        <v>320</v>
      </c>
      <c r="D31" s="2884">
        <f t="shared" si="1"/>
        <v>809</v>
      </c>
      <c r="E31" s="2885">
        <f t="shared" si="2"/>
        <v>67.416666666666671</v>
      </c>
      <c r="F31" s="2230">
        <v>23689.167279411762</v>
      </c>
      <c r="G31" s="2629"/>
      <c r="H31" s="986"/>
      <c r="I31" s="2631"/>
      <c r="J31" s="986"/>
      <c r="L31" s="2892">
        <f t="shared" si="3"/>
        <v>290</v>
      </c>
      <c r="M31" s="2893">
        <f t="shared" si="5"/>
        <v>320</v>
      </c>
      <c r="Q31" s="2447"/>
      <c r="R31" s="2447"/>
      <c r="S31" s="2447"/>
      <c r="T31" s="2447"/>
    </row>
    <row r="32" spans="1:20" ht="16" hidden="1" outlineLevel="1" x14ac:dyDescent="0.2">
      <c r="A32" s="2183" t="str">
        <f t="shared" si="0"/>
        <v>Xeon Gold 6128 12 core (2 chip) 3400 MHz 384 GB RAM</v>
      </c>
      <c r="B32" s="2228" t="str">
        <f t="shared" si="7"/>
        <v>Xeon Gold 6128 12 core (2 chip) 3400 MHz</v>
      </c>
      <c r="C32" s="2229">
        <v>384</v>
      </c>
      <c r="D32" s="2884">
        <f t="shared" si="1"/>
        <v>809</v>
      </c>
      <c r="E32" s="2885">
        <f t="shared" si="2"/>
        <v>67.416666666666671</v>
      </c>
      <c r="F32" s="2230">
        <v>25356.667279411762</v>
      </c>
      <c r="G32" s="2629"/>
      <c r="H32" s="986"/>
      <c r="I32" s="2631"/>
      <c r="J32" s="986"/>
      <c r="L32" s="2892">
        <f t="shared" si="3"/>
        <v>300</v>
      </c>
      <c r="M32" s="2893">
        <f t="shared" si="5"/>
        <v>320</v>
      </c>
      <c r="Q32" s="2447"/>
      <c r="R32" s="2447"/>
      <c r="S32" s="2447"/>
      <c r="T32" s="2447"/>
    </row>
    <row r="33" spans="1:20" ht="16" hidden="1" outlineLevel="1" x14ac:dyDescent="0.2">
      <c r="A33" s="2183" t="str">
        <f t="shared" si="0"/>
        <v>Xeon Gold 6128 12 core (2 chip) 3400 MHz 448 GB RAM</v>
      </c>
      <c r="B33" s="2228" t="str">
        <f t="shared" si="7"/>
        <v>Xeon Gold 6128 12 core (2 chip) 3400 MHz</v>
      </c>
      <c r="C33" s="2229">
        <v>448</v>
      </c>
      <c r="D33" s="2884">
        <f t="shared" si="1"/>
        <v>809</v>
      </c>
      <c r="E33" s="2885">
        <f t="shared" si="2"/>
        <v>67.416666666666671</v>
      </c>
      <c r="F33" s="2230">
        <v>27024.167279411762</v>
      </c>
      <c r="G33" s="2629"/>
      <c r="H33" s="986"/>
      <c r="I33" s="2631"/>
      <c r="J33" s="2631"/>
      <c r="L33" s="2892">
        <f t="shared" si="3"/>
        <v>310</v>
      </c>
      <c r="M33" s="2893">
        <v>384</v>
      </c>
      <c r="N33" s="2630"/>
      <c r="P33" s="2160"/>
      <c r="Q33" s="2447"/>
      <c r="R33" s="2447"/>
      <c r="S33" s="2447"/>
      <c r="T33" s="2447"/>
    </row>
    <row r="34" spans="1:20" ht="16" hidden="1" outlineLevel="1" x14ac:dyDescent="0.2">
      <c r="A34" s="2183" t="str">
        <f t="shared" si="0"/>
        <v>Xeon Gold 6128 12 core (2 chip) 3400 MHz 512 GB RAM</v>
      </c>
      <c r="B34" s="2228" t="str">
        <f t="shared" si="7"/>
        <v>Xeon Gold 6128 12 core (2 chip) 3400 MHz</v>
      </c>
      <c r="C34" s="2229">
        <v>512</v>
      </c>
      <c r="D34" s="2884">
        <f t="shared" si="1"/>
        <v>809</v>
      </c>
      <c r="E34" s="2885">
        <f t="shared" si="2"/>
        <v>67.416666666666671</v>
      </c>
      <c r="F34" s="2230">
        <v>28691.667279411762</v>
      </c>
      <c r="G34" s="2629"/>
      <c r="H34" s="986"/>
      <c r="I34" s="2631"/>
      <c r="J34" s="2631"/>
      <c r="L34" s="2892">
        <f t="shared" si="3"/>
        <v>320</v>
      </c>
      <c r="M34" s="2893">
        <v>384</v>
      </c>
      <c r="Q34" s="2447"/>
      <c r="R34" s="2447"/>
      <c r="S34" s="2447"/>
      <c r="T34" s="2447"/>
    </row>
    <row r="35" spans="1:20" ht="16" hidden="1" outlineLevel="1" x14ac:dyDescent="0.2">
      <c r="A35" s="2183" t="str">
        <f t="shared" si="0"/>
        <v>Xeon Gold 6128 12 core (2 chip) 3400 MHz 576 GB RAM</v>
      </c>
      <c r="B35" s="2228" t="str">
        <f t="shared" si="7"/>
        <v>Xeon Gold 6128 12 core (2 chip) 3400 MHz</v>
      </c>
      <c r="C35" s="2229">
        <v>576</v>
      </c>
      <c r="D35" s="2884">
        <f t="shared" si="1"/>
        <v>809</v>
      </c>
      <c r="E35" s="2885">
        <f t="shared" si="2"/>
        <v>67.416666666666671</v>
      </c>
      <c r="F35" s="2230">
        <v>30359.167279411762</v>
      </c>
      <c r="G35" s="2629"/>
      <c r="H35" s="986"/>
      <c r="I35" s="2631"/>
      <c r="J35" s="2631"/>
      <c r="L35" s="2892">
        <f t="shared" si="3"/>
        <v>330</v>
      </c>
      <c r="M35" s="2893">
        <v>384</v>
      </c>
      <c r="Q35" s="2447"/>
      <c r="R35" s="2447"/>
      <c r="S35" s="2447"/>
      <c r="T35" s="2447"/>
    </row>
    <row r="36" spans="1:20" ht="16" hidden="1" outlineLevel="1" x14ac:dyDescent="0.2">
      <c r="A36" s="2183" t="str">
        <f t="shared" si="0"/>
        <v>Xeon Gold 6128 12 core (2 chip) 3400 MHz 640 GB RAM</v>
      </c>
      <c r="B36" s="2228" t="str">
        <f>B34</f>
        <v>Xeon Gold 6128 12 core (2 chip) 3400 MHz</v>
      </c>
      <c r="C36" s="2229">
        <v>640</v>
      </c>
      <c r="D36" s="2884">
        <f>VLOOKUP(B36,HWRange,6,FALSE)</f>
        <v>809</v>
      </c>
      <c r="E36" s="2885">
        <f>D36/VLOOKUP(B36,HWRange,3,FALSE)</f>
        <v>67.416666666666671</v>
      </c>
      <c r="F36" s="2230">
        <v>32026.667279411762</v>
      </c>
      <c r="G36" s="2629"/>
      <c r="H36" s="986"/>
      <c r="I36" s="2631"/>
      <c r="J36" s="2631"/>
      <c r="L36" s="2892">
        <f>+L35+10</f>
        <v>340</v>
      </c>
      <c r="M36" s="2893">
        <f t="shared" si="5"/>
        <v>384</v>
      </c>
      <c r="Q36" s="2447"/>
      <c r="R36" s="2447"/>
      <c r="S36" s="2447"/>
      <c r="T36" s="2447"/>
    </row>
    <row r="37" spans="1:20" ht="16" hidden="1" outlineLevel="1" x14ac:dyDescent="0.2">
      <c r="A37" s="2183" t="str">
        <f t="shared" si="0"/>
        <v>Xeon Gold 6128 12 core (2 chip) 3400 MHz 704 GB RAM</v>
      </c>
      <c r="B37" s="2228" t="str">
        <f>B35</f>
        <v>Xeon Gold 6128 12 core (2 chip) 3400 MHz</v>
      </c>
      <c r="C37" s="2229">
        <v>704</v>
      </c>
      <c r="D37" s="2884">
        <f t="shared" si="1"/>
        <v>809</v>
      </c>
      <c r="E37" s="2885">
        <f t="shared" si="2"/>
        <v>67.416666666666671</v>
      </c>
      <c r="F37" s="2230">
        <v>33694.167279411762</v>
      </c>
      <c r="G37" s="2629"/>
      <c r="H37" s="986"/>
      <c r="I37" s="2631"/>
      <c r="J37" s="2631"/>
      <c r="L37" s="2892">
        <f t="shared" si="3"/>
        <v>350</v>
      </c>
      <c r="M37" s="2893">
        <f t="shared" si="5"/>
        <v>384</v>
      </c>
    </row>
    <row r="38" spans="1:20" ht="16" collapsed="1" x14ac:dyDescent="0.2">
      <c r="A38" s="2183" t="str">
        <f t="shared" si="0"/>
        <v>Xeon Gold 6128 12 core (2 chip) 3400 MHz 768 GB RAM</v>
      </c>
      <c r="B38" s="2228" t="str">
        <f t="shared" si="7"/>
        <v>Xeon Gold 6128 12 core (2 chip) 3400 MHz</v>
      </c>
      <c r="C38" s="2229">
        <v>768</v>
      </c>
      <c r="D38" s="2884">
        <f t="shared" si="1"/>
        <v>809</v>
      </c>
      <c r="E38" s="2885">
        <f t="shared" si="2"/>
        <v>67.416666666666671</v>
      </c>
      <c r="F38" s="2230">
        <v>35361.667279411762</v>
      </c>
      <c r="G38" s="2629"/>
      <c r="H38" s="949" t="s">
        <v>1923</v>
      </c>
      <c r="I38" s="2631"/>
      <c r="J38" s="2631"/>
      <c r="L38" s="2892">
        <f t="shared" si="3"/>
        <v>360</v>
      </c>
      <c r="M38" s="2893">
        <f t="shared" si="5"/>
        <v>384</v>
      </c>
    </row>
    <row r="39" spans="1:20" ht="16" hidden="1" outlineLevel="1" x14ac:dyDescent="0.2">
      <c r="A39" s="2183" t="str">
        <f t="shared" si="0"/>
        <v>Xeon Gold 6144 16 core (2 chip) 3500 MHz 64 GB RAM</v>
      </c>
      <c r="B39" s="2174" t="s">
        <v>1826</v>
      </c>
      <c r="C39" s="2157">
        <v>64</v>
      </c>
      <c r="D39" s="2884">
        <f t="shared" si="1"/>
        <v>1120</v>
      </c>
      <c r="E39" s="2885">
        <f t="shared" si="2"/>
        <v>70</v>
      </c>
      <c r="F39" s="2158">
        <v>21253.235294117647</v>
      </c>
      <c r="G39" s="2629"/>
      <c r="I39" s="2631"/>
      <c r="J39" s="986"/>
      <c r="L39" s="2892">
        <f t="shared" si="3"/>
        <v>370</v>
      </c>
      <c r="M39" s="2893">
        <f t="shared" si="5"/>
        <v>384</v>
      </c>
    </row>
    <row r="40" spans="1:20" ht="16" hidden="1" outlineLevel="1" x14ac:dyDescent="0.2">
      <c r="A40" s="2183" t="str">
        <f t="shared" si="0"/>
        <v>Xeon Gold 6144 16 core (2 chip) 3500 MHz 96 GB RAM</v>
      </c>
      <c r="B40" s="2174" t="str">
        <f>B39</f>
        <v>Xeon Gold 6144 16 core (2 chip) 3500 MHz</v>
      </c>
      <c r="C40" s="2157">
        <v>96</v>
      </c>
      <c r="D40" s="2884">
        <f t="shared" si="1"/>
        <v>1120</v>
      </c>
      <c r="E40" s="2885">
        <f t="shared" si="2"/>
        <v>70</v>
      </c>
      <c r="F40" s="2158">
        <v>23754.485294117647</v>
      </c>
      <c r="G40" s="2629"/>
      <c r="H40" s="986"/>
      <c r="I40" s="2631"/>
      <c r="J40" s="986"/>
      <c r="L40" s="2892">
        <f t="shared" si="3"/>
        <v>380</v>
      </c>
      <c r="M40" s="2893">
        <v>448</v>
      </c>
    </row>
    <row r="41" spans="1:20" ht="16" hidden="1" outlineLevel="1" x14ac:dyDescent="0.2">
      <c r="A41" s="2183" t="str">
        <f t="shared" si="0"/>
        <v>Xeon Gold 6144 16 core (2 chip) 3500 MHz 128 GB RAM</v>
      </c>
      <c r="B41" s="2174" t="str">
        <f t="shared" ref="B41:B49" si="8">B40</f>
        <v>Xeon Gold 6144 16 core (2 chip) 3500 MHz</v>
      </c>
      <c r="C41" s="2157">
        <v>128</v>
      </c>
      <c r="D41" s="2884">
        <f t="shared" si="1"/>
        <v>1120</v>
      </c>
      <c r="E41" s="2885">
        <f t="shared" si="2"/>
        <v>70</v>
      </c>
      <c r="F41" s="2158">
        <v>24588.235294117647</v>
      </c>
      <c r="G41" s="2629"/>
      <c r="H41" s="986"/>
      <c r="I41" s="2631"/>
      <c r="J41" s="986"/>
      <c r="L41" s="2892">
        <f t="shared" si="3"/>
        <v>390</v>
      </c>
      <c r="M41" s="2893">
        <v>448</v>
      </c>
    </row>
    <row r="42" spans="1:20" ht="16" hidden="1" outlineLevel="1" x14ac:dyDescent="0.2">
      <c r="A42" s="2183" t="str">
        <f t="shared" si="0"/>
        <v>Xeon Gold 6144 16 core (2 chip) 3500 MHz 192 GB RAM</v>
      </c>
      <c r="B42" s="2174" t="str">
        <f t="shared" si="8"/>
        <v>Xeon Gold 6144 16 core (2 chip) 3500 MHz</v>
      </c>
      <c r="C42" s="2157">
        <v>192</v>
      </c>
      <c r="D42" s="2884">
        <f t="shared" si="1"/>
        <v>1120</v>
      </c>
      <c r="E42" s="2885">
        <f t="shared" si="2"/>
        <v>70</v>
      </c>
      <c r="F42" s="2158">
        <v>26255.735294117647</v>
      </c>
      <c r="G42" s="2629"/>
      <c r="H42" s="986"/>
      <c r="I42" s="2631"/>
      <c r="J42" s="986"/>
      <c r="L42" s="2892">
        <f t="shared" si="3"/>
        <v>400</v>
      </c>
      <c r="M42" s="2893">
        <f t="shared" si="5"/>
        <v>448</v>
      </c>
    </row>
    <row r="43" spans="1:20" ht="16" hidden="1" outlineLevel="1" x14ac:dyDescent="0.2">
      <c r="A43" s="2183" t="str">
        <f t="shared" si="0"/>
        <v>Xeon Gold 6144 16 core (2 chip) 3500 MHz 256 GB RAM</v>
      </c>
      <c r="B43" s="2174" t="str">
        <f t="shared" si="8"/>
        <v>Xeon Gold 6144 16 core (2 chip) 3500 MHz</v>
      </c>
      <c r="C43" s="2157">
        <v>256</v>
      </c>
      <c r="D43" s="2884">
        <f t="shared" si="1"/>
        <v>1120</v>
      </c>
      <c r="E43" s="2885">
        <f t="shared" si="2"/>
        <v>70</v>
      </c>
      <c r="F43" s="2158">
        <v>27923.235294117647</v>
      </c>
      <c r="G43" s="2629"/>
      <c r="H43" s="986"/>
      <c r="I43" s="2631"/>
      <c r="J43" s="986"/>
      <c r="L43" s="2892">
        <f t="shared" si="3"/>
        <v>410</v>
      </c>
      <c r="M43" s="2893">
        <f t="shared" si="5"/>
        <v>448</v>
      </c>
    </row>
    <row r="44" spans="1:20" ht="16" hidden="1" outlineLevel="1" x14ac:dyDescent="0.2">
      <c r="A44" s="2183" t="str">
        <f t="shared" si="0"/>
        <v>Xeon Gold 6144 16 core (2 chip) 3500 MHz 320 GB RAM</v>
      </c>
      <c r="B44" s="2174" t="str">
        <f t="shared" si="8"/>
        <v>Xeon Gold 6144 16 core (2 chip) 3500 MHz</v>
      </c>
      <c r="C44" s="2157">
        <v>320</v>
      </c>
      <c r="D44" s="2884">
        <f t="shared" si="1"/>
        <v>1120</v>
      </c>
      <c r="E44" s="2885">
        <f t="shared" si="2"/>
        <v>70</v>
      </c>
      <c r="F44" s="2158">
        <v>29590.735294117647</v>
      </c>
      <c r="G44" s="2629"/>
      <c r="H44" s="986"/>
      <c r="I44" s="2631"/>
      <c r="J44" s="986"/>
      <c r="L44" s="2892">
        <f t="shared" si="3"/>
        <v>420</v>
      </c>
      <c r="M44" s="2893">
        <f t="shared" si="5"/>
        <v>448</v>
      </c>
    </row>
    <row r="45" spans="1:20" ht="16" hidden="1" outlineLevel="1" x14ac:dyDescent="0.2">
      <c r="A45" s="2183" t="str">
        <f t="shared" si="0"/>
        <v>Xeon Gold 6144 16 core (2 chip) 3500 MHz 384 GB RAM</v>
      </c>
      <c r="B45" s="2174" t="str">
        <f t="shared" si="8"/>
        <v>Xeon Gold 6144 16 core (2 chip) 3500 MHz</v>
      </c>
      <c r="C45" s="2157">
        <v>384</v>
      </c>
      <c r="D45" s="2884">
        <f t="shared" si="1"/>
        <v>1120</v>
      </c>
      <c r="E45" s="2885">
        <f t="shared" si="2"/>
        <v>70</v>
      </c>
      <c r="F45" s="2158">
        <v>31258.235294117647</v>
      </c>
      <c r="G45" s="2629"/>
      <c r="H45" s="986"/>
      <c r="I45" s="2631"/>
      <c r="J45" s="986"/>
      <c r="L45" s="2892">
        <f t="shared" si="3"/>
        <v>430</v>
      </c>
      <c r="M45" s="2893">
        <f t="shared" si="5"/>
        <v>448</v>
      </c>
      <c r="N45" s="2630"/>
      <c r="O45" s="2160"/>
      <c r="P45" s="2630"/>
    </row>
    <row r="46" spans="1:20" ht="16" hidden="1" outlineLevel="1" x14ac:dyDescent="0.2">
      <c r="A46" s="2183" t="str">
        <f t="shared" si="0"/>
        <v>Xeon Gold 6144 16 core (2 chip) 3500 MHz 448 GB RAM</v>
      </c>
      <c r="B46" s="2174" t="str">
        <f t="shared" si="8"/>
        <v>Xeon Gold 6144 16 core (2 chip) 3500 MHz</v>
      </c>
      <c r="C46" s="2157">
        <v>448</v>
      </c>
      <c r="D46" s="2884">
        <f t="shared" si="1"/>
        <v>1120</v>
      </c>
      <c r="E46" s="2885">
        <f t="shared" si="2"/>
        <v>70</v>
      </c>
      <c r="F46" s="2158">
        <v>32925.73529411765</v>
      </c>
      <c r="G46" s="2629"/>
      <c r="H46" s="986"/>
      <c r="I46" s="2631"/>
      <c r="J46" s="986"/>
      <c r="L46" s="2892">
        <f t="shared" si="3"/>
        <v>440</v>
      </c>
      <c r="M46" s="2893">
        <v>512</v>
      </c>
    </row>
    <row r="47" spans="1:20" ht="16" hidden="1" outlineLevel="1" x14ac:dyDescent="0.2">
      <c r="A47" s="2183" t="str">
        <f t="shared" si="0"/>
        <v>Xeon Gold 6144 16 core (2 chip) 3500 MHz 512 GB RAM</v>
      </c>
      <c r="B47" s="2174" t="str">
        <f t="shared" si="8"/>
        <v>Xeon Gold 6144 16 core (2 chip) 3500 MHz</v>
      </c>
      <c r="C47" s="2157">
        <v>512</v>
      </c>
      <c r="D47" s="2884">
        <f t="shared" si="1"/>
        <v>1120</v>
      </c>
      <c r="E47" s="2885">
        <f t="shared" si="2"/>
        <v>70</v>
      </c>
      <c r="F47" s="2158">
        <v>34593.23529411765</v>
      </c>
      <c r="G47" s="2629"/>
      <c r="H47" s="986"/>
      <c r="I47" s="2631"/>
      <c r="J47" s="986"/>
      <c r="L47" s="2892">
        <f t="shared" si="3"/>
        <v>450</v>
      </c>
      <c r="M47" s="2893">
        <v>512</v>
      </c>
    </row>
    <row r="48" spans="1:20" ht="16" hidden="1" outlineLevel="1" x14ac:dyDescent="0.2">
      <c r="A48" s="2183" t="str">
        <f t="shared" si="0"/>
        <v>Xeon Gold 6144 16 core (2 chip) 3500 MHz 576 GB RAM</v>
      </c>
      <c r="B48" s="2174" t="str">
        <f t="shared" si="8"/>
        <v>Xeon Gold 6144 16 core (2 chip) 3500 MHz</v>
      </c>
      <c r="C48" s="2157">
        <v>576</v>
      </c>
      <c r="D48" s="2884">
        <f t="shared" si="1"/>
        <v>1120</v>
      </c>
      <c r="E48" s="2885">
        <f t="shared" si="2"/>
        <v>70</v>
      </c>
      <c r="F48" s="2158">
        <v>36260.73529411765</v>
      </c>
      <c r="G48" s="2629"/>
      <c r="H48" s="986"/>
      <c r="I48" s="2631"/>
      <c r="J48" s="986"/>
      <c r="L48" s="2892">
        <f t="shared" si="3"/>
        <v>460</v>
      </c>
      <c r="M48" s="2893">
        <f t="shared" si="5"/>
        <v>512</v>
      </c>
    </row>
    <row r="49" spans="1:16" ht="16" hidden="1" outlineLevel="1" x14ac:dyDescent="0.2">
      <c r="A49" s="2183" t="str">
        <f t="shared" si="0"/>
        <v>Xeon Gold 6144 16 core (2 chip) 3500 MHz 640 GB RAM</v>
      </c>
      <c r="B49" s="2174" t="str">
        <f t="shared" si="8"/>
        <v>Xeon Gold 6144 16 core (2 chip) 3500 MHz</v>
      </c>
      <c r="C49" s="2157">
        <v>640</v>
      </c>
      <c r="D49" s="2884">
        <f t="shared" si="1"/>
        <v>1120</v>
      </c>
      <c r="E49" s="2885">
        <f t="shared" si="2"/>
        <v>70</v>
      </c>
      <c r="F49" s="2158">
        <v>37928.23529411765</v>
      </c>
      <c r="G49" s="2629"/>
      <c r="I49" s="2631"/>
      <c r="J49" s="2631"/>
      <c r="L49" s="2892">
        <f t="shared" si="3"/>
        <v>470</v>
      </c>
      <c r="M49" s="2893">
        <f t="shared" si="5"/>
        <v>512</v>
      </c>
    </row>
    <row r="50" spans="1:16" ht="16" hidden="1" outlineLevel="1" x14ac:dyDescent="0.2">
      <c r="A50" s="2183" t="str">
        <f>B50&amp;" "&amp;C50&amp;" GB RAM"</f>
        <v>Xeon Gold 6144 16 core (2 chip) 3500 MHz 704 GB RAM</v>
      </c>
      <c r="B50" s="2174" t="str">
        <f>B48</f>
        <v>Xeon Gold 6144 16 core (2 chip) 3500 MHz</v>
      </c>
      <c r="C50" s="2157">
        <v>704</v>
      </c>
      <c r="D50" s="2884">
        <f>VLOOKUP(B50,HWRange,6,FALSE)</f>
        <v>1120</v>
      </c>
      <c r="E50" s="2885">
        <f>D50/VLOOKUP(B50,HWRange,3,FALSE)</f>
        <v>70</v>
      </c>
      <c r="F50" s="2158">
        <v>39595.73529411765</v>
      </c>
      <c r="G50" s="2629"/>
      <c r="I50" s="2631"/>
      <c r="J50" s="2631"/>
      <c r="L50" s="2892">
        <f t="shared" si="3"/>
        <v>480</v>
      </c>
      <c r="M50" s="2893">
        <f t="shared" si="5"/>
        <v>512</v>
      </c>
    </row>
    <row r="51" spans="1:16" ht="16" collapsed="1" x14ac:dyDescent="0.2">
      <c r="A51" s="2183" t="str">
        <f t="shared" si="0"/>
        <v>Xeon Gold 6144 16 core (2 chip) 3500 MHz 768 GB RAM</v>
      </c>
      <c r="B51" s="2174" t="str">
        <f>B49</f>
        <v>Xeon Gold 6144 16 core (2 chip) 3500 MHz</v>
      </c>
      <c r="C51" s="2157">
        <v>768</v>
      </c>
      <c r="D51" s="2884">
        <f t="shared" si="1"/>
        <v>1120</v>
      </c>
      <c r="E51" s="2885">
        <f t="shared" si="2"/>
        <v>70</v>
      </c>
      <c r="F51" s="2158">
        <v>41263.23529411765</v>
      </c>
      <c r="G51" s="2629"/>
      <c r="H51" s="986"/>
      <c r="I51" s="2631"/>
      <c r="J51" s="986"/>
      <c r="L51" s="2892">
        <f>+L50+10</f>
        <v>490</v>
      </c>
      <c r="M51" s="2893">
        <f t="shared" si="5"/>
        <v>512</v>
      </c>
    </row>
    <row r="52" spans="1:16" ht="16" hidden="1" outlineLevel="1" collapsed="1" x14ac:dyDescent="0.2">
      <c r="A52" s="2183" t="str">
        <f t="shared" si="0"/>
        <v>Xeon Gold 5115 20 core (2 chip) 2400 MHz 64 GB RAM</v>
      </c>
      <c r="B52" s="2228" t="s">
        <v>1819</v>
      </c>
      <c r="C52" s="2229">
        <v>64</v>
      </c>
      <c r="D52" s="2884">
        <f t="shared" si="1"/>
        <v>976</v>
      </c>
      <c r="E52" s="2885">
        <f t="shared" si="2"/>
        <v>48.8</v>
      </c>
      <c r="F52" s="2230">
        <v>18520.676470588234</v>
      </c>
      <c r="G52" s="2629"/>
      <c r="H52" s="986"/>
      <c r="I52" s="2631"/>
      <c r="J52" s="986"/>
      <c r="L52" s="2892">
        <f t="shared" si="3"/>
        <v>500</v>
      </c>
      <c r="M52" s="2893">
        <f t="shared" si="5"/>
        <v>512</v>
      </c>
    </row>
    <row r="53" spans="1:16" ht="16" hidden="1" outlineLevel="1" x14ac:dyDescent="0.2">
      <c r="A53" s="2183" t="str">
        <f>B53&amp;" "&amp;C53&amp;" GB RAM"</f>
        <v>Xeon Gold 5115 20 core (2 chip) 2400 MHz 96 GB RAM</v>
      </c>
      <c r="B53" s="2228" t="str">
        <f>B52</f>
        <v>Xeon Gold 5115 20 core (2 chip) 2400 MHz</v>
      </c>
      <c r="C53" s="2229">
        <v>96</v>
      </c>
      <c r="D53" s="2884">
        <f>VLOOKUP(B53,HWRange,6,FALSE)</f>
        <v>976</v>
      </c>
      <c r="E53" s="2885">
        <f>D53/VLOOKUP(B53,HWRange,3,FALSE)</f>
        <v>48.8</v>
      </c>
      <c r="F53" s="2230">
        <v>21021.926470588234</v>
      </c>
      <c r="G53" s="2629"/>
      <c r="H53" s="986"/>
      <c r="I53" s="2631"/>
      <c r="J53" s="986"/>
      <c r="L53" s="2892">
        <f t="shared" si="3"/>
        <v>510</v>
      </c>
      <c r="M53" s="2893">
        <v>576</v>
      </c>
    </row>
    <row r="54" spans="1:16" ht="16" hidden="1" outlineLevel="1" x14ac:dyDescent="0.2">
      <c r="A54" s="2183" t="str">
        <f t="shared" si="0"/>
        <v>Xeon Gold 5115 20 core (2 chip) 2400 MHz 128 GB RAM</v>
      </c>
      <c r="B54" s="2228" t="str">
        <f>B52</f>
        <v>Xeon Gold 5115 20 core (2 chip) 2400 MHz</v>
      </c>
      <c r="C54" s="2229">
        <v>128</v>
      </c>
      <c r="D54" s="2884">
        <f t="shared" si="1"/>
        <v>976</v>
      </c>
      <c r="E54" s="2885">
        <f t="shared" si="2"/>
        <v>48.8</v>
      </c>
      <c r="F54" s="2230">
        <v>21855.676470588234</v>
      </c>
      <c r="G54" s="2629"/>
      <c r="H54" s="986"/>
      <c r="I54" s="2631"/>
      <c r="J54" s="986"/>
      <c r="L54" s="2892">
        <f t="shared" si="3"/>
        <v>520</v>
      </c>
      <c r="M54" s="2893">
        <v>576</v>
      </c>
    </row>
    <row r="55" spans="1:16" ht="16" hidden="1" outlineLevel="1" x14ac:dyDescent="0.2">
      <c r="A55" s="2183" t="str">
        <f t="shared" si="0"/>
        <v>Xeon Gold 5115 20 core (2 chip) 2400 MHz 192 GB RAM</v>
      </c>
      <c r="B55" s="2228" t="str">
        <f t="shared" ref="B55:B62" si="9">B54</f>
        <v>Xeon Gold 5115 20 core (2 chip) 2400 MHz</v>
      </c>
      <c r="C55" s="2229">
        <v>192</v>
      </c>
      <c r="D55" s="2884">
        <f t="shared" si="1"/>
        <v>976</v>
      </c>
      <c r="E55" s="2885">
        <f t="shared" si="2"/>
        <v>48.8</v>
      </c>
      <c r="F55" s="2230">
        <v>23523.176470588234</v>
      </c>
      <c r="G55" s="2629"/>
      <c r="H55" s="986"/>
      <c r="I55" s="2631"/>
      <c r="J55" s="986"/>
      <c r="L55" s="2892">
        <f t="shared" si="3"/>
        <v>530</v>
      </c>
      <c r="M55" s="2893">
        <f t="shared" si="5"/>
        <v>576</v>
      </c>
    </row>
    <row r="56" spans="1:16" ht="16" hidden="1" outlineLevel="1" x14ac:dyDescent="0.2">
      <c r="A56" s="2183" t="str">
        <f t="shared" si="0"/>
        <v>Xeon Gold 5115 20 core (2 chip) 2400 MHz 256 GB RAM</v>
      </c>
      <c r="B56" s="2228" t="str">
        <f t="shared" si="9"/>
        <v>Xeon Gold 5115 20 core (2 chip) 2400 MHz</v>
      </c>
      <c r="C56" s="2229">
        <v>256</v>
      </c>
      <c r="D56" s="2884">
        <f t="shared" si="1"/>
        <v>976</v>
      </c>
      <c r="E56" s="2885">
        <f t="shared" si="2"/>
        <v>48.8</v>
      </c>
      <c r="F56" s="2230">
        <v>25190.676470588234</v>
      </c>
      <c r="G56" s="2629"/>
      <c r="H56" s="986"/>
      <c r="I56" s="2631"/>
      <c r="J56" s="986"/>
      <c r="L56" s="2892">
        <f t="shared" si="3"/>
        <v>540</v>
      </c>
      <c r="M56" s="2893">
        <f t="shared" si="5"/>
        <v>576</v>
      </c>
    </row>
    <row r="57" spans="1:16" ht="16" hidden="1" outlineLevel="1" collapsed="1" x14ac:dyDescent="0.2">
      <c r="A57" s="2183" t="str">
        <f t="shared" si="0"/>
        <v>Xeon Gold 5115 20 core (2 chip) 2400 MHz 320 GB RAM</v>
      </c>
      <c r="B57" s="2228" t="str">
        <f t="shared" si="9"/>
        <v>Xeon Gold 5115 20 core (2 chip) 2400 MHz</v>
      </c>
      <c r="C57" s="2229">
        <v>320</v>
      </c>
      <c r="D57" s="2884">
        <f t="shared" si="1"/>
        <v>976</v>
      </c>
      <c r="E57" s="2885">
        <f t="shared" si="2"/>
        <v>48.8</v>
      </c>
      <c r="F57" s="2230">
        <v>26858.176470588234</v>
      </c>
      <c r="G57" s="2629"/>
      <c r="H57" s="986"/>
      <c r="I57" s="2631"/>
      <c r="J57" s="986"/>
      <c r="L57" s="2892">
        <f t="shared" si="3"/>
        <v>550</v>
      </c>
      <c r="M57" s="2893">
        <f t="shared" si="5"/>
        <v>576</v>
      </c>
      <c r="N57" s="2630"/>
      <c r="O57" s="2160"/>
      <c r="P57" s="2630"/>
    </row>
    <row r="58" spans="1:16" ht="16" hidden="1" outlineLevel="1" x14ac:dyDescent="0.2">
      <c r="A58" s="2183" t="str">
        <f t="shared" si="0"/>
        <v>Xeon Gold 5115 20 core (2 chip) 2400 MHz 384 GB RAM</v>
      </c>
      <c r="B58" s="2228" t="str">
        <f t="shared" si="9"/>
        <v>Xeon Gold 5115 20 core (2 chip) 2400 MHz</v>
      </c>
      <c r="C58" s="2229">
        <v>384</v>
      </c>
      <c r="D58" s="2884">
        <f t="shared" si="1"/>
        <v>976</v>
      </c>
      <c r="E58" s="2885">
        <f t="shared" si="2"/>
        <v>48.8</v>
      </c>
      <c r="F58" s="2230">
        <v>28525.676470588234</v>
      </c>
      <c r="G58" s="2629"/>
      <c r="H58" s="986"/>
      <c r="I58" s="2631"/>
      <c r="J58" s="986"/>
      <c r="L58" s="2892">
        <f t="shared" si="3"/>
        <v>560</v>
      </c>
      <c r="M58" s="2893">
        <f t="shared" si="5"/>
        <v>576</v>
      </c>
    </row>
    <row r="59" spans="1:16" ht="16" hidden="1" outlineLevel="1" x14ac:dyDescent="0.2">
      <c r="A59" s="2183" t="str">
        <f t="shared" si="0"/>
        <v>Xeon Gold 5115 20 core (2 chip) 2400 MHz 448 GB RAM</v>
      </c>
      <c r="B59" s="2228" t="str">
        <f t="shared" si="9"/>
        <v>Xeon Gold 5115 20 core (2 chip) 2400 MHz</v>
      </c>
      <c r="C59" s="2229">
        <v>448</v>
      </c>
      <c r="D59" s="2884">
        <f t="shared" si="1"/>
        <v>976</v>
      </c>
      <c r="E59" s="2885">
        <f t="shared" si="2"/>
        <v>48.8</v>
      </c>
      <c r="F59" s="2230">
        <v>30193.176470588234</v>
      </c>
      <c r="G59" s="2629"/>
      <c r="H59" s="986"/>
      <c r="I59" s="2631"/>
      <c r="J59" s="986"/>
      <c r="L59" s="2892">
        <f t="shared" si="3"/>
        <v>570</v>
      </c>
      <c r="M59" s="2893">
        <v>640</v>
      </c>
    </row>
    <row r="60" spans="1:16" ht="16" hidden="1" outlineLevel="1" x14ac:dyDescent="0.2">
      <c r="A60" s="2183" t="str">
        <f t="shared" si="0"/>
        <v>Xeon Gold 5115 20 core (2 chip) 2400 MHz 512 GB RAM</v>
      </c>
      <c r="B60" s="2228" t="str">
        <f t="shared" si="9"/>
        <v>Xeon Gold 5115 20 core (2 chip) 2400 MHz</v>
      </c>
      <c r="C60" s="2229">
        <v>512</v>
      </c>
      <c r="D60" s="2884">
        <f t="shared" si="1"/>
        <v>976</v>
      </c>
      <c r="E60" s="2885">
        <f t="shared" si="2"/>
        <v>48.8</v>
      </c>
      <c r="F60" s="2230">
        <v>31860.676470588234</v>
      </c>
      <c r="G60" s="2629"/>
      <c r="H60" s="986"/>
      <c r="I60" s="2631"/>
      <c r="J60" s="986"/>
      <c r="L60" s="2892">
        <f t="shared" si="3"/>
        <v>580</v>
      </c>
      <c r="M60" s="2893">
        <v>640</v>
      </c>
    </row>
    <row r="61" spans="1:16" ht="16" hidden="1" outlineLevel="1" x14ac:dyDescent="0.2">
      <c r="A61" s="2183" t="str">
        <f t="shared" si="0"/>
        <v>Xeon Gold 5115 20 core (2 chip) 2400 MHz 576 GB RAM</v>
      </c>
      <c r="B61" s="2228" t="str">
        <f t="shared" si="9"/>
        <v>Xeon Gold 5115 20 core (2 chip) 2400 MHz</v>
      </c>
      <c r="C61" s="2229">
        <v>576</v>
      </c>
      <c r="D61" s="2884">
        <f t="shared" si="1"/>
        <v>976</v>
      </c>
      <c r="E61" s="2885">
        <f t="shared" si="2"/>
        <v>48.8</v>
      </c>
      <c r="F61" s="2230">
        <v>33528.176470588238</v>
      </c>
      <c r="G61" s="2629"/>
      <c r="H61" s="986"/>
      <c r="I61" s="2631"/>
      <c r="J61" s="986"/>
      <c r="L61" s="2892">
        <f t="shared" si="3"/>
        <v>590</v>
      </c>
      <c r="M61" s="2893">
        <f t="shared" si="5"/>
        <v>640</v>
      </c>
    </row>
    <row r="62" spans="1:16" ht="16" hidden="1" outlineLevel="1" x14ac:dyDescent="0.2">
      <c r="A62" s="2183" t="str">
        <f t="shared" si="0"/>
        <v>Xeon Gold 5115 20 core (2 chip) 2400 MHz 640 GB RAM</v>
      </c>
      <c r="B62" s="2228" t="str">
        <f t="shared" si="9"/>
        <v>Xeon Gold 5115 20 core (2 chip) 2400 MHz</v>
      </c>
      <c r="C62" s="2229">
        <v>640</v>
      </c>
      <c r="D62" s="2884">
        <f t="shared" si="1"/>
        <v>976</v>
      </c>
      <c r="E62" s="2885">
        <f t="shared" si="2"/>
        <v>48.8</v>
      </c>
      <c r="F62" s="2230">
        <v>35195.676470588238</v>
      </c>
      <c r="G62" s="2629"/>
      <c r="I62" s="2631"/>
      <c r="J62" s="2631"/>
      <c r="L62" s="2892">
        <f t="shared" si="3"/>
        <v>600</v>
      </c>
      <c r="M62" s="2893">
        <f t="shared" si="5"/>
        <v>640</v>
      </c>
    </row>
    <row r="63" spans="1:16" ht="16" hidden="1" outlineLevel="1" x14ac:dyDescent="0.2">
      <c r="A63" s="2183" t="str">
        <f>B63&amp;" "&amp;C63&amp;" GB RAM"</f>
        <v>Xeon Gold 5115 20 core (2 chip) 2400 MHz 704 GB RAM</v>
      </c>
      <c r="B63" s="2228" t="str">
        <f>B61</f>
        <v>Xeon Gold 5115 20 core (2 chip) 2400 MHz</v>
      </c>
      <c r="C63" s="2229">
        <v>704</v>
      </c>
      <c r="D63" s="2884">
        <f>VLOOKUP(B63,HWRange,6,FALSE)</f>
        <v>976</v>
      </c>
      <c r="E63" s="2885">
        <f>D63/VLOOKUP(B63,HWRange,3,FALSE)</f>
        <v>48.8</v>
      </c>
      <c r="F63" s="2230">
        <v>36863.176470588238</v>
      </c>
      <c r="G63" s="2629"/>
      <c r="I63" s="2631"/>
      <c r="J63" s="2631"/>
      <c r="L63" s="2892">
        <f t="shared" si="3"/>
        <v>610</v>
      </c>
      <c r="M63" s="2893">
        <f t="shared" si="5"/>
        <v>640</v>
      </c>
    </row>
    <row r="64" spans="1:16" ht="16" collapsed="1" x14ac:dyDescent="0.2">
      <c r="A64" s="2183" t="str">
        <f t="shared" si="0"/>
        <v>Xeon Gold 5115 20 core (2 chip) 2400 MHz 768 GB RAM</v>
      </c>
      <c r="B64" s="2228" t="str">
        <f>B62</f>
        <v>Xeon Gold 5115 20 core (2 chip) 2400 MHz</v>
      </c>
      <c r="C64" s="2229">
        <v>768</v>
      </c>
      <c r="D64" s="2884">
        <f t="shared" si="1"/>
        <v>976</v>
      </c>
      <c r="E64" s="2885">
        <f t="shared" si="2"/>
        <v>48.8</v>
      </c>
      <c r="F64" s="2230">
        <v>38530.676470588238</v>
      </c>
      <c r="G64" s="2629"/>
      <c r="H64" s="986"/>
      <c r="I64" s="2631"/>
      <c r="J64" s="986"/>
      <c r="L64" s="2892">
        <f t="shared" si="3"/>
        <v>620</v>
      </c>
      <c r="M64" s="2893">
        <f t="shared" si="5"/>
        <v>640</v>
      </c>
    </row>
    <row r="65" spans="1:16" ht="16" hidden="1" outlineLevel="1" collapsed="1" x14ac:dyDescent="0.2">
      <c r="A65" s="2183" t="str">
        <f t="shared" si="0"/>
        <v>Xeon Gold 6146 24 core (2 chip) 3400 MHz 64 GB RAM</v>
      </c>
      <c r="B65" s="2174" t="s">
        <v>1827</v>
      </c>
      <c r="C65" s="2157">
        <v>64</v>
      </c>
      <c r="D65" s="2884">
        <f t="shared" si="1"/>
        <v>1630</v>
      </c>
      <c r="E65" s="2885">
        <f t="shared" si="2"/>
        <v>67.916666666666671</v>
      </c>
      <c r="F65" s="2158">
        <v>30931.047794117647</v>
      </c>
      <c r="G65" s="2629"/>
      <c r="H65" s="986"/>
      <c r="I65" s="2631"/>
      <c r="J65" s="986"/>
      <c r="L65" s="2892">
        <f t="shared" si="3"/>
        <v>630</v>
      </c>
      <c r="M65" s="2893">
        <f t="shared" si="5"/>
        <v>640</v>
      </c>
    </row>
    <row r="66" spans="1:16" ht="16" hidden="1" outlineLevel="1" x14ac:dyDescent="0.2">
      <c r="A66" s="2183" t="str">
        <f>B66&amp;" "&amp;C66&amp;" GB RAM"</f>
        <v>Xeon Gold 6146 24 core (2 chip) 3400 MHz 96 GB RAM</v>
      </c>
      <c r="B66" s="2174" t="str">
        <f>B65</f>
        <v>Xeon Gold 6146 24 core (2 chip) 3400 MHz</v>
      </c>
      <c r="C66" s="2157">
        <v>96</v>
      </c>
      <c r="D66" s="2884">
        <f t="shared" si="1"/>
        <v>1630</v>
      </c>
      <c r="E66" s="2885">
        <f t="shared" si="2"/>
        <v>67.916666666666671</v>
      </c>
      <c r="F66" s="2158">
        <v>33432.29779411765</v>
      </c>
      <c r="G66" s="2629"/>
      <c r="H66" s="986"/>
      <c r="I66" s="2631"/>
      <c r="J66" s="986"/>
      <c r="L66" s="2892">
        <f t="shared" si="3"/>
        <v>640</v>
      </c>
      <c r="M66" s="2893">
        <v>704</v>
      </c>
    </row>
    <row r="67" spans="1:16" ht="16" hidden="1" outlineLevel="1" x14ac:dyDescent="0.2">
      <c r="A67" s="2183" t="str">
        <f t="shared" si="0"/>
        <v>Xeon Gold 6146 24 core (2 chip) 3400 MHz 128 GB RAM</v>
      </c>
      <c r="B67" s="2174" t="str">
        <f>B65</f>
        <v>Xeon Gold 6146 24 core (2 chip) 3400 MHz</v>
      </c>
      <c r="C67" s="2157">
        <v>128</v>
      </c>
      <c r="D67" s="2884">
        <f t="shared" si="1"/>
        <v>1630</v>
      </c>
      <c r="E67" s="2885">
        <f t="shared" si="2"/>
        <v>67.916666666666671</v>
      </c>
      <c r="F67" s="2158">
        <v>34266.04779411765</v>
      </c>
      <c r="G67" s="2629"/>
      <c r="H67" s="986"/>
      <c r="I67" s="2631"/>
      <c r="J67" s="986"/>
      <c r="L67" s="2892">
        <f>+L66+10</f>
        <v>650</v>
      </c>
      <c r="M67" s="2893">
        <v>704</v>
      </c>
    </row>
    <row r="68" spans="1:16" ht="16" hidden="1" outlineLevel="1" x14ac:dyDescent="0.2">
      <c r="A68" s="2183" t="str">
        <f t="shared" ref="A68:A142" si="10">B68&amp;" "&amp;C68&amp;" GB RAM"</f>
        <v>Xeon Gold 6146 24 core (2 chip) 3400 MHz 192 GB RAM</v>
      </c>
      <c r="B68" s="2174" t="str">
        <f t="shared" ref="B68:B75" si="11">B67</f>
        <v>Xeon Gold 6146 24 core (2 chip) 3400 MHz</v>
      </c>
      <c r="C68" s="2157">
        <v>192</v>
      </c>
      <c r="D68" s="2884">
        <f t="shared" si="1"/>
        <v>1630</v>
      </c>
      <c r="E68" s="2885">
        <f t="shared" si="2"/>
        <v>67.916666666666671</v>
      </c>
      <c r="F68" s="2158">
        <v>35933.54779411765</v>
      </c>
      <c r="G68" s="2629"/>
      <c r="H68" s="986"/>
      <c r="I68" s="2631"/>
      <c r="J68" s="986"/>
      <c r="L68" s="2892">
        <f t="shared" si="3"/>
        <v>660</v>
      </c>
      <c r="M68" s="2893">
        <f t="shared" si="5"/>
        <v>704</v>
      </c>
    </row>
    <row r="69" spans="1:16" ht="16" hidden="1" outlineLevel="1" collapsed="1" x14ac:dyDescent="0.2">
      <c r="A69" s="2183" t="str">
        <f t="shared" si="10"/>
        <v>Xeon Gold 6146 24 core (2 chip) 3400 MHz 256 GB RAM</v>
      </c>
      <c r="B69" s="2174" t="str">
        <f t="shared" si="11"/>
        <v>Xeon Gold 6146 24 core (2 chip) 3400 MHz</v>
      </c>
      <c r="C69" s="2157">
        <v>256</v>
      </c>
      <c r="D69" s="2884">
        <f t="shared" ref="D69:D142" si="12">VLOOKUP(B69,HWRange,6,FALSE)</f>
        <v>1630</v>
      </c>
      <c r="E69" s="2885">
        <f t="shared" ref="E69:E142" si="13">D69/VLOOKUP(B69,HWRange,3,FALSE)</f>
        <v>67.916666666666671</v>
      </c>
      <c r="F69" s="2158">
        <v>37601.04779411765</v>
      </c>
      <c r="G69" s="2629"/>
      <c r="H69" s="986"/>
      <c r="I69" s="2631"/>
      <c r="J69" s="986"/>
      <c r="L69" s="2892">
        <f t="shared" ref="L69:L78" si="14">+L68+10</f>
        <v>670</v>
      </c>
      <c r="M69" s="2893">
        <f t="shared" ref="M69:M78" si="15">+M68</f>
        <v>704</v>
      </c>
      <c r="N69" s="2630"/>
      <c r="O69" s="2160"/>
      <c r="P69" s="2630"/>
    </row>
    <row r="70" spans="1:16" ht="16" hidden="1" outlineLevel="1" x14ac:dyDescent="0.2">
      <c r="A70" s="2183" t="str">
        <f t="shared" si="10"/>
        <v>Xeon Gold 6146 24 core (2 chip) 3400 MHz 320 GB RAM</v>
      </c>
      <c r="B70" s="2174" t="str">
        <f t="shared" si="11"/>
        <v>Xeon Gold 6146 24 core (2 chip) 3400 MHz</v>
      </c>
      <c r="C70" s="2157">
        <v>320</v>
      </c>
      <c r="D70" s="2884">
        <f t="shared" si="12"/>
        <v>1630</v>
      </c>
      <c r="E70" s="2885">
        <f t="shared" si="13"/>
        <v>67.916666666666671</v>
      </c>
      <c r="F70" s="2158">
        <v>39268.54779411765</v>
      </c>
      <c r="G70" s="2629"/>
      <c r="H70" s="986"/>
      <c r="I70" s="2631"/>
      <c r="J70" s="986"/>
      <c r="L70" s="2892">
        <f t="shared" si="14"/>
        <v>680</v>
      </c>
      <c r="M70" s="2893">
        <f t="shared" si="15"/>
        <v>704</v>
      </c>
    </row>
    <row r="71" spans="1:16" ht="16" hidden="1" outlineLevel="1" x14ac:dyDescent="0.2">
      <c r="A71" s="2183" t="str">
        <f t="shared" si="10"/>
        <v>Xeon Gold 6146 24 core (2 chip) 3400 MHz 384 GB RAM</v>
      </c>
      <c r="B71" s="2174" t="str">
        <f t="shared" si="11"/>
        <v>Xeon Gold 6146 24 core (2 chip) 3400 MHz</v>
      </c>
      <c r="C71" s="2157">
        <v>384</v>
      </c>
      <c r="D71" s="2884">
        <f t="shared" si="12"/>
        <v>1630</v>
      </c>
      <c r="E71" s="2885">
        <f t="shared" si="13"/>
        <v>67.916666666666671</v>
      </c>
      <c r="F71" s="2158">
        <v>40936.04779411765</v>
      </c>
      <c r="G71" s="2629"/>
      <c r="H71" s="986"/>
      <c r="I71" s="2631"/>
      <c r="J71" s="986"/>
      <c r="L71" s="2892">
        <f t="shared" si="14"/>
        <v>690</v>
      </c>
      <c r="M71" s="2893">
        <f t="shared" si="15"/>
        <v>704</v>
      </c>
    </row>
    <row r="72" spans="1:16" ht="16" hidden="1" outlineLevel="1" x14ac:dyDescent="0.2">
      <c r="A72" s="2183" t="str">
        <f t="shared" si="10"/>
        <v>Xeon Gold 6146 24 core (2 chip) 3400 MHz 448 GB RAM</v>
      </c>
      <c r="B72" s="2174" t="str">
        <f t="shared" si="11"/>
        <v>Xeon Gold 6146 24 core (2 chip) 3400 MHz</v>
      </c>
      <c r="C72" s="2157">
        <v>448</v>
      </c>
      <c r="D72" s="2884">
        <f t="shared" si="12"/>
        <v>1630</v>
      </c>
      <c r="E72" s="2885">
        <f t="shared" si="13"/>
        <v>67.916666666666671</v>
      </c>
      <c r="F72" s="2158">
        <v>42603.54779411765</v>
      </c>
      <c r="G72" s="2629"/>
      <c r="H72" s="986"/>
      <c r="I72" s="2631"/>
      <c r="J72" s="986"/>
      <c r="L72" s="2892">
        <f t="shared" si="14"/>
        <v>700</v>
      </c>
      <c r="M72" s="2893">
        <v>768</v>
      </c>
    </row>
    <row r="73" spans="1:16" ht="16" hidden="1" outlineLevel="1" x14ac:dyDescent="0.2">
      <c r="A73" s="2183" t="str">
        <f t="shared" si="10"/>
        <v>Xeon Gold 6146 24 core (2 chip) 3400 MHz 512 GB RAM</v>
      </c>
      <c r="B73" s="2174" t="str">
        <f t="shared" si="11"/>
        <v>Xeon Gold 6146 24 core (2 chip) 3400 MHz</v>
      </c>
      <c r="C73" s="2157">
        <v>512</v>
      </c>
      <c r="D73" s="2884">
        <f t="shared" si="12"/>
        <v>1630</v>
      </c>
      <c r="E73" s="2885">
        <f t="shared" si="13"/>
        <v>67.916666666666671</v>
      </c>
      <c r="F73" s="2158">
        <v>44271.04779411765</v>
      </c>
      <c r="G73" s="2629"/>
      <c r="H73" s="986"/>
      <c r="I73" s="2631"/>
      <c r="J73" s="986"/>
      <c r="L73" s="2892">
        <f t="shared" si="14"/>
        <v>710</v>
      </c>
      <c r="M73" s="2893">
        <v>768</v>
      </c>
    </row>
    <row r="74" spans="1:16" ht="16" hidden="1" outlineLevel="1" x14ac:dyDescent="0.2">
      <c r="A74" s="2183" t="str">
        <f t="shared" si="10"/>
        <v>Xeon Gold 6146 24 core (2 chip) 3400 MHz 576 GB RAM</v>
      </c>
      <c r="B74" s="2174" t="str">
        <f t="shared" si="11"/>
        <v>Xeon Gold 6146 24 core (2 chip) 3400 MHz</v>
      </c>
      <c r="C74" s="2157">
        <v>576</v>
      </c>
      <c r="D74" s="2884">
        <f t="shared" si="12"/>
        <v>1630</v>
      </c>
      <c r="E74" s="2885">
        <f t="shared" si="13"/>
        <v>67.916666666666671</v>
      </c>
      <c r="F74" s="2158">
        <v>45938.54779411765</v>
      </c>
      <c r="G74" s="2629"/>
      <c r="H74" s="986"/>
      <c r="I74" s="2631"/>
      <c r="J74" s="986"/>
      <c r="L74" s="2892">
        <f t="shared" si="14"/>
        <v>720</v>
      </c>
      <c r="M74" s="2893">
        <f t="shared" si="15"/>
        <v>768</v>
      </c>
    </row>
    <row r="75" spans="1:16" ht="16" hidden="1" outlineLevel="1" x14ac:dyDescent="0.2">
      <c r="A75" s="2183" t="str">
        <f t="shared" si="10"/>
        <v>Xeon Gold 6146 24 core (2 chip) 3400 MHz 640 GB RAM</v>
      </c>
      <c r="B75" s="2174" t="str">
        <f t="shared" si="11"/>
        <v>Xeon Gold 6146 24 core (2 chip) 3400 MHz</v>
      </c>
      <c r="C75" s="2157">
        <v>640</v>
      </c>
      <c r="D75" s="2884">
        <f t="shared" si="12"/>
        <v>1630</v>
      </c>
      <c r="E75" s="2885">
        <f t="shared" si="13"/>
        <v>67.916666666666671</v>
      </c>
      <c r="F75" s="2158">
        <v>47606.04779411765</v>
      </c>
      <c r="G75" s="2629"/>
      <c r="I75" s="2631"/>
      <c r="J75" s="2631"/>
      <c r="L75" s="2892">
        <f t="shared" si="14"/>
        <v>730</v>
      </c>
      <c r="M75" s="2893">
        <f t="shared" si="15"/>
        <v>768</v>
      </c>
    </row>
    <row r="76" spans="1:16" ht="16" hidden="1" outlineLevel="1" x14ac:dyDescent="0.2">
      <c r="A76" s="2183" t="str">
        <f>B76&amp;" "&amp;C76&amp;" GB RAM"</f>
        <v>Xeon Gold 6146 24 core (2 chip) 3400 MHz 704 GB RAM</v>
      </c>
      <c r="B76" s="2174" t="str">
        <f>B74</f>
        <v>Xeon Gold 6146 24 core (2 chip) 3400 MHz</v>
      </c>
      <c r="C76" s="2157">
        <v>704</v>
      </c>
      <c r="D76" s="2884">
        <f>VLOOKUP(B76,HWRange,6,FALSE)</f>
        <v>1630</v>
      </c>
      <c r="E76" s="2885">
        <f>D76/VLOOKUP(B76,HWRange,3,FALSE)</f>
        <v>67.916666666666671</v>
      </c>
      <c r="F76" s="2158">
        <v>49273.54779411765</v>
      </c>
      <c r="G76" s="2629"/>
      <c r="I76" s="2631"/>
      <c r="J76" s="2631"/>
      <c r="L76" s="2892">
        <f t="shared" si="14"/>
        <v>740</v>
      </c>
      <c r="M76" s="2893">
        <f t="shared" si="15"/>
        <v>768</v>
      </c>
    </row>
    <row r="77" spans="1:16" ht="16" collapsed="1" x14ac:dyDescent="0.2">
      <c r="A77" s="2183" t="str">
        <f t="shared" si="10"/>
        <v>Xeon Gold 6146 24 core (2 chip) 3400 MHz 768 GB RAM</v>
      </c>
      <c r="B77" s="2174" t="str">
        <f>B76</f>
        <v>Xeon Gold 6146 24 core (2 chip) 3400 MHz</v>
      </c>
      <c r="C77" s="2157">
        <v>768</v>
      </c>
      <c r="D77" s="2884">
        <f t="shared" si="12"/>
        <v>1630</v>
      </c>
      <c r="E77" s="2885">
        <f t="shared" si="13"/>
        <v>67.916666666666671</v>
      </c>
      <c r="F77" s="2158">
        <v>50941.04779411765</v>
      </c>
      <c r="G77" s="2629"/>
      <c r="H77" s="986"/>
      <c r="I77" s="2631"/>
      <c r="J77" s="986"/>
      <c r="L77" s="2892">
        <f t="shared" si="14"/>
        <v>750</v>
      </c>
      <c r="M77" s="2893">
        <f t="shared" si="15"/>
        <v>768</v>
      </c>
    </row>
    <row r="78" spans="1:16" ht="16" hidden="1" outlineLevel="1" collapsed="1" x14ac:dyDescent="0.2">
      <c r="A78" s="2183" t="str">
        <f t="shared" si="10"/>
        <v>Xeon Gold 6132 28 core (2 chip) 2600 MHz 64 GB RAM</v>
      </c>
      <c r="B78" s="2228" t="s">
        <v>1820</v>
      </c>
      <c r="C78" s="2229">
        <v>64</v>
      </c>
      <c r="D78" s="2884">
        <f t="shared" si="12"/>
        <v>1540</v>
      </c>
      <c r="E78" s="2885">
        <f t="shared" si="13"/>
        <v>55</v>
      </c>
      <c r="F78" s="2230">
        <v>29223.198529411766</v>
      </c>
      <c r="G78" s="2629"/>
      <c r="H78" s="986"/>
      <c r="I78" s="2631"/>
      <c r="J78" s="986"/>
      <c r="L78" s="2894">
        <f t="shared" si="14"/>
        <v>760</v>
      </c>
      <c r="M78" s="2895">
        <f t="shared" si="15"/>
        <v>768</v>
      </c>
    </row>
    <row r="79" spans="1:16" ht="16" hidden="1" outlineLevel="1" x14ac:dyDescent="0.2">
      <c r="A79" s="2183" t="str">
        <f>B79&amp;" "&amp;C79&amp;" GB RAM"</f>
        <v>Xeon Gold 6132 28 core (2 chip) 2600 MHz 96 GB RAM</v>
      </c>
      <c r="B79" s="2228" t="str">
        <f>B78</f>
        <v>Xeon Gold 6132 28 core (2 chip) 2600 MHz</v>
      </c>
      <c r="C79" s="2229">
        <v>96</v>
      </c>
      <c r="D79" s="2884">
        <f>VLOOKUP(B79,HWRange,6,FALSE)</f>
        <v>1540</v>
      </c>
      <c r="E79" s="2885">
        <f>D79/VLOOKUP(B79,HWRange,3,FALSE)</f>
        <v>55</v>
      </c>
      <c r="F79" s="2230">
        <v>31724.448529411766</v>
      </c>
      <c r="G79" s="2629"/>
      <c r="H79" s="986"/>
      <c r="I79" s="2631"/>
      <c r="J79" s="986"/>
    </row>
    <row r="80" spans="1:16" ht="16" hidden="1" outlineLevel="1" x14ac:dyDescent="0.2">
      <c r="A80" s="2183" t="str">
        <f t="shared" si="10"/>
        <v>Xeon Gold 6132 28 core (2 chip) 2600 MHz 128 GB RAM</v>
      </c>
      <c r="B80" s="2228" t="str">
        <f>B78</f>
        <v>Xeon Gold 6132 28 core (2 chip) 2600 MHz</v>
      </c>
      <c r="C80" s="2229">
        <v>128</v>
      </c>
      <c r="D80" s="2884">
        <f t="shared" si="12"/>
        <v>1540</v>
      </c>
      <c r="E80" s="2885">
        <f t="shared" si="13"/>
        <v>55</v>
      </c>
      <c r="F80" s="2230">
        <v>32558.198529411766</v>
      </c>
      <c r="G80" s="2629"/>
      <c r="H80" s="986"/>
      <c r="I80" s="2631"/>
      <c r="J80" s="986"/>
    </row>
    <row r="81" spans="1:16" ht="16" hidden="1" outlineLevel="1" collapsed="1" x14ac:dyDescent="0.2">
      <c r="A81" s="2183" t="str">
        <f t="shared" si="10"/>
        <v>Xeon Gold 6132 28 core (2 chip) 2600 MHz 192 GB RAM</v>
      </c>
      <c r="B81" s="2228" t="str">
        <f t="shared" ref="B81:B88" si="16">B80</f>
        <v>Xeon Gold 6132 28 core (2 chip) 2600 MHz</v>
      </c>
      <c r="C81" s="2229">
        <v>192</v>
      </c>
      <c r="D81" s="2884">
        <f t="shared" si="12"/>
        <v>1540</v>
      </c>
      <c r="E81" s="2885">
        <f t="shared" si="13"/>
        <v>55</v>
      </c>
      <c r="F81" s="2230">
        <v>34225.698529411762</v>
      </c>
      <c r="G81" s="2629"/>
      <c r="H81" s="986"/>
      <c r="I81" s="2631"/>
      <c r="J81" s="986"/>
      <c r="N81" s="2630"/>
      <c r="O81" s="2160"/>
      <c r="P81" s="2630"/>
    </row>
    <row r="82" spans="1:16" ht="16" hidden="1" outlineLevel="1" x14ac:dyDescent="0.2">
      <c r="A82" s="2183" t="str">
        <f t="shared" si="10"/>
        <v>Xeon Gold 6132 28 core (2 chip) 2600 MHz 256 GB RAM</v>
      </c>
      <c r="B82" s="2228" t="str">
        <f t="shared" si="16"/>
        <v>Xeon Gold 6132 28 core (2 chip) 2600 MHz</v>
      </c>
      <c r="C82" s="2229">
        <v>256</v>
      </c>
      <c r="D82" s="2884">
        <f t="shared" si="12"/>
        <v>1540</v>
      </c>
      <c r="E82" s="2885">
        <f t="shared" si="13"/>
        <v>55</v>
      </c>
      <c r="F82" s="2230">
        <v>35893.198529411762</v>
      </c>
      <c r="G82" s="2629"/>
      <c r="H82" s="986"/>
      <c r="I82" s="2631"/>
      <c r="J82" s="986"/>
    </row>
    <row r="83" spans="1:16" ht="16" hidden="1" outlineLevel="1" x14ac:dyDescent="0.2">
      <c r="A83" s="2183" t="str">
        <f t="shared" si="10"/>
        <v>Xeon Gold 6132 28 core (2 chip) 2600 MHz 320 GB RAM</v>
      </c>
      <c r="B83" s="2228" t="str">
        <f t="shared" si="16"/>
        <v>Xeon Gold 6132 28 core (2 chip) 2600 MHz</v>
      </c>
      <c r="C83" s="2229">
        <v>320</v>
      </c>
      <c r="D83" s="2884">
        <f t="shared" si="12"/>
        <v>1540</v>
      </c>
      <c r="E83" s="2885">
        <f t="shared" si="13"/>
        <v>55</v>
      </c>
      <c r="F83" s="2230">
        <v>37560.698529411762</v>
      </c>
      <c r="G83" s="2629"/>
      <c r="H83" s="986"/>
      <c r="I83" s="2631"/>
      <c r="J83" s="986"/>
    </row>
    <row r="84" spans="1:16" ht="16" hidden="1" outlineLevel="1" x14ac:dyDescent="0.2">
      <c r="A84" s="2183" t="str">
        <f t="shared" si="10"/>
        <v>Xeon Gold 6132 28 core (2 chip) 2600 MHz 384 GB RAM</v>
      </c>
      <c r="B84" s="2228" t="str">
        <f t="shared" si="16"/>
        <v>Xeon Gold 6132 28 core (2 chip) 2600 MHz</v>
      </c>
      <c r="C84" s="2229">
        <v>384</v>
      </c>
      <c r="D84" s="2884">
        <f t="shared" si="12"/>
        <v>1540</v>
      </c>
      <c r="E84" s="2885">
        <f t="shared" si="13"/>
        <v>55</v>
      </c>
      <c r="F84" s="2230">
        <v>39228.198529411762</v>
      </c>
      <c r="G84" s="2629"/>
      <c r="H84" s="986"/>
      <c r="I84" s="2631"/>
      <c r="J84" s="986"/>
    </row>
    <row r="85" spans="1:16" ht="16" hidden="1" outlineLevel="1" x14ac:dyDescent="0.2">
      <c r="A85" s="2183" t="str">
        <f t="shared" si="10"/>
        <v>Xeon Gold 6132 28 core (2 chip) 2600 MHz 448 GB RAM</v>
      </c>
      <c r="B85" s="2228" t="str">
        <f t="shared" si="16"/>
        <v>Xeon Gold 6132 28 core (2 chip) 2600 MHz</v>
      </c>
      <c r="C85" s="2229">
        <v>448</v>
      </c>
      <c r="D85" s="2884">
        <f t="shared" si="12"/>
        <v>1540</v>
      </c>
      <c r="E85" s="2885">
        <f t="shared" si="13"/>
        <v>55</v>
      </c>
      <c r="F85" s="2230">
        <v>40895.698529411762</v>
      </c>
      <c r="G85" s="2629"/>
      <c r="H85" s="986"/>
      <c r="I85" s="2631"/>
      <c r="J85" s="986"/>
    </row>
    <row r="86" spans="1:16" ht="16" hidden="1" outlineLevel="1" x14ac:dyDescent="0.2">
      <c r="A86" s="2183" t="str">
        <f t="shared" si="10"/>
        <v>Xeon Gold 6132 28 core (2 chip) 2600 MHz 512 GB RAM</v>
      </c>
      <c r="B86" s="2228" t="str">
        <f t="shared" si="16"/>
        <v>Xeon Gold 6132 28 core (2 chip) 2600 MHz</v>
      </c>
      <c r="C86" s="2229">
        <v>512</v>
      </c>
      <c r="D86" s="2884">
        <f t="shared" si="12"/>
        <v>1540</v>
      </c>
      <c r="E86" s="2885">
        <f t="shared" si="13"/>
        <v>55</v>
      </c>
      <c r="F86" s="2230">
        <v>42563.198529411762</v>
      </c>
      <c r="G86" s="2629"/>
      <c r="H86" s="986"/>
      <c r="I86" s="2631"/>
      <c r="J86" s="986"/>
    </row>
    <row r="87" spans="1:16" ht="16" hidden="1" outlineLevel="1" x14ac:dyDescent="0.2">
      <c r="A87" s="2183" t="str">
        <f t="shared" si="10"/>
        <v>Xeon Gold 6132 28 core (2 chip) 2600 MHz 576 GB RAM</v>
      </c>
      <c r="B87" s="2228" t="str">
        <f t="shared" si="16"/>
        <v>Xeon Gold 6132 28 core (2 chip) 2600 MHz</v>
      </c>
      <c r="C87" s="2229">
        <v>576</v>
      </c>
      <c r="D87" s="2884">
        <f t="shared" si="12"/>
        <v>1540</v>
      </c>
      <c r="E87" s="2885">
        <f t="shared" si="13"/>
        <v>55</v>
      </c>
      <c r="F87" s="2230">
        <v>44230.698529411762</v>
      </c>
      <c r="G87" s="2629"/>
      <c r="H87" s="986"/>
      <c r="I87" s="2631"/>
      <c r="J87" s="986"/>
    </row>
    <row r="88" spans="1:16" ht="16" hidden="1" outlineLevel="1" x14ac:dyDescent="0.2">
      <c r="A88" s="2183" t="str">
        <f t="shared" si="10"/>
        <v>Xeon Gold 6132 28 core (2 chip) 2600 MHz 640 GB RAM</v>
      </c>
      <c r="B88" s="2228" t="str">
        <f t="shared" si="16"/>
        <v>Xeon Gold 6132 28 core (2 chip) 2600 MHz</v>
      </c>
      <c r="C88" s="2229">
        <v>640</v>
      </c>
      <c r="D88" s="2884">
        <f t="shared" si="12"/>
        <v>1540</v>
      </c>
      <c r="E88" s="2885">
        <f t="shared" si="13"/>
        <v>55</v>
      </c>
      <c r="F88" s="2230">
        <v>45898.198529411762</v>
      </c>
      <c r="G88" s="2629"/>
      <c r="I88" s="2631"/>
      <c r="J88" s="2631"/>
    </row>
    <row r="89" spans="1:16" ht="16" hidden="1" outlineLevel="1" x14ac:dyDescent="0.2">
      <c r="A89" s="2183" t="str">
        <f>B89&amp;" "&amp;C89&amp;" GB RAM"</f>
        <v>Xeon Gold 6132 28 core (2 chip) 2600 MHz 704 GB RAM</v>
      </c>
      <c r="B89" s="2228" t="str">
        <f>B87</f>
        <v>Xeon Gold 6132 28 core (2 chip) 2600 MHz</v>
      </c>
      <c r="C89" s="2229">
        <v>704</v>
      </c>
      <c r="D89" s="2884">
        <f>VLOOKUP(B89,HWRange,6,FALSE)</f>
        <v>1540</v>
      </c>
      <c r="E89" s="2885">
        <f>D89/VLOOKUP(B89,HWRange,3,FALSE)</f>
        <v>55</v>
      </c>
      <c r="F89" s="2230">
        <v>47565.698529411762</v>
      </c>
      <c r="G89" s="2629"/>
      <c r="I89" s="2631"/>
      <c r="J89" s="2631"/>
    </row>
    <row r="90" spans="1:16" ht="16" collapsed="1" x14ac:dyDescent="0.2">
      <c r="A90" s="2183" t="str">
        <f t="shared" si="10"/>
        <v>Xeon Gold 6132 28 core (2 chip) 2600 MHz 768 GB RAM</v>
      </c>
      <c r="B90" s="2228" t="str">
        <f>B88</f>
        <v>Xeon Gold 6132 28 core (2 chip) 2600 MHz</v>
      </c>
      <c r="C90" s="2229">
        <v>768</v>
      </c>
      <c r="D90" s="2884">
        <f t="shared" si="12"/>
        <v>1540</v>
      </c>
      <c r="E90" s="2885">
        <f t="shared" si="13"/>
        <v>55</v>
      </c>
      <c r="F90" s="2230">
        <v>49233.198529411762</v>
      </c>
      <c r="G90" s="2629"/>
      <c r="H90" s="986"/>
      <c r="I90" s="2631"/>
      <c r="J90" s="986"/>
    </row>
    <row r="91" spans="1:16" ht="16" hidden="1" outlineLevel="1" collapsed="1" x14ac:dyDescent="0.2">
      <c r="A91" s="2183" t="str">
        <f t="shared" si="10"/>
        <v>Xeon Gold 6142 32 core (2 chip) 2600 MHz 64 GB RAM</v>
      </c>
      <c r="B91" s="2174" t="s">
        <v>1821</v>
      </c>
      <c r="C91" s="2157">
        <v>64</v>
      </c>
      <c r="D91" s="2884">
        <f t="shared" si="12"/>
        <v>1690</v>
      </c>
      <c r="E91" s="2885">
        <f t="shared" si="13"/>
        <v>52.8125</v>
      </c>
      <c r="F91" s="2158">
        <v>32069.613970588234</v>
      </c>
      <c r="G91" s="2629"/>
      <c r="H91" s="986"/>
      <c r="I91" s="2631"/>
      <c r="J91" s="986"/>
    </row>
    <row r="92" spans="1:16" ht="16" hidden="1" outlineLevel="1" x14ac:dyDescent="0.2">
      <c r="A92" s="2183" t="str">
        <f t="shared" si="10"/>
        <v>Xeon Gold 6142 32 core (2 chip) 2600 MHz 96 GB RAM</v>
      </c>
      <c r="B92" s="2174" t="str">
        <f>B91</f>
        <v>Xeon Gold 6142 32 core (2 chip) 2600 MHz</v>
      </c>
      <c r="C92" s="2157">
        <v>96</v>
      </c>
      <c r="D92" s="2884">
        <f t="shared" si="12"/>
        <v>1690</v>
      </c>
      <c r="E92" s="2885">
        <f t="shared" si="13"/>
        <v>52.8125</v>
      </c>
      <c r="F92" s="2158">
        <v>34570.863970588238</v>
      </c>
      <c r="G92" s="2629"/>
      <c r="H92" s="986"/>
      <c r="I92" s="2631"/>
      <c r="J92" s="986"/>
    </row>
    <row r="93" spans="1:16" ht="16" hidden="1" outlineLevel="1" x14ac:dyDescent="0.2">
      <c r="A93" s="2183" t="str">
        <f t="shared" si="10"/>
        <v>Xeon Gold 6142 32 core (2 chip) 2600 MHz 128 GB RAM</v>
      </c>
      <c r="B93" s="2174" t="str">
        <f>B91</f>
        <v>Xeon Gold 6142 32 core (2 chip) 2600 MHz</v>
      </c>
      <c r="C93" s="2157">
        <v>128</v>
      </c>
      <c r="D93" s="2884">
        <f t="shared" si="12"/>
        <v>1690</v>
      </c>
      <c r="E93" s="2885">
        <f t="shared" si="13"/>
        <v>52.8125</v>
      </c>
      <c r="F93" s="2158">
        <v>35404.613970588238</v>
      </c>
      <c r="G93" s="2629"/>
      <c r="H93" s="986"/>
      <c r="I93" s="2631"/>
      <c r="J93" s="986"/>
    </row>
    <row r="94" spans="1:16" ht="16" hidden="1" outlineLevel="1" collapsed="1" x14ac:dyDescent="0.2">
      <c r="A94" s="2183" t="str">
        <f t="shared" si="10"/>
        <v>Xeon Gold 6142 32 core (2 chip) 2600 MHz 192 GB RAM</v>
      </c>
      <c r="B94" s="2174" t="str">
        <f t="shared" ref="B94:B101" si="17">B93</f>
        <v>Xeon Gold 6142 32 core (2 chip) 2600 MHz</v>
      </c>
      <c r="C94" s="2157">
        <v>192</v>
      </c>
      <c r="D94" s="2884">
        <f t="shared" si="12"/>
        <v>1690</v>
      </c>
      <c r="E94" s="2885">
        <f t="shared" si="13"/>
        <v>52.8125</v>
      </c>
      <c r="F94" s="2158">
        <v>37072.113970588238</v>
      </c>
      <c r="G94" s="2629"/>
      <c r="H94" s="986"/>
      <c r="I94" s="2631"/>
      <c r="J94" s="986"/>
      <c r="N94" s="2630"/>
      <c r="O94" s="2160"/>
      <c r="P94" s="2630"/>
    </row>
    <row r="95" spans="1:16" ht="16" hidden="1" outlineLevel="1" x14ac:dyDescent="0.2">
      <c r="A95" s="2183" t="str">
        <f t="shared" si="10"/>
        <v>Xeon Gold 6142 32 core (2 chip) 2600 MHz 256 GB RAM</v>
      </c>
      <c r="B95" s="2174" t="str">
        <f t="shared" si="17"/>
        <v>Xeon Gold 6142 32 core (2 chip) 2600 MHz</v>
      </c>
      <c r="C95" s="2157">
        <v>256</v>
      </c>
      <c r="D95" s="2884">
        <f t="shared" si="12"/>
        <v>1690</v>
      </c>
      <c r="E95" s="2885">
        <f t="shared" si="13"/>
        <v>52.8125</v>
      </c>
      <c r="F95" s="2158">
        <v>38739.613970588238</v>
      </c>
      <c r="G95" s="2629"/>
      <c r="H95" s="986"/>
      <c r="I95" s="2631"/>
      <c r="J95" s="986"/>
    </row>
    <row r="96" spans="1:16" ht="16" hidden="1" outlineLevel="1" x14ac:dyDescent="0.2">
      <c r="A96" s="2183" t="str">
        <f t="shared" si="10"/>
        <v>Xeon Gold 6142 32 core (2 chip) 2600 MHz 320 GB RAM</v>
      </c>
      <c r="B96" s="2174" t="str">
        <f t="shared" si="17"/>
        <v>Xeon Gold 6142 32 core (2 chip) 2600 MHz</v>
      </c>
      <c r="C96" s="2157">
        <v>320</v>
      </c>
      <c r="D96" s="2884">
        <f t="shared" si="12"/>
        <v>1690</v>
      </c>
      <c r="E96" s="2885">
        <f t="shared" si="13"/>
        <v>52.8125</v>
      </c>
      <c r="F96" s="2158">
        <v>40407.113970588238</v>
      </c>
      <c r="G96" s="2629"/>
      <c r="H96" s="986"/>
      <c r="I96" s="2631"/>
      <c r="J96" s="986"/>
    </row>
    <row r="97" spans="1:16" ht="16" hidden="1" outlineLevel="1" x14ac:dyDescent="0.2">
      <c r="A97" s="2183" t="str">
        <f t="shared" si="10"/>
        <v>Xeon Gold 6142 32 core (2 chip) 2600 MHz 384 GB RAM</v>
      </c>
      <c r="B97" s="2174" t="str">
        <f t="shared" si="17"/>
        <v>Xeon Gold 6142 32 core (2 chip) 2600 MHz</v>
      </c>
      <c r="C97" s="2157">
        <v>384</v>
      </c>
      <c r="D97" s="2884">
        <f t="shared" si="12"/>
        <v>1690</v>
      </c>
      <c r="E97" s="2885">
        <f t="shared" si="13"/>
        <v>52.8125</v>
      </c>
      <c r="F97" s="2158">
        <v>42074.613970588238</v>
      </c>
      <c r="G97" s="2629"/>
      <c r="H97" s="986"/>
      <c r="I97" s="2631"/>
      <c r="J97" s="986"/>
    </row>
    <row r="98" spans="1:16" ht="16" hidden="1" outlineLevel="1" x14ac:dyDescent="0.2">
      <c r="A98" s="2183" t="str">
        <f t="shared" si="10"/>
        <v>Xeon Gold 6142 32 core (2 chip) 2600 MHz 448 GB RAM</v>
      </c>
      <c r="B98" s="2174" t="str">
        <f t="shared" si="17"/>
        <v>Xeon Gold 6142 32 core (2 chip) 2600 MHz</v>
      </c>
      <c r="C98" s="2157">
        <v>448</v>
      </c>
      <c r="D98" s="2884">
        <f t="shared" si="12"/>
        <v>1690</v>
      </c>
      <c r="E98" s="2885">
        <f t="shared" si="13"/>
        <v>52.8125</v>
      </c>
      <c r="F98" s="2158">
        <v>43742.113970588238</v>
      </c>
      <c r="G98" s="2629"/>
      <c r="H98" s="986"/>
      <c r="I98" s="2631"/>
      <c r="J98" s="986"/>
    </row>
    <row r="99" spans="1:16" ht="16" hidden="1" outlineLevel="1" x14ac:dyDescent="0.2">
      <c r="A99" s="2183" t="str">
        <f t="shared" si="10"/>
        <v>Xeon Gold 6142 32 core (2 chip) 2600 MHz 512 GB RAM</v>
      </c>
      <c r="B99" s="2174" t="str">
        <f t="shared" si="17"/>
        <v>Xeon Gold 6142 32 core (2 chip) 2600 MHz</v>
      </c>
      <c r="C99" s="2157">
        <v>512</v>
      </c>
      <c r="D99" s="2884">
        <f t="shared" si="12"/>
        <v>1690</v>
      </c>
      <c r="E99" s="2885">
        <f t="shared" si="13"/>
        <v>52.8125</v>
      </c>
      <c r="F99" s="2158">
        <v>45409.613970588238</v>
      </c>
      <c r="G99" s="2629"/>
      <c r="H99" s="986"/>
      <c r="I99" s="2631"/>
      <c r="J99" s="986"/>
    </row>
    <row r="100" spans="1:16" ht="16" hidden="1" outlineLevel="1" x14ac:dyDescent="0.2">
      <c r="A100" s="2183" t="str">
        <f t="shared" si="10"/>
        <v>Xeon Gold 6142 32 core (2 chip) 2600 MHz 576 GB RAM</v>
      </c>
      <c r="B100" s="2174" t="str">
        <f t="shared" si="17"/>
        <v>Xeon Gold 6142 32 core (2 chip) 2600 MHz</v>
      </c>
      <c r="C100" s="2157">
        <v>576</v>
      </c>
      <c r="D100" s="2884">
        <f t="shared" si="12"/>
        <v>1690</v>
      </c>
      <c r="E100" s="2885">
        <f t="shared" si="13"/>
        <v>52.8125</v>
      </c>
      <c r="F100" s="2158">
        <v>47077.113970588238</v>
      </c>
      <c r="G100" s="2629"/>
      <c r="H100" s="986"/>
      <c r="I100" s="2631"/>
      <c r="J100" s="986"/>
    </row>
    <row r="101" spans="1:16" ht="16" hidden="1" outlineLevel="1" x14ac:dyDescent="0.2">
      <c r="A101" s="2183" t="str">
        <f t="shared" si="10"/>
        <v>Xeon Gold 6142 32 core (2 chip) 2600 MHz 640 GB RAM</v>
      </c>
      <c r="B101" s="2174" t="str">
        <f t="shared" si="17"/>
        <v>Xeon Gold 6142 32 core (2 chip) 2600 MHz</v>
      </c>
      <c r="C101" s="2157">
        <v>640</v>
      </c>
      <c r="D101" s="2884">
        <f t="shared" si="12"/>
        <v>1690</v>
      </c>
      <c r="E101" s="2885">
        <f t="shared" si="13"/>
        <v>52.8125</v>
      </c>
      <c r="F101" s="2158">
        <v>48744.613970588238</v>
      </c>
      <c r="G101" s="2629"/>
      <c r="I101" s="2631"/>
      <c r="J101" s="2631"/>
    </row>
    <row r="102" spans="1:16" ht="16" hidden="1" outlineLevel="1" x14ac:dyDescent="0.2">
      <c r="A102" s="2183" t="str">
        <f>B102&amp;" "&amp;C102&amp;" GB RAM"</f>
        <v>Xeon Gold 6142 32 core (2 chip) 2600 MHz 704 GB RAM</v>
      </c>
      <c r="B102" s="2174" t="str">
        <f>B100</f>
        <v>Xeon Gold 6142 32 core (2 chip) 2600 MHz</v>
      </c>
      <c r="C102" s="2157">
        <v>704</v>
      </c>
      <c r="D102" s="2884">
        <f>VLOOKUP(B102,HWRange,6,FALSE)</f>
        <v>1690</v>
      </c>
      <c r="E102" s="2885">
        <f>D102/VLOOKUP(B102,HWRange,3,FALSE)</f>
        <v>52.8125</v>
      </c>
      <c r="F102" s="2158">
        <v>50412.113970588238</v>
      </c>
      <c r="G102" s="2629"/>
      <c r="I102" s="2631"/>
      <c r="J102" s="2631"/>
    </row>
    <row r="103" spans="1:16" ht="16" collapsed="1" x14ac:dyDescent="0.2">
      <c r="A103" s="2183" t="str">
        <f t="shared" si="10"/>
        <v>Xeon Gold 6142 32 core (2 chip) 2600 MHz 768 GB RAM</v>
      </c>
      <c r="B103" s="2174" t="str">
        <f>B101</f>
        <v>Xeon Gold 6142 32 core (2 chip) 2600 MHz</v>
      </c>
      <c r="C103" s="2157">
        <v>768</v>
      </c>
      <c r="D103" s="2884">
        <f t="shared" si="12"/>
        <v>1690</v>
      </c>
      <c r="E103" s="2885">
        <f t="shared" si="13"/>
        <v>52.8125</v>
      </c>
      <c r="F103" s="2158">
        <v>52079.613970588238</v>
      </c>
      <c r="G103" s="2629"/>
      <c r="H103" s="986"/>
      <c r="I103" s="2631"/>
      <c r="J103" s="986"/>
    </row>
    <row r="104" spans="1:16" ht="16" hidden="1" outlineLevel="1" collapsed="1" x14ac:dyDescent="0.2">
      <c r="A104" s="2183" t="str">
        <f t="shared" si="10"/>
        <v>Xeon Gold 6154 36 core (2 chip) 3000 MHz 64 GB RAM</v>
      </c>
      <c r="B104" s="2228" t="s">
        <v>1822</v>
      </c>
      <c r="C104" s="2229">
        <v>64</v>
      </c>
      <c r="D104" s="2884">
        <f t="shared" si="12"/>
        <v>2100</v>
      </c>
      <c r="E104" s="2885">
        <f t="shared" si="13"/>
        <v>58.333333333333336</v>
      </c>
      <c r="F104" s="2230">
        <v>39849.816176470587</v>
      </c>
      <c r="G104" s="2629"/>
      <c r="H104" s="986"/>
      <c r="I104" s="2631"/>
      <c r="J104" s="986"/>
    </row>
    <row r="105" spans="1:16" ht="16" hidden="1" outlineLevel="1" x14ac:dyDescent="0.2">
      <c r="A105" s="2183" t="str">
        <f t="shared" si="10"/>
        <v>Xeon Gold 6154 36 core (2 chip) 3000 MHz 96 GB RAM</v>
      </c>
      <c r="B105" s="2228" t="str">
        <f>B104</f>
        <v>Xeon Gold 6154 36 core (2 chip) 3000 MHz</v>
      </c>
      <c r="C105" s="2229">
        <v>96</v>
      </c>
      <c r="D105" s="2884">
        <f t="shared" si="12"/>
        <v>2100</v>
      </c>
      <c r="E105" s="2885">
        <f t="shared" si="13"/>
        <v>58.333333333333336</v>
      </c>
      <c r="F105" s="2230">
        <v>42351.066176470587</v>
      </c>
      <c r="G105" s="2629"/>
      <c r="H105" s="986"/>
      <c r="I105" s="2631"/>
      <c r="J105" s="986"/>
    </row>
    <row r="106" spans="1:16" ht="16" hidden="1" outlineLevel="1" x14ac:dyDescent="0.2">
      <c r="A106" s="2183" t="str">
        <f t="shared" si="10"/>
        <v>Xeon Gold 6154 36 core (2 chip) 3000 MHz 128 GB RAM</v>
      </c>
      <c r="B106" s="2228" t="str">
        <f>B104</f>
        <v>Xeon Gold 6154 36 core (2 chip) 3000 MHz</v>
      </c>
      <c r="C106" s="2229">
        <v>128</v>
      </c>
      <c r="D106" s="2884">
        <f t="shared" si="12"/>
        <v>2100</v>
      </c>
      <c r="E106" s="2885">
        <f t="shared" si="13"/>
        <v>58.333333333333336</v>
      </c>
      <c r="F106" s="2230">
        <v>43184.816176470587</v>
      </c>
      <c r="G106" s="2629"/>
      <c r="H106" s="986"/>
      <c r="I106" s="2631"/>
      <c r="J106" s="986"/>
    </row>
    <row r="107" spans="1:16" ht="16" hidden="1" outlineLevel="1" collapsed="1" x14ac:dyDescent="0.2">
      <c r="A107" s="2183" t="str">
        <f t="shared" si="10"/>
        <v>Xeon Gold 6154 36 core (2 chip) 3000 MHz 192 GB RAM</v>
      </c>
      <c r="B107" s="2228" t="str">
        <f t="shared" ref="B107:B114" si="18">B106</f>
        <v>Xeon Gold 6154 36 core (2 chip) 3000 MHz</v>
      </c>
      <c r="C107" s="2229">
        <v>192</v>
      </c>
      <c r="D107" s="2884">
        <f t="shared" si="12"/>
        <v>2100</v>
      </c>
      <c r="E107" s="2885">
        <f t="shared" si="13"/>
        <v>58.333333333333336</v>
      </c>
      <c r="F107" s="2230">
        <v>44852.316176470587</v>
      </c>
      <c r="G107" s="2629"/>
      <c r="H107" s="986"/>
      <c r="I107" s="2631"/>
      <c r="J107" s="986"/>
      <c r="N107" s="2630"/>
      <c r="O107" s="2160"/>
      <c r="P107" s="2630"/>
    </row>
    <row r="108" spans="1:16" ht="16" hidden="1" outlineLevel="1" x14ac:dyDescent="0.2">
      <c r="A108" s="2183" t="str">
        <f t="shared" si="10"/>
        <v>Xeon Gold 6154 36 core (2 chip) 3000 MHz 256 GB RAM</v>
      </c>
      <c r="B108" s="2228" t="str">
        <f t="shared" si="18"/>
        <v>Xeon Gold 6154 36 core (2 chip) 3000 MHz</v>
      </c>
      <c r="C108" s="2229">
        <v>256</v>
      </c>
      <c r="D108" s="2884">
        <f t="shared" si="12"/>
        <v>2100</v>
      </c>
      <c r="E108" s="2885">
        <f t="shared" si="13"/>
        <v>58.333333333333336</v>
      </c>
      <c r="F108" s="2230">
        <v>46519.816176470587</v>
      </c>
      <c r="G108" s="2629"/>
      <c r="H108" s="986"/>
      <c r="I108" s="2631"/>
      <c r="J108" s="986"/>
    </row>
    <row r="109" spans="1:16" ht="16" hidden="1" outlineLevel="1" x14ac:dyDescent="0.2">
      <c r="A109" s="2183" t="str">
        <f t="shared" si="10"/>
        <v>Xeon Gold 6154 36 core (2 chip) 3000 MHz 320 GB RAM</v>
      </c>
      <c r="B109" s="2228" t="str">
        <f t="shared" si="18"/>
        <v>Xeon Gold 6154 36 core (2 chip) 3000 MHz</v>
      </c>
      <c r="C109" s="2229">
        <v>320</v>
      </c>
      <c r="D109" s="2884">
        <f t="shared" si="12"/>
        <v>2100</v>
      </c>
      <c r="E109" s="2885">
        <f t="shared" si="13"/>
        <v>58.333333333333336</v>
      </c>
      <c r="F109" s="2230">
        <v>48187.316176470587</v>
      </c>
      <c r="G109" s="2629"/>
      <c r="H109" s="986"/>
      <c r="I109" s="2631"/>
      <c r="J109" s="986"/>
    </row>
    <row r="110" spans="1:16" ht="16" hidden="1" outlineLevel="1" x14ac:dyDescent="0.2">
      <c r="A110" s="2183" t="str">
        <f t="shared" si="10"/>
        <v>Xeon Gold 6154 36 core (2 chip) 3000 MHz 384 GB RAM</v>
      </c>
      <c r="B110" s="2228" t="str">
        <f t="shared" si="18"/>
        <v>Xeon Gold 6154 36 core (2 chip) 3000 MHz</v>
      </c>
      <c r="C110" s="2229">
        <v>384</v>
      </c>
      <c r="D110" s="2884">
        <f t="shared" si="12"/>
        <v>2100</v>
      </c>
      <c r="E110" s="2885">
        <f t="shared" si="13"/>
        <v>58.333333333333336</v>
      </c>
      <c r="F110" s="2230">
        <v>49854.816176470587</v>
      </c>
      <c r="G110" s="2629"/>
      <c r="H110" s="986"/>
      <c r="I110" s="2631"/>
      <c r="J110" s="986"/>
    </row>
    <row r="111" spans="1:16" ht="16" hidden="1" outlineLevel="1" x14ac:dyDescent="0.2">
      <c r="A111" s="2183" t="str">
        <f t="shared" si="10"/>
        <v>Xeon Gold 6154 36 core (2 chip) 3000 MHz 448 GB RAM</v>
      </c>
      <c r="B111" s="2228" t="str">
        <f t="shared" si="18"/>
        <v>Xeon Gold 6154 36 core (2 chip) 3000 MHz</v>
      </c>
      <c r="C111" s="2229">
        <v>448</v>
      </c>
      <c r="D111" s="2884">
        <f t="shared" si="12"/>
        <v>2100</v>
      </c>
      <c r="E111" s="2885">
        <f t="shared" si="13"/>
        <v>58.333333333333336</v>
      </c>
      <c r="F111" s="2230">
        <v>51522.316176470587</v>
      </c>
      <c r="G111" s="2629"/>
      <c r="H111" s="986"/>
      <c r="I111" s="2631"/>
      <c r="J111" s="986"/>
    </row>
    <row r="112" spans="1:16" ht="16" hidden="1" outlineLevel="1" x14ac:dyDescent="0.2">
      <c r="A112" s="2183" t="str">
        <f t="shared" si="10"/>
        <v>Xeon Gold 6154 36 core (2 chip) 3000 MHz 512 GB RAM</v>
      </c>
      <c r="B112" s="2228" t="str">
        <f t="shared" si="18"/>
        <v>Xeon Gold 6154 36 core (2 chip) 3000 MHz</v>
      </c>
      <c r="C112" s="2229">
        <v>512</v>
      </c>
      <c r="D112" s="2884">
        <f t="shared" si="12"/>
        <v>2100</v>
      </c>
      <c r="E112" s="2885">
        <f t="shared" si="13"/>
        <v>58.333333333333336</v>
      </c>
      <c r="F112" s="2230">
        <v>53189.816176470587</v>
      </c>
      <c r="G112" s="2629"/>
      <c r="H112" s="986"/>
      <c r="I112" s="2631"/>
      <c r="J112" s="986"/>
    </row>
    <row r="113" spans="1:10" ht="16" hidden="1" outlineLevel="1" x14ac:dyDescent="0.2">
      <c r="A113" s="2183" t="str">
        <f t="shared" si="10"/>
        <v>Xeon Gold 6154 36 core (2 chip) 3000 MHz 576 GB RAM</v>
      </c>
      <c r="B113" s="2228" t="str">
        <f t="shared" si="18"/>
        <v>Xeon Gold 6154 36 core (2 chip) 3000 MHz</v>
      </c>
      <c r="C113" s="2229">
        <v>576</v>
      </c>
      <c r="D113" s="2884">
        <f t="shared" si="12"/>
        <v>2100</v>
      </c>
      <c r="E113" s="2885">
        <f t="shared" si="13"/>
        <v>58.333333333333336</v>
      </c>
      <c r="F113" s="2230">
        <v>54857.316176470587</v>
      </c>
      <c r="G113" s="2629"/>
      <c r="H113" s="986"/>
      <c r="I113" s="2631"/>
      <c r="J113" s="986"/>
    </row>
    <row r="114" spans="1:10" ht="16" hidden="1" outlineLevel="1" x14ac:dyDescent="0.2">
      <c r="A114" s="2183" t="str">
        <f t="shared" si="10"/>
        <v>Xeon Gold 6154 36 core (2 chip) 3000 MHz 640 GB RAM</v>
      </c>
      <c r="B114" s="2228" t="str">
        <f t="shared" si="18"/>
        <v>Xeon Gold 6154 36 core (2 chip) 3000 MHz</v>
      </c>
      <c r="C114" s="2229">
        <v>640</v>
      </c>
      <c r="D114" s="2884">
        <f t="shared" si="12"/>
        <v>2100</v>
      </c>
      <c r="E114" s="2885">
        <f t="shared" si="13"/>
        <v>58.333333333333336</v>
      </c>
      <c r="F114" s="2230">
        <v>56524.816176470587</v>
      </c>
      <c r="G114" s="2629"/>
      <c r="I114" s="2631"/>
      <c r="J114" s="2631"/>
    </row>
    <row r="115" spans="1:10" ht="16" hidden="1" outlineLevel="1" x14ac:dyDescent="0.2">
      <c r="A115" s="2183" t="str">
        <f>B115&amp;" "&amp;C115&amp;" GB RAM"</f>
        <v>Xeon Gold 6154 36 core (2 chip) 3000 MHz 704 GB RAM</v>
      </c>
      <c r="B115" s="2228" t="str">
        <f>B113</f>
        <v>Xeon Gold 6154 36 core (2 chip) 3000 MHz</v>
      </c>
      <c r="C115" s="2229">
        <v>704</v>
      </c>
      <c r="D115" s="2884">
        <f>VLOOKUP(B115,HWRange,6,FALSE)</f>
        <v>2100</v>
      </c>
      <c r="E115" s="2885">
        <f>D115/VLOOKUP(B115,HWRange,3,FALSE)</f>
        <v>58.333333333333336</v>
      </c>
      <c r="F115" s="2230">
        <v>58192.316176470587</v>
      </c>
      <c r="G115" s="2629"/>
      <c r="I115" s="2631"/>
      <c r="J115" s="2631"/>
    </row>
    <row r="116" spans="1:10" ht="16" collapsed="1" x14ac:dyDescent="0.2">
      <c r="A116" s="2183" t="str">
        <f t="shared" si="10"/>
        <v>Xeon Gold 6154 36 core (2 chip) 3000 MHz 768 GB RAM</v>
      </c>
      <c r="B116" s="2228" t="str">
        <f>B114</f>
        <v>Xeon Gold 6154 36 core (2 chip) 3000 MHz</v>
      </c>
      <c r="C116" s="2229">
        <v>768</v>
      </c>
      <c r="D116" s="2884">
        <f t="shared" si="12"/>
        <v>2100</v>
      </c>
      <c r="E116" s="2885">
        <f t="shared" si="13"/>
        <v>58.333333333333336</v>
      </c>
      <c r="F116" s="2230">
        <v>59859.816176470587</v>
      </c>
      <c r="G116" s="2629"/>
      <c r="H116" s="986"/>
      <c r="I116" s="2631"/>
      <c r="J116" s="986"/>
    </row>
    <row r="117" spans="1:10" ht="16" hidden="1" outlineLevel="1" collapsed="1" x14ac:dyDescent="0.2">
      <c r="A117" s="2183" t="str">
        <f t="shared" si="10"/>
        <v>Xeon Gold 6148 40 core (2 chip) 2400 MHz 64 GB RAM</v>
      </c>
      <c r="B117" s="2174" t="s">
        <v>1823</v>
      </c>
      <c r="C117" s="2157">
        <v>64</v>
      </c>
      <c r="D117" s="2884">
        <f t="shared" si="12"/>
        <v>1980</v>
      </c>
      <c r="E117" s="2885">
        <f t="shared" si="13"/>
        <v>49.5</v>
      </c>
      <c r="F117" s="2158">
        <v>37572.683823529413</v>
      </c>
      <c r="G117" s="2629"/>
      <c r="H117" s="986"/>
      <c r="I117" s="2631"/>
      <c r="J117" s="986"/>
    </row>
    <row r="118" spans="1:10" ht="16" hidden="1" outlineLevel="1" x14ac:dyDescent="0.2">
      <c r="A118" s="2183" t="str">
        <f t="shared" si="10"/>
        <v>Xeon Gold 6148 40 core (2 chip) 2400 MHz 96 GB RAM</v>
      </c>
      <c r="B118" s="2174" t="str">
        <f>B117</f>
        <v>Xeon Gold 6148 40 core (2 chip) 2400 MHz</v>
      </c>
      <c r="C118" s="2157">
        <v>96</v>
      </c>
      <c r="D118" s="2884">
        <f t="shared" si="12"/>
        <v>1980</v>
      </c>
      <c r="E118" s="2885">
        <f t="shared" si="13"/>
        <v>49.5</v>
      </c>
      <c r="F118" s="2158">
        <v>40073.933823529413</v>
      </c>
      <c r="G118" s="2629"/>
      <c r="H118" s="986"/>
      <c r="I118" s="2631"/>
      <c r="J118" s="986"/>
    </row>
    <row r="119" spans="1:10" ht="16" hidden="1" outlineLevel="1" x14ac:dyDescent="0.2">
      <c r="A119" s="2183" t="str">
        <f t="shared" si="10"/>
        <v>Xeon Gold 6148 40 core (2 chip) 2400 MHz 128 GB RAM</v>
      </c>
      <c r="B119" s="2174" t="str">
        <f t="shared" ref="B119:B128" si="19">B118</f>
        <v>Xeon Gold 6148 40 core (2 chip) 2400 MHz</v>
      </c>
      <c r="C119" s="2157">
        <v>128</v>
      </c>
      <c r="D119" s="2884">
        <f t="shared" si="12"/>
        <v>1980</v>
      </c>
      <c r="E119" s="2885">
        <f t="shared" si="13"/>
        <v>49.5</v>
      </c>
      <c r="F119" s="2158">
        <v>40907.683823529413</v>
      </c>
      <c r="G119" s="2629"/>
      <c r="I119" s="2631"/>
      <c r="J119" s="986"/>
    </row>
    <row r="120" spans="1:10" ht="16" hidden="1" outlineLevel="1" collapsed="1" x14ac:dyDescent="0.2">
      <c r="A120" s="2183" t="str">
        <f t="shared" si="10"/>
        <v>Xeon Gold 6148 40 core (2 chip) 2400 MHz 192 GB RAM</v>
      </c>
      <c r="B120" s="2174" t="str">
        <f t="shared" si="19"/>
        <v>Xeon Gold 6148 40 core (2 chip) 2400 MHz</v>
      </c>
      <c r="C120" s="2157">
        <v>192</v>
      </c>
      <c r="D120" s="2884">
        <f t="shared" si="12"/>
        <v>1980</v>
      </c>
      <c r="E120" s="2885">
        <f t="shared" si="13"/>
        <v>49.5</v>
      </c>
      <c r="F120" s="2158">
        <v>42575.183823529413</v>
      </c>
      <c r="G120" s="2629"/>
    </row>
    <row r="121" spans="1:10" ht="16" hidden="1" outlineLevel="1" x14ac:dyDescent="0.2">
      <c r="A121" s="2183" t="str">
        <f t="shared" si="10"/>
        <v>Xeon Gold 6148 40 core (2 chip) 2400 MHz 256 GB RAM</v>
      </c>
      <c r="B121" s="2174" t="str">
        <f t="shared" si="19"/>
        <v>Xeon Gold 6148 40 core (2 chip) 2400 MHz</v>
      </c>
      <c r="C121" s="2157">
        <v>256</v>
      </c>
      <c r="D121" s="2884">
        <f t="shared" si="12"/>
        <v>1980</v>
      </c>
      <c r="E121" s="2885">
        <f t="shared" si="13"/>
        <v>49.5</v>
      </c>
      <c r="F121" s="2158">
        <v>44242.683823529413</v>
      </c>
      <c r="G121" s="2629"/>
    </row>
    <row r="122" spans="1:10" ht="16" hidden="1" outlineLevel="1" x14ac:dyDescent="0.2">
      <c r="A122" s="2183" t="str">
        <f t="shared" si="10"/>
        <v>Xeon Gold 6148 40 core (2 chip) 2400 MHz 320 GB RAM</v>
      </c>
      <c r="B122" s="2174" t="str">
        <f t="shared" si="19"/>
        <v>Xeon Gold 6148 40 core (2 chip) 2400 MHz</v>
      </c>
      <c r="C122" s="2157">
        <v>320</v>
      </c>
      <c r="D122" s="2884">
        <f t="shared" si="12"/>
        <v>1980</v>
      </c>
      <c r="E122" s="2885">
        <f t="shared" si="13"/>
        <v>49.5</v>
      </c>
      <c r="F122" s="2158">
        <v>45910.183823529413</v>
      </c>
      <c r="G122" s="2629"/>
    </row>
    <row r="123" spans="1:10" ht="16" hidden="1" outlineLevel="1" x14ac:dyDescent="0.2">
      <c r="A123" s="2183" t="str">
        <f t="shared" si="10"/>
        <v>Xeon Gold 6148 40 core (2 chip) 2400 MHz 384 GB RAM</v>
      </c>
      <c r="B123" s="2174" t="str">
        <f t="shared" si="19"/>
        <v>Xeon Gold 6148 40 core (2 chip) 2400 MHz</v>
      </c>
      <c r="C123" s="2157">
        <v>384</v>
      </c>
      <c r="D123" s="2884">
        <f t="shared" si="12"/>
        <v>1980</v>
      </c>
      <c r="E123" s="2885">
        <f t="shared" si="13"/>
        <v>49.5</v>
      </c>
      <c r="F123" s="2158">
        <v>47577.683823529413</v>
      </c>
      <c r="G123" s="2629"/>
    </row>
    <row r="124" spans="1:10" ht="16" hidden="1" outlineLevel="1" x14ac:dyDescent="0.2">
      <c r="A124" s="2183" t="str">
        <f t="shared" si="10"/>
        <v>Xeon Gold 6148 40 core (2 chip) 2400 MHz 448 GB RAM</v>
      </c>
      <c r="B124" s="2174" t="str">
        <f t="shared" si="19"/>
        <v>Xeon Gold 6148 40 core (2 chip) 2400 MHz</v>
      </c>
      <c r="C124" s="2157">
        <v>448</v>
      </c>
      <c r="D124" s="2884">
        <f t="shared" si="12"/>
        <v>1980</v>
      </c>
      <c r="E124" s="2885">
        <f t="shared" si="13"/>
        <v>49.5</v>
      </c>
      <c r="F124" s="2158">
        <v>49245.183823529413</v>
      </c>
      <c r="G124" s="2629"/>
    </row>
    <row r="125" spans="1:10" ht="16" hidden="1" outlineLevel="1" x14ac:dyDescent="0.2">
      <c r="A125" s="2183" t="str">
        <f t="shared" si="10"/>
        <v>Xeon Gold 6148 40 core (2 chip) 2400 MHz 512 GB RAM</v>
      </c>
      <c r="B125" s="2174" t="str">
        <f t="shared" si="19"/>
        <v>Xeon Gold 6148 40 core (2 chip) 2400 MHz</v>
      </c>
      <c r="C125" s="2157">
        <v>512</v>
      </c>
      <c r="D125" s="2884">
        <f t="shared" si="12"/>
        <v>1980</v>
      </c>
      <c r="E125" s="2885">
        <f t="shared" si="13"/>
        <v>49.5</v>
      </c>
      <c r="F125" s="2158">
        <v>50912.683823529413</v>
      </c>
      <c r="G125" s="2629"/>
    </row>
    <row r="126" spans="1:10" ht="16" hidden="1" outlineLevel="1" x14ac:dyDescent="0.2">
      <c r="A126" s="2183" t="str">
        <f t="shared" si="10"/>
        <v>Xeon Gold 6148 40 core (2 chip) 2400 MHz 576 GB RAM</v>
      </c>
      <c r="B126" s="2174" t="str">
        <f t="shared" si="19"/>
        <v>Xeon Gold 6148 40 core (2 chip) 2400 MHz</v>
      </c>
      <c r="C126" s="2157">
        <v>576</v>
      </c>
      <c r="D126" s="2884">
        <f t="shared" si="12"/>
        <v>1980</v>
      </c>
      <c r="E126" s="2885">
        <f t="shared" si="13"/>
        <v>49.5</v>
      </c>
      <c r="F126" s="2158">
        <v>52580.183823529413</v>
      </c>
      <c r="G126" s="2629"/>
    </row>
    <row r="127" spans="1:10" ht="16" hidden="1" outlineLevel="1" x14ac:dyDescent="0.2">
      <c r="A127" s="2183" t="str">
        <f t="shared" si="10"/>
        <v>Xeon Gold 6148 40 core (2 chip) 2400 MHz 640 GB RAM</v>
      </c>
      <c r="B127" s="2174" t="str">
        <f t="shared" si="19"/>
        <v>Xeon Gold 6148 40 core (2 chip) 2400 MHz</v>
      </c>
      <c r="C127" s="2157">
        <v>640</v>
      </c>
      <c r="D127" s="2884">
        <f t="shared" si="12"/>
        <v>1980</v>
      </c>
      <c r="E127" s="2885">
        <f t="shared" si="13"/>
        <v>49.5</v>
      </c>
      <c r="F127" s="2158">
        <v>54247.683823529413</v>
      </c>
      <c r="G127" s="2629"/>
      <c r="I127" s="2631"/>
      <c r="J127" s="2631"/>
    </row>
    <row r="128" spans="1:10" ht="16" hidden="1" outlineLevel="1" x14ac:dyDescent="0.2">
      <c r="A128" s="2183" t="str">
        <f>B128&amp;" "&amp;C128&amp;" GB RAM"</f>
        <v>Xeon Gold 6148 40 core (2 chip) 2400 MHz 704 GB RAM</v>
      </c>
      <c r="B128" s="2174" t="str">
        <f t="shared" si="19"/>
        <v>Xeon Gold 6148 40 core (2 chip) 2400 MHz</v>
      </c>
      <c r="C128" s="2157">
        <v>704</v>
      </c>
      <c r="D128" s="2884">
        <f>VLOOKUP(B128,HWRange,6,FALSE)</f>
        <v>1980</v>
      </c>
      <c r="E128" s="2885">
        <f>D128/VLOOKUP(B128,HWRange,3,FALSE)</f>
        <v>49.5</v>
      </c>
      <c r="F128" s="2158">
        <v>55915.183823529413</v>
      </c>
      <c r="G128" s="2629"/>
      <c r="I128" s="2631"/>
      <c r="J128" s="2631"/>
    </row>
    <row r="129" spans="1:6" ht="16" collapsed="1" x14ac:dyDescent="0.2">
      <c r="A129" s="2183" t="str">
        <f t="shared" ref="A129" si="20">B129&amp;" "&amp;C129&amp;" GB RAM"</f>
        <v>Xeon Gold 6148 40 core (2 chip) 2400 MHz 768 GB RAM</v>
      </c>
      <c r="B129" s="2174" t="str">
        <f>B128</f>
        <v>Xeon Gold 6148 40 core (2 chip) 2400 MHz</v>
      </c>
      <c r="C129" s="2157">
        <v>768</v>
      </c>
      <c r="D129" s="2884">
        <f t="shared" ref="D129" si="21">VLOOKUP(B129,HWRange,6,FALSE)</f>
        <v>1980</v>
      </c>
      <c r="E129" s="2885">
        <f t="shared" ref="E129" si="22">D129/VLOOKUP(B129,HWRange,3,FALSE)</f>
        <v>49.5</v>
      </c>
      <c r="F129" s="2158">
        <v>57582.683823529413</v>
      </c>
    </row>
    <row r="130" spans="1:6" ht="16" hidden="1" outlineLevel="1" collapsed="1" x14ac:dyDescent="0.2">
      <c r="A130" s="2183" t="str">
        <f t="shared" si="10"/>
        <v>Xeon Gold 6152 44 core (2 chip) 2100 MHz 64 GB RAM</v>
      </c>
      <c r="B130" s="2623" t="s">
        <v>1824</v>
      </c>
      <c r="C130" s="2624">
        <v>64</v>
      </c>
      <c r="D130" s="2884">
        <f t="shared" si="12"/>
        <v>2020</v>
      </c>
      <c r="E130" s="2885">
        <f t="shared" si="13"/>
        <v>45.909090909090907</v>
      </c>
      <c r="F130" s="2625">
        <v>38331.727941176468</v>
      </c>
    </row>
    <row r="131" spans="1:6" ht="16" hidden="1" outlineLevel="1" x14ac:dyDescent="0.2">
      <c r="A131" s="2183" t="str">
        <f t="shared" si="10"/>
        <v>Xeon Gold 6152 44 core (2 chip) 2100 MHz 96 GB RAM</v>
      </c>
      <c r="B131" s="2623" t="str">
        <f>B130</f>
        <v>Xeon Gold 6152 44 core (2 chip) 2100 MHz</v>
      </c>
      <c r="C131" s="2624">
        <v>96</v>
      </c>
      <c r="D131" s="2884">
        <f t="shared" si="12"/>
        <v>2020</v>
      </c>
      <c r="E131" s="2885">
        <f t="shared" si="13"/>
        <v>45.909090909090907</v>
      </c>
      <c r="F131" s="2625">
        <v>40832.977941176468</v>
      </c>
    </row>
    <row r="132" spans="1:6" ht="16" hidden="1" outlineLevel="1" x14ac:dyDescent="0.2">
      <c r="A132" s="2183" t="str">
        <f t="shared" si="10"/>
        <v>Xeon Gold 6152 44 core (2 chip) 2100 MHz 128 GB RAM</v>
      </c>
      <c r="B132" s="2623" t="str">
        <f t="shared" ref="B132:B142" si="23">B131</f>
        <v>Xeon Gold 6152 44 core (2 chip) 2100 MHz</v>
      </c>
      <c r="C132" s="2624">
        <v>128</v>
      </c>
      <c r="D132" s="2884">
        <f t="shared" si="12"/>
        <v>2020</v>
      </c>
      <c r="E132" s="2885">
        <f t="shared" si="13"/>
        <v>45.909090909090907</v>
      </c>
      <c r="F132" s="2625">
        <v>41666.727941176468</v>
      </c>
    </row>
    <row r="133" spans="1:6" ht="16" hidden="1" outlineLevel="1" x14ac:dyDescent="0.2">
      <c r="A133" s="2183" t="str">
        <f t="shared" si="10"/>
        <v>Xeon Gold 6152 44 core (2 chip) 2100 MHz 192 GB RAM</v>
      </c>
      <c r="B133" s="2623" t="str">
        <f t="shared" si="23"/>
        <v>Xeon Gold 6152 44 core (2 chip) 2100 MHz</v>
      </c>
      <c r="C133" s="2624">
        <v>192</v>
      </c>
      <c r="D133" s="2884">
        <f t="shared" si="12"/>
        <v>2020</v>
      </c>
      <c r="E133" s="2885">
        <f t="shared" si="13"/>
        <v>45.909090909090907</v>
      </c>
      <c r="F133" s="2625">
        <v>43334.227941176468</v>
      </c>
    </row>
    <row r="134" spans="1:6" ht="16" hidden="1" outlineLevel="1" x14ac:dyDescent="0.2">
      <c r="A134" s="2183" t="str">
        <f t="shared" si="10"/>
        <v>Xeon Gold 6152 44 core (2 chip) 2100 MHz 256 GB RAM</v>
      </c>
      <c r="B134" s="2623" t="str">
        <f t="shared" si="23"/>
        <v>Xeon Gold 6152 44 core (2 chip) 2100 MHz</v>
      </c>
      <c r="C134" s="2624">
        <v>256</v>
      </c>
      <c r="D134" s="2884">
        <f t="shared" si="12"/>
        <v>2020</v>
      </c>
      <c r="E134" s="2885">
        <f t="shared" si="13"/>
        <v>45.909090909090907</v>
      </c>
      <c r="F134" s="2625">
        <v>45001.727941176468</v>
      </c>
    </row>
    <row r="135" spans="1:6" ht="16" hidden="1" outlineLevel="1" x14ac:dyDescent="0.2">
      <c r="A135" s="2183" t="str">
        <f t="shared" si="10"/>
        <v>Xeon Gold 6152 44 core (2 chip) 2100 MHz 320 GB RAM</v>
      </c>
      <c r="B135" s="2623" t="str">
        <f t="shared" si="23"/>
        <v>Xeon Gold 6152 44 core (2 chip) 2100 MHz</v>
      </c>
      <c r="C135" s="2624">
        <v>320</v>
      </c>
      <c r="D135" s="2884">
        <f t="shared" si="12"/>
        <v>2020</v>
      </c>
      <c r="E135" s="2885">
        <f t="shared" si="13"/>
        <v>45.909090909090907</v>
      </c>
      <c r="F135" s="2625">
        <v>46669.227941176468</v>
      </c>
    </row>
    <row r="136" spans="1:6" ht="16" hidden="1" outlineLevel="1" x14ac:dyDescent="0.2">
      <c r="A136" s="2183" t="str">
        <f t="shared" si="10"/>
        <v>Xeon Gold 6152 44 core (2 chip) 2100 MHz 384 GB RAM</v>
      </c>
      <c r="B136" s="2623" t="str">
        <f t="shared" si="23"/>
        <v>Xeon Gold 6152 44 core (2 chip) 2100 MHz</v>
      </c>
      <c r="C136" s="2624">
        <v>384</v>
      </c>
      <c r="D136" s="2884">
        <f t="shared" si="12"/>
        <v>2020</v>
      </c>
      <c r="E136" s="2885">
        <f t="shared" si="13"/>
        <v>45.909090909090907</v>
      </c>
      <c r="F136" s="2625">
        <v>48336.727941176468</v>
      </c>
    </row>
    <row r="137" spans="1:6" ht="16" hidden="1" outlineLevel="1" x14ac:dyDescent="0.2">
      <c r="A137" s="2183" t="str">
        <f t="shared" si="10"/>
        <v>Xeon Gold 6152 44 core (2 chip) 2100 MHz 448 GB RAM</v>
      </c>
      <c r="B137" s="2623" t="str">
        <f t="shared" si="23"/>
        <v>Xeon Gold 6152 44 core (2 chip) 2100 MHz</v>
      </c>
      <c r="C137" s="2624">
        <v>448</v>
      </c>
      <c r="D137" s="2884">
        <f t="shared" si="12"/>
        <v>2020</v>
      </c>
      <c r="E137" s="2885">
        <f t="shared" si="13"/>
        <v>45.909090909090907</v>
      </c>
      <c r="F137" s="2625">
        <v>50004.227941176468</v>
      </c>
    </row>
    <row r="138" spans="1:6" ht="16" hidden="1" outlineLevel="1" x14ac:dyDescent="0.2">
      <c r="A138" s="2183" t="str">
        <f t="shared" si="10"/>
        <v>Xeon Gold 6152 44 core (2 chip) 2100 MHz 512 GB RAM</v>
      </c>
      <c r="B138" s="2623" t="str">
        <f t="shared" si="23"/>
        <v>Xeon Gold 6152 44 core (2 chip) 2100 MHz</v>
      </c>
      <c r="C138" s="2624">
        <v>512</v>
      </c>
      <c r="D138" s="2884">
        <f t="shared" si="12"/>
        <v>2020</v>
      </c>
      <c r="E138" s="2885">
        <f t="shared" si="13"/>
        <v>45.909090909090907</v>
      </c>
      <c r="F138" s="2625">
        <v>51671.727941176468</v>
      </c>
    </row>
    <row r="139" spans="1:6" ht="16" hidden="1" outlineLevel="1" x14ac:dyDescent="0.2">
      <c r="A139" s="2183" t="str">
        <f t="shared" si="10"/>
        <v>Xeon Gold 6152 44 core (2 chip) 2100 MHz 576 GB RAM</v>
      </c>
      <c r="B139" s="2623" t="str">
        <f t="shared" si="23"/>
        <v>Xeon Gold 6152 44 core (2 chip) 2100 MHz</v>
      </c>
      <c r="C139" s="2624">
        <v>576</v>
      </c>
      <c r="D139" s="2884">
        <f t="shared" si="12"/>
        <v>2020</v>
      </c>
      <c r="E139" s="2885">
        <f t="shared" si="13"/>
        <v>45.909090909090907</v>
      </c>
      <c r="F139" s="2625">
        <v>53339.227941176468</v>
      </c>
    </row>
    <row r="140" spans="1:6" ht="16" hidden="1" outlineLevel="1" x14ac:dyDescent="0.2">
      <c r="A140" s="2183" t="str">
        <f t="shared" si="10"/>
        <v>Xeon Gold 6152 44 core (2 chip) 2100 MHz 640 GB RAM</v>
      </c>
      <c r="B140" s="2623" t="str">
        <f t="shared" si="23"/>
        <v>Xeon Gold 6152 44 core (2 chip) 2100 MHz</v>
      </c>
      <c r="C140" s="2624">
        <v>640</v>
      </c>
      <c r="D140" s="2884">
        <f t="shared" si="12"/>
        <v>2020</v>
      </c>
      <c r="E140" s="2885">
        <f t="shared" si="13"/>
        <v>45.909090909090907</v>
      </c>
      <c r="F140" s="2625">
        <v>55006.727941176468</v>
      </c>
    </row>
    <row r="141" spans="1:6" ht="16" hidden="1" outlineLevel="1" x14ac:dyDescent="0.2">
      <c r="A141" s="2183" t="str">
        <f>B141&amp;" "&amp;C141&amp;" GB RAM"</f>
        <v>Xeon Gold 6152 44 core (2 chip) 2100 MHz 704 GB RAM</v>
      </c>
      <c r="B141" s="2623" t="str">
        <f t="shared" si="23"/>
        <v>Xeon Gold 6152 44 core (2 chip) 2100 MHz</v>
      </c>
      <c r="C141" s="2624">
        <v>704</v>
      </c>
      <c r="D141" s="2884">
        <f>VLOOKUP(B141,HWRange,6,FALSE)</f>
        <v>2020</v>
      </c>
      <c r="E141" s="2885">
        <f>D141/VLOOKUP(B141,HWRange,3,FALSE)</f>
        <v>45.909090909090907</v>
      </c>
      <c r="F141" s="2625">
        <v>56674.227941176468</v>
      </c>
    </row>
    <row r="142" spans="1:6" ht="16" collapsed="1" x14ac:dyDescent="0.2">
      <c r="A142" s="2183" t="str">
        <f t="shared" si="10"/>
        <v>Xeon Gold 6152 44 core (2 chip) 2100 MHz 768 GB RAM</v>
      </c>
      <c r="B142" s="2623" t="str">
        <f t="shared" si="23"/>
        <v>Xeon Gold 6152 44 core (2 chip) 2100 MHz</v>
      </c>
      <c r="C142" s="2624">
        <v>768</v>
      </c>
      <c r="D142" s="2884">
        <f t="shared" si="12"/>
        <v>2020</v>
      </c>
      <c r="E142" s="2885">
        <f t="shared" si="13"/>
        <v>45.909090909090907</v>
      </c>
      <c r="F142" s="2625">
        <v>58341.727941176468</v>
      </c>
    </row>
    <row r="143" spans="1:6" x14ac:dyDescent="0.15">
      <c r="A143" s="2184"/>
      <c r="B143" s="2178"/>
      <c r="C143" s="2179"/>
      <c r="D143" s="2179"/>
      <c r="E143" s="2179"/>
      <c r="F143" s="2180"/>
    </row>
    <row r="144" spans="1:6" x14ac:dyDescent="0.15">
      <c r="B144" s="2177" t="s">
        <v>1112</v>
      </c>
    </row>
    <row r="145" spans="2:2" x14ac:dyDescent="0.15">
      <c r="B145" s="2176" t="s">
        <v>1023</v>
      </c>
    </row>
    <row r="146" spans="2:2" x14ac:dyDescent="0.15">
      <c r="B146" s="2176" t="s">
        <v>1024</v>
      </c>
    </row>
    <row r="147" spans="2:2" x14ac:dyDescent="0.15">
      <c r="B147" s="2176" t="s">
        <v>1025</v>
      </c>
    </row>
    <row r="148" spans="2:2" x14ac:dyDescent="0.15">
      <c r="B148" s="2176" t="s">
        <v>1176</v>
      </c>
    </row>
    <row r="149" spans="2:2" x14ac:dyDescent="0.15">
      <c r="B149" s="2176" t="s">
        <v>1505</v>
      </c>
    </row>
    <row r="150" spans="2:2" x14ac:dyDescent="0.15">
      <c r="B150" s="2176" t="s">
        <v>1506</v>
      </c>
    </row>
  </sheetData>
  <mergeCells count="5">
    <mergeCell ref="B1:B2"/>
    <mergeCell ref="C1:C2"/>
    <mergeCell ref="D1:E1"/>
    <mergeCell ref="F1:F2"/>
    <mergeCell ref="H4:I4"/>
  </mergeCells>
  <dataValidations count="1">
    <dataValidation type="list" allowBlank="1" showInputMessage="1" showErrorMessage="1" sqref="B4:B142">
      <formula1>ServerCandidates</formula1>
    </dataValidation>
  </dataValidations>
  <hyperlinks>
    <hyperlink ref="O3" r:id="rId1" display="NVIDIA GRID support for Dell "/>
    <hyperlink ref="O2" r:id="rId2"/>
    <hyperlink ref="O5" r:id="rId3" display="R730 GPU configuration/pricfing"/>
    <hyperlink ref="O7" r:id="rId4"/>
    <hyperlink ref="O8" r:id="rId5"/>
    <hyperlink ref="O9" r:id="rId6"/>
    <hyperlink ref="O10" r:id="rId7"/>
    <hyperlink ref="H38" r:id="rId8" display="https://urldefense.proofpoint.com/v2/url?u=https-3A__www.jitslangedijk.com_the-2Dnew-2Dnvidia-2Dgrid_&amp;d=DwMFAg&amp;c=n6-cguzQvX_tUIrZOS_4Og&amp;r=voNFRjJpHhlwvD4pV0oMYw&amp;m=lT2CopKmvulOW2vVAiM3yX67LfpsdWO2eUHBnxKg4_U&amp;s=nZzc67eOW0thwgb-TSyw3O4zkdzfYFocgyxF5-Ti-J8&amp;e="/>
  </hyperlinks>
  <pageMargins left="0.7" right="0.7" top="0.75" bottom="0.75" header="0.3" footer="0.3"/>
  <pageSetup orientation="portrait" horizontalDpi="1200" verticalDpi="1200" r:id="rId9"/>
  <drawing r:id="rId10"/>
  <legacy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>
    <tabColor rgb="FF663300"/>
  </sheetPr>
  <dimension ref="A1:W89"/>
  <sheetViews>
    <sheetView showZeros="0" workbookViewId="0">
      <selection activeCell="F58" sqref="F58"/>
    </sheetView>
  </sheetViews>
  <sheetFormatPr baseColWidth="10" defaultColWidth="9.1640625" defaultRowHeight="16" outlineLevelCol="1" x14ac:dyDescent="0.2"/>
  <cols>
    <col min="1" max="1" width="24.83203125" style="25" customWidth="1"/>
    <col min="2" max="2" width="11" style="25" customWidth="1"/>
    <col min="3" max="3" width="12.33203125" style="25" customWidth="1"/>
    <col min="4" max="4" width="9.83203125" style="25" customWidth="1"/>
    <col min="5" max="5" width="39.5" style="25" customWidth="1"/>
    <col min="6" max="6" width="10.6640625" style="25" customWidth="1"/>
    <col min="7" max="7" width="10.1640625" style="25" customWidth="1"/>
    <col min="8" max="8" width="12.5" style="25" customWidth="1" outlineLevel="1"/>
    <col min="9" max="9" width="8.33203125" style="25" customWidth="1" outlineLevel="1"/>
    <col min="10" max="10" width="9.5" style="25" customWidth="1" outlineLevel="1"/>
    <col min="11" max="11" width="9.6640625" style="25" customWidth="1" outlineLevel="1"/>
    <col min="12" max="12" width="12.5" style="25" customWidth="1" outlineLevel="1"/>
    <col min="13" max="13" width="11.1640625" style="25" customWidth="1" outlineLevel="1"/>
    <col min="14" max="14" width="16.5" style="25" customWidth="1" outlineLevel="1"/>
    <col min="15" max="15" width="14.5" style="25" customWidth="1" outlineLevel="1"/>
    <col min="16" max="16" width="10.83203125" style="25" customWidth="1" outlineLevel="1"/>
    <col min="17" max="17" width="9.1640625" style="25" customWidth="1" outlineLevel="1"/>
    <col min="18" max="18" width="8.1640625" style="25" customWidth="1" outlineLevel="1"/>
    <col min="19" max="19" width="9" style="25" customWidth="1" outlineLevel="1"/>
    <col min="20" max="20" width="11.1640625" style="25" bestFit="1" customWidth="1"/>
    <col min="21" max="21" width="4" style="25" customWidth="1"/>
    <col min="22" max="22" width="8.6640625" style="25" customWidth="1"/>
    <col min="23" max="23" width="6.5" style="25" hidden="1" customWidth="1"/>
    <col min="24" max="16384" width="9.1640625" style="25"/>
  </cols>
  <sheetData>
    <row r="1" spans="1:23" x14ac:dyDescent="0.2">
      <c r="A1" s="701" t="s">
        <v>387</v>
      </c>
      <c r="B1" s="702" t="s">
        <v>2</v>
      </c>
      <c r="C1" s="703"/>
      <c r="D1" s="704"/>
      <c r="E1" s="852" t="s">
        <v>410</v>
      </c>
      <c r="F1" s="3278" t="s">
        <v>355</v>
      </c>
      <c r="G1" s="3279"/>
      <c r="H1" s="705">
        <f>MIN(H5:H10)</f>
        <v>0</v>
      </c>
      <c r="I1" s="706">
        <f>+SUM(I3:I10)</f>
        <v>0</v>
      </c>
      <c r="J1" s="3276" t="s">
        <v>357</v>
      </c>
      <c r="K1" s="3277"/>
      <c r="L1" s="271">
        <f>+H1*60</f>
        <v>0</v>
      </c>
      <c r="M1" s="707" t="str">
        <f>G2&amp;" Baseline SRint2006 ="</f>
        <v>Arc18 Baseline SRint2006 =</v>
      </c>
      <c r="N1" s="707"/>
      <c r="O1" s="708">
        <f>Workflow!K3</f>
        <v>74</v>
      </c>
      <c r="P1" s="165" t="s">
        <v>359</v>
      </c>
      <c r="Q1" s="166" t="s">
        <v>296</v>
      </c>
      <c r="R1" s="709"/>
      <c r="S1" s="709"/>
      <c r="T1" s="1362"/>
      <c r="U1" s="3275" t="s">
        <v>241</v>
      </c>
      <c r="V1" s="1362"/>
    </row>
    <row r="2" spans="1:23" ht="17" thickBot="1" x14ac:dyDescent="0.25">
      <c r="A2" s="272" t="s">
        <v>427</v>
      </c>
      <c r="B2" s="261" t="s">
        <v>347</v>
      </c>
      <c r="C2" s="272" t="s">
        <v>187</v>
      </c>
      <c r="D2" s="286" t="s">
        <v>325</v>
      </c>
      <c r="E2" s="261" t="s">
        <v>348</v>
      </c>
      <c r="F2" s="274" t="s">
        <v>356</v>
      </c>
      <c r="G2" s="275" t="str">
        <f>LEFT(Calculator!B101,5)</f>
        <v>Arc18</v>
      </c>
      <c r="H2" s="261" t="s">
        <v>316</v>
      </c>
      <c r="I2" s="260" t="s">
        <v>360</v>
      </c>
      <c r="J2" s="272" t="s">
        <v>313</v>
      </c>
      <c r="K2" s="262" t="s">
        <v>328</v>
      </c>
      <c r="L2" s="273"/>
      <c r="M2" s="3281" t="s">
        <v>358</v>
      </c>
      <c r="N2" s="3281"/>
      <c r="O2" s="263">
        <f>F67*B18/B20</f>
        <v>1.0650111835973903</v>
      </c>
      <c r="P2" s="203" t="s">
        <v>352</v>
      </c>
      <c r="Q2" s="883">
        <v>10</v>
      </c>
      <c r="S2" s="121"/>
      <c r="T2" s="2079">
        <f>F3</f>
        <v>1.0650111835973903</v>
      </c>
      <c r="U2" s="3275"/>
      <c r="V2" s="1365" t="s">
        <v>708</v>
      </c>
    </row>
    <row r="3" spans="1:23" x14ac:dyDescent="0.2">
      <c r="A3" s="844"/>
      <c r="B3" s="278">
        <f>IF(N3=0,O2*A7/(60*E3),N3/E3)</f>
        <v>0</v>
      </c>
      <c r="C3" s="850">
        <v>21.3</v>
      </c>
      <c r="D3" s="287" t="s">
        <v>461</v>
      </c>
      <c r="E3" s="851">
        <v>1000</v>
      </c>
      <c r="F3" s="719">
        <f>O3</f>
        <v>1.0650111835973903</v>
      </c>
      <c r="G3" s="276"/>
      <c r="H3" s="105">
        <f>E3</f>
        <v>1000</v>
      </c>
      <c r="I3" s="226">
        <f>IF(B3=0,0,IF(B3&lt;0.9999,F3*B3/((1+R7*B3)*(1-B3)),F3*1000))</f>
        <v>0</v>
      </c>
      <c r="J3" s="106">
        <v>1</v>
      </c>
      <c r="K3" s="106"/>
      <c r="L3" s="106"/>
      <c r="M3" s="267" t="s">
        <v>187</v>
      </c>
      <c r="N3" s="64">
        <f>IF(AND(A3=0,A5=0),0,C3)</f>
        <v>0</v>
      </c>
      <c r="O3" s="65">
        <f>IF(N3=0,O2,60*N3/A$7)</f>
        <v>1.0650111835973903</v>
      </c>
      <c r="P3" s="103"/>
      <c r="Q3" s="229"/>
      <c r="R3" s="264"/>
      <c r="S3" s="259" t="s">
        <v>315</v>
      </c>
      <c r="T3" s="686" t="s">
        <v>332</v>
      </c>
      <c r="U3" s="3275"/>
      <c r="V3" s="1366" t="s">
        <v>709</v>
      </c>
    </row>
    <row r="4" spans="1:23" ht="17.25" customHeight="1" thickBot="1" x14ac:dyDescent="0.25">
      <c r="A4" s="319" t="s">
        <v>12</v>
      </c>
      <c r="B4" s="846"/>
      <c r="C4" s="288" t="s">
        <v>303</v>
      </c>
      <c r="D4" s="848"/>
      <c r="E4" s="277" t="str">
        <f>E6</f>
        <v>Xeon Gold 5122 4 core (1 chip) 3600 MHz</v>
      </c>
      <c r="F4" s="227">
        <f>S4</f>
        <v>0</v>
      </c>
      <c r="G4" s="276">
        <f>IF(OR($A$3&gt;0,$A$5&gt;0),G67, D15)</f>
        <v>2.0756756756756756E-2</v>
      </c>
      <c r="H4" s="289" t="str">
        <f>IF(B4&gt;0,IF(A$3&gt;0,A$7/B4,(A$5*A$10)/B4),"")</f>
        <v/>
      </c>
      <c r="I4" s="290">
        <f>IF(AND($A$3=0,$A$5=0),0,IF(B4=0,0,IF(B4&lt;0.9999,S4*B4/((1+Q$7*(J4-1)*B4)*(1-B4)),S4*1000)))</f>
        <v>0</v>
      </c>
      <c r="J4" s="291">
        <f t="shared" ref="J4:J10" si="0">IF(T4=$L$80,VLOOKUP(E4,HWRange,3,FALSE)*D4,U4)</f>
        <v>0</v>
      </c>
      <c r="K4" s="292">
        <f>VLOOKUP(E4,Hardware!$A$2:$I$633,6,FALSE)</f>
        <v>279</v>
      </c>
      <c r="L4" s="293">
        <f>VLOOKUP(E4,Hardware!$A$2:$I$633,7,FALSE)</f>
        <v>69.75</v>
      </c>
      <c r="M4" s="268" t="s">
        <v>350</v>
      </c>
      <c r="N4" s="104"/>
      <c r="O4" s="67">
        <f>IF(N4&gt;0,60*N4/A$7,6.251*O3)</f>
        <v>6.6573849086672876</v>
      </c>
      <c r="P4" s="285"/>
      <c r="Q4" s="230"/>
      <c r="R4" s="264"/>
      <c r="S4" s="228">
        <f t="shared" ref="S4:S10" si="1">IF(AND($A$3=0,$A$5=0),0,IF(D4=0,0,IF(B4=0,0,IF(A$7&gt;0,60*J4*B4*D4/(A$7),60*J4*B4*D4/(A$5*A$10)))/D4))*IF(T4=$L$80,1,1/(IF(OR(V4=$N$80,V4=$N$81),VLOOKUP(V4,VMLoad,W4,FALSE),1)))</f>
        <v>0</v>
      </c>
      <c r="T4" s="1367" t="s">
        <v>408</v>
      </c>
      <c r="U4" s="941">
        <v>4</v>
      </c>
      <c r="V4" s="1363" t="s">
        <v>412</v>
      </c>
      <c r="W4" s="1359">
        <f t="shared" ref="W4:W10" si="2">IF(U4&lt;3,2,IF(U4&lt;5,3,IF(U4&lt;7,4,IF(U4&lt;9,5,6))))</f>
        <v>3</v>
      </c>
    </row>
    <row r="5" spans="1:23" ht="18" customHeight="1" thickBot="1" x14ac:dyDescent="0.25">
      <c r="A5" s="845"/>
      <c r="B5" s="846"/>
      <c r="C5" s="288"/>
      <c r="D5" s="848"/>
      <c r="E5" s="277" t="str">
        <f>E6</f>
        <v>Xeon Gold 5122 4 core (1 chip) 3600 MHz</v>
      </c>
      <c r="F5" s="227">
        <f t="shared" ref="F5:F10" si="3">S5</f>
        <v>0</v>
      </c>
      <c r="G5" s="276">
        <f t="shared" ref="G5:G10" si="4">IF(OR($A$3&gt;0,$A$5&gt;0), F5*L5/$O$1,D16)</f>
        <v>0</v>
      </c>
      <c r="H5" s="289" t="str">
        <f t="shared" ref="H5:H10" si="5">IF(B5&gt;0,IF(A$3&gt;0,A$7/B5,(A$5*A$10)/B5),"")</f>
        <v/>
      </c>
      <c r="I5" s="290">
        <f t="shared" ref="I5:I10" si="6">IF(AND($A$3=0,$A$5=0),0,IF(B5=0,0,IF(B5&lt;0.9999,S5*B5/((1+Q$7*(J5-1)*B5)*(1-B5)),S5*1000)))</f>
        <v>0</v>
      </c>
      <c r="J5" s="291">
        <f t="shared" si="0"/>
        <v>0</v>
      </c>
      <c r="K5" s="292">
        <f>VLOOKUP(E5,Hardware!$A$2:$I$633,6,FALSE)</f>
        <v>279</v>
      </c>
      <c r="L5" s="293">
        <f>VLOOKUP(E5,Hardware!$A$2:$I$633,7,FALSE)</f>
        <v>69.75</v>
      </c>
      <c r="M5" s="269"/>
      <c r="N5" s="231"/>
      <c r="O5" s="230"/>
      <c r="P5" s="236">
        <f>A5*A10</f>
        <v>0</v>
      </c>
      <c r="Q5" s="230"/>
      <c r="R5" s="264"/>
      <c r="S5" s="228">
        <f t="shared" si="1"/>
        <v>0</v>
      </c>
      <c r="T5" s="1367" t="s">
        <v>408</v>
      </c>
      <c r="U5" s="941">
        <v>2</v>
      </c>
      <c r="V5" s="1363" t="s">
        <v>412</v>
      </c>
      <c r="W5" s="1359">
        <f t="shared" si="2"/>
        <v>2</v>
      </c>
    </row>
    <row r="6" spans="1:23" ht="15.75" customHeight="1" x14ac:dyDescent="0.2">
      <c r="A6" s="295">
        <f>IF(P2=K84,A10,IF(P2=K85,IF(A9&gt;0,IF(P6&gt;A10,IF(A1=$B$80,P7,A10),P7),P7),P6))</f>
        <v>6</v>
      </c>
      <c r="B6" s="846">
        <v>2.1999999999999999E-2</v>
      </c>
      <c r="C6" s="288" t="s">
        <v>1408</v>
      </c>
      <c r="D6" s="848">
        <v>1</v>
      </c>
      <c r="E6" s="277" t="s">
        <v>1816</v>
      </c>
      <c r="F6" s="227">
        <f t="shared" si="3"/>
        <v>0</v>
      </c>
      <c r="G6" s="276">
        <f t="shared" si="4"/>
        <v>6.9189189189189197E-3</v>
      </c>
      <c r="H6" s="289">
        <f t="shared" si="5"/>
        <v>0</v>
      </c>
      <c r="I6" s="290">
        <f t="shared" si="6"/>
        <v>0</v>
      </c>
      <c r="J6" s="291">
        <f t="shared" si="0"/>
        <v>4</v>
      </c>
      <c r="K6" s="292">
        <f>VLOOKUP(E6,Hardware!$A$2:$I$633,6,FALSE)</f>
        <v>279</v>
      </c>
      <c r="L6" s="293">
        <f>VLOOKUP(E6,Hardware!$A$2:$I$633,7,FALSE)</f>
        <v>69.75</v>
      </c>
      <c r="M6" s="238" t="s">
        <v>361</v>
      </c>
      <c r="N6" s="237">
        <f>SUM(F3:F10)+SUM(I3:I10)</f>
        <v>1.0650111835973903</v>
      </c>
      <c r="O6" s="238" t="s">
        <v>362</v>
      </c>
      <c r="P6" s="239">
        <f>IF(A5=0,0,IF(A9&gt;0,60/(N6+A9),60/N6))</f>
        <v>0</v>
      </c>
      <c r="Q6" s="149" t="s">
        <v>378</v>
      </c>
      <c r="R6" s="265" t="s">
        <v>379</v>
      </c>
      <c r="S6" s="228">
        <f t="shared" si="1"/>
        <v>0</v>
      </c>
      <c r="T6" s="1367" t="s">
        <v>408</v>
      </c>
      <c r="U6" s="941">
        <v>2</v>
      </c>
      <c r="V6" s="1363" t="s">
        <v>412</v>
      </c>
      <c r="W6" s="1359">
        <f t="shared" si="2"/>
        <v>2</v>
      </c>
    </row>
    <row r="7" spans="1:23" ht="15.75" customHeight="1" thickBot="1" x14ac:dyDescent="0.25">
      <c r="A7" s="279">
        <f>IF(AND(A3=0,A5=0),0,IF(A3&gt;0,A3/60,A5*A6))</f>
        <v>0</v>
      </c>
      <c r="B7" s="846"/>
      <c r="C7" s="288" t="s">
        <v>970</v>
      </c>
      <c r="D7" s="848"/>
      <c r="E7" s="277" t="s">
        <v>1403</v>
      </c>
      <c r="F7" s="227">
        <f t="shared" si="3"/>
        <v>0</v>
      </c>
      <c r="G7" s="276">
        <f t="shared" si="4"/>
        <v>0</v>
      </c>
      <c r="H7" s="289" t="str">
        <f t="shared" si="5"/>
        <v/>
      </c>
      <c r="I7" s="290">
        <f t="shared" si="6"/>
        <v>0</v>
      </c>
      <c r="J7" s="291">
        <f t="shared" si="0"/>
        <v>0</v>
      </c>
      <c r="K7" s="292">
        <f>VLOOKUP(E7,Hardware!$A$2:$I$633,6,FALSE)</f>
        <v>240</v>
      </c>
      <c r="L7" s="293">
        <f>VLOOKUP(E7,Hardware!$A$2:$I$633,7,FALSE)</f>
        <v>60</v>
      </c>
      <c r="M7" s="270" t="s">
        <v>462</v>
      </c>
      <c r="N7" s="232">
        <f>IF(A3&gt;0,A9,(60/$A6)-N6)</f>
        <v>8.9349888164026101</v>
      </c>
      <c r="O7" s="233" t="s">
        <v>296</v>
      </c>
      <c r="P7" s="234">
        <f>IF(P6&gt;A6,A6+ABS(P6-A6)/100,A6-ABS(P6-A6)/100)</f>
        <v>5.94</v>
      </c>
      <c r="Q7" s="235">
        <v>1</v>
      </c>
      <c r="R7" s="266">
        <v>1</v>
      </c>
      <c r="S7" s="228">
        <f t="shared" si="1"/>
        <v>0</v>
      </c>
      <c r="T7" s="1367" t="s">
        <v>408</v>
      </c>
      <c r="U7" s="941">
        <v>2</v>
      </c>
      <c r="V7" s="1363" t="s">
        <v>412</v>
      </c>
      <c r="W7" s="1359">
        <f t="shared" si="2"/>
        <v>2</v>
      </c>
    </row>
    <row r="8" spans="1:23" ht="16.5" customHeight="1" x14ac:dyDescent="0.2">
      <c r="A8" s="296">
        <f>A7*60</f>
        <v>0</v>
      </c>
      <c r="B8" s="846">
        <v>0.34</v>
      </c>
      <c r="C8" s="288" t="s">
        <v>312</v>
      </c>
      <c r="D8" s="848">
        <v>1</v>
      </c>
      <c r="E8" s="277" t="str">
        <f>E6</f>
        <v>Xeon Gold 5122 4 core (1 chip) 3600 MHz</v>
      </c>
      <c r="F8" s="227">
        <f>S8</f>
        <v>0</v>
      </c>
      <c r="G8" s="276">
        <f t="shared" si="4"/>
        <v>5.5112043955323854E-2</v>
      </c>
      <c r="H8" s="289">
        <f>IF(B8&gt;0,IF(A$3&gt;0,A$7/B8,(A$5*A$10)/B8),"")</f>
        <v>0</v>
      </c>
      <c r="I8" s="290">
        <f>IF(AND($A$3=0,$A$5=0),0,IF(B8=0,0,IF(B8&lt;0.9999,S8*B8/((1+Q$7*(J8-1)*B8)*(1-B8)),S8*1000)))</f>
        <v>0</v>
      </c>
      <c r="J8" s="291">
        <f t="shared" si="0"/>
        <v>4</v>
      </c>
      <c r="K8" s="292">
        <f>VLOOKUP(E8,Hardware!$A$2:$I$633,6,FALSE)</f>
        <v>279</v>
      </c>
      <c r="L8" s="293">
        <f>VLOOKUP(E8,Hardware!$A$2:$I$633,7,FALSE)</f>
        <v>69.75</v>
      </c>
      <c r="M8" s="3286" t="s">
        <v>383</v>
      </c>
      <c r="N8" s="3286"/>
      <c r="O8" s="3286"/>
      <c r="P8" s="3286"/>
      <c r="Q8" s="3286"/>
      <c r="R8" s="3287"/>
      <c r="S8" s="228">
        <f t="shared" si="1"/>
        <v>0</v>
      </c>
      <c r="T8" s="1367" t="s">
        <v>408</v>
      </c>
      <c r="U8" s="941">
        <v>2</v>
      </c>
      <c r="V8" s="1363" t="s">
        <v>412</v>
      </c>
      <c r="W8" s="1359">
        <f t="shared" si="2"/>
        <v>2</v>
      </c>
    </row>
    <row r="9" spans="1:23" x14ac:dyDescent="0.2">
      <c r="A9" s="853">
        <v>3</v>
      </c>
      <c r="B9" s="846"/>
      <c r="C9" s="288"/>
      <c r="D9" s="848"/>
      <c r="E9" s="277" t="s">
        <v>1403</v>
      </c>
      <c r="F9" s="227">
        <f t="shared" si="3"/>
        <v>0</v>
      </c>
      <c r="G9" s="276">
        <f t="shared" si="4"/>
        <v>0</v>
      </c>
      <c r="H9" s="289" t="str">
        <f t="shared" si="5"/>
        <v/>
      </c>
      <c r="I9" s="290">
        <f t="shared" si="6"/>
        <v>0</v>
      </c>
      <c r="J9" s="291">
        <f t="shared" si="0"/>
        <v>0</v>
      </c>
      <c r="K9" s="292">
        <f>VLOOKUP(E9,Hardware!$A$2:$I$633,6,FALSE)</f>
        <v>240</v>
      </c>
      <c r="L9" s="293">
        <f>VLOOKUP(E9,Hardware!$A$2:$I$633,7,FALSE)</f>
        <v>60</v>
      </c>
      <c r="M9" s="3288" t="s">
        <v>384</v>
      </c>
      <c r="N9" s="3288"/>
      <c r="O9" s="3288"/>
      <c r="P9" s="3288"/>
      <c r="Q9" s="3288"/>
      <c r="R9" s="3289"/>
      <c r="S9" s="228">
        <f t="shared" si="1"/>
        <v>0</v>
      </c>
      <c r="T9" s="1367" t="s">
        <v>408</v>
      </c>
      <c r="U9" s="941">
        <v>2</v>
      </c>
      <c r="V9" s="1363" t="s">
        <v>412</v>
      </c>
      <c r="W9" s="1359">
        <f t="shared" si="2"/>
        <v>2</v>
      </c>
    </row>
    <row r="10" spans="1:23" ht="14.25" customHeight="1" x14ac:dyDescent="0.2">
      <c r="A10" s="683">
        <f>IF(B8&gt;0,6,10)</f>
        <v>6</v>
      </c>
      <c r="B10" s="847">
        <v>5.8000000000000003E-2</v>
      </c>
      <c r="C10" s="682" t="s">
        <v>288</v>
      </c>
      <c r="D10" s="849">
        <v>1</v>
      </c>
      <c r="E10" s="277" t="str">
        <f>E8</f>
        <v>Xeon Gold 5122 4 core (1 chip) 3600 MHz</v>
      </c>
      <c r="F10" s="227">
        <f t="shared" si="3"/>
        <v>0</v>
      </c>
      <c r="G10" s="276">
        <f t="shared" si="4"/>
        <v>9.4199201283638179E-3</v>
      </c>
      <c r="H10" s="289">
        <f t="shared" si="5"/>
        <v>0</v>
      </c>
      <c r="I10" s="290">
        <f t="shared" si="6"/>
        <v>0</v>
      </c>
      <c r="J10" s="291">
        <f t="shared" si="0"/>
        <v>4</v>
      </c>
      <c r="K10" s="292">
        <f>VLOOKUP(E10,Hardware!$A$2:$I$633,6,FALSE)</f>
        <v>279</v>
      </c>
      <c r="L10" s="293">
        <f>VLOOKUP(E10,Hardware!$A$2:$I$633,7,FALSE)</f>
        <v>69.75</v>
      </c>
      <c r="M10" s="3290" t="s">
        <v>385</v>
      </c>
      <c r="N10" s="3290"/>
      <c r="O10" s="3290"/>
      <c r="P10" s="3290"/>
      <c r="Q10" s="3290"/>
      <c r="R10" s="3291"/>
      <c r="S10" s="228">
        <f t="shared" si="1"/>
        <v>0</v>
      </c>
      <c r="T10" s="1367" t="s">
        <v>408</v>
      </c>
      <c r="U10" s="941">
        <v>2</v>
      </c>
      <c r="V10" s="1363" t="s">
        <v>412</v>
      </c>
      <c r="W10" s="1359">
        <f t="shared" si="2"/>
        <v>2</v>
      </c>
    </row>
    <row r="11" spans="1:23" ht="14.25" customHeight="1" x14ac:dyDescent="0.2">
      <c r="A11" s="684" t="s">
        <v>161</v>
      </c>
      <c r="B11" s="685" t="s">
        <v>175</v>
      </c>
      <c r="C11" s="710"/>
      <c r="D11" s="409"/>
      <c r="E11" s="948" t="s">
        <v>242</v>
      </c>
      <c r="F11" s="687" t="s">
        <v>42</v>
      </c>
      <c r="G11" s="688">
        <f>SUM(G4:G10)</f>
        <v>9.2207639759363344E-2</v>
      </c>
      <c r="H11" s="711"/>
      <c r="I11" s="712"/>
      <c r="J11" s="713"/>
      <c r="K11" s="714"/>
      <c r="L11" s="715"/>
      <c r="M11" s="716"/>
      <c r="N11" s="716"/>
      <c r="O11" s="716"/>
      <c r="P11" s="716"/>
      <c r="Q11" s="716"/>
      <c r="R11" s="716"/>
      <c r="S11" s="717"/>
      <c r="T11" s="718"/>
      <c r="U11" s="942"/>
      <c r="V11" s="1364"/>
    </row>
    <row r="12" spans="1:23" ht="14.25" customHeight="1" x14ac:dyDescent="0.2">
      <c r="A12" s="281" t="s">
        <v>186</v>
      </c>
      <c r="B12" s="855" t="s">
        <v>1089</v>
      </c>
      <c r="C12" s="946" t="s">
        <v>159</v>
      </c>
      <c r="D12" s="947" t="s">
        <v>160</v>
      </c>
      <c r="E12" s="398"/>
      <c r="F12" s="601"/>
      <c r="G12" s="601"/>
      <c r="H12" s="601"/>
      <c r="I12" s="601"/>
      <c r="J12" s="601"/>
      <c r="K12" s="398"/>
      <c r="L12" s="398"/>
      <c r="M12" s="398"/>
      <c r="N12" s="398"/>
      <c r="O12" s="398"/>
      <c r="P12" s="66"/>
      <c r="Q12" s="66"/>
      <c r="R12" s="66"/>
      <c r="S12" s="66"/>
    </row>
    <row r="13" spans="1:23" ht="14.25" customHeight="1" x14ac:dyDescent="0.2">
      <c r="A13" s="280" t="s">
        <v>348</v>
      </c>
      <c r="B13" s="699">
        <f>VLOOKUP(A14,Hardware!$A$2:$I$633,7,FALSE)</f>
        <v>51</v>
      </c>
      <c r="C13" s="945">
        <f>VLOOKUP(A14,Hardware!$A$2:$I$633,5,FALSE)</f>
        <v>3500</v>
      </c>
      <c r="D13" s="856">
        <f>C13</f>
        <v>3500</v>
      </c>
      <c r="E13" s="602"/>
      <c r="F13" s="622"/>
      <c r="G13" s="622"/>
      <c r="H13" s="622"/>
      <c r="I13" s="622"/>
      <c r="J13" s="622"/>
      <c r="K13" s="622"/>
      <c r="L13" s="622"/>
      <c r="M13" s="398"/>
      <c r="N13" s="603"/>
      <c r="O13" s="3280"/>
      <c r="P13" s="66"/>
      <c r="Q13" s="66"/>
      <c r="R13" s="66"/>
      <c r="S13" s="66"/>
    </row>
    <row r="14" spans="1:23" ht="14.25" customHeight="1" x14ac:dyDescent="0.2">
      <c r="A14" s="3284" t="s">
        <v>1223</v>
      </c>
      <c r="B14" s="3285"/>
      <c r="C14" s="1878" t="str">
        <f>G2&amp;" ("&amp;TEXT(O1,"0.0")&amp;"/core)"</f>
        <v>Arc18 (74.0/core)</v>
      </c>
      <c r="D14" s="623"/>
      <c r="E14" s="613"/>
      <c r="F14" s="617"/>
      <c r="G14" s="618"/>
      <c r="H14" s="618"/>
      <c r="I14" s="617"/>
      <c r="J14" s="619"/>
      <c r="K14" s="398"/>
      <c r="L14" s="398"/>
      <c r="M14" s="398"/>
      <c r="N14" s="604"/>
      <c r="O14" s="3280"/>
      <c r="P14" s="66"/>
      <c r="Q14" s="66"/>
      <c r="R14" s="66"/>
      <c r="S14" s="66"/>
    </row>
    <row r="15" spans="1:23" ht="14.25" customHeight="1" x14ac:dyDescent="0.2">
      <c r="A15" s="281" t="s">
        <v>430</v>
      </c>
      <c r="B15" s="282"/>
      <c r="C15" s="288" t="s">
        <v>303</v>
      </c>
      <c r="D15" s="276">
        <f>IF(OR($A$3&gt;0,$A$5&gt;0), G4,VLOOKUP($A$16,wfProfileRange,3,FALSE))</f>
        <v>2.0756756756756756E-2</v>
      </c>
      <c r="E15" s="613"/>
      <c r="F15" s="1940"/>
      <c r="G15" s="613"/>
      <c r="H15" s="1942"/>
      <c r="I15" s="617"/>
      <c r="J15" s="620"/>
      <c r="K15" s="620"/>
      <c r="L15" s="598"/>
      <c r="M15" s="620"/>
      <c r="N15" s="605"/>
      <c r="O15" s="3280"/>
      <c r="P15" s="66" t="s">
        <v>408</v>
      </c>
      <c r="Q15" s="66"/>
      <c r="R15" s="66"/>
      <c r="S15" s="66"/>
    </row>
    <row r="16" spans="1:23" ht="14.25" customHeight="1" x14ac:dyDescent="0.2">
      <c r="A16" s="3282" t="s">
        <v>1296</v>
      </c>
      <c r="B16" s="3283"/>
      <c r="C16" s="288"/>
      <c r="D16" s="276">
        <f>IF(OR($A$3&gt;0,$A$5&gt;0), G5,VLOOKUP($A$16,wfProfileRange,4,FALSE)*$B$18/B20)*$D$13/$C$13</f>
        <v>0</v>
      </c>
      <c r="E16" s="614"/>
      <c r="F16" s="621"/>
      <c r="G16" s="600"/>
      <c r="H16" s="1943"/>
      <c r="I16" s="617"/>
      <c r="J16" s="598"/>
      <c r="K16" s="598"/>
      <c r="L16" s="598"/>
      <c r="M16" s="600"/>
      <c r="N16" s="605"/>
      <c r="O16" s="3280"/>
      <c r="P16" s="66" t="s">
        <v>352</v>
      </c>
      <c r="Q16" s="66" t="s">
        <v>409</v>
      </c>
      <c r="R16" s="66"/>
      <c r="S16" s="66"/>
    </row>
    <row r="17" spans="1:19" ht="14.25" customHeight="1" x14ac:dyDescent="0.2">
      <c r="A17" s="280" t="s">
        <v>452</v>
      </c>
      <c r="B17" s="1993" t="str">
        <f>G2</f>
        <v>Arc18</v>
      </c>
      <c r="C17" s="288" t="str">
        <f>C6</f>
        <v>WEB</v>
      </c>
      <c r="D17" s="276">
        <f>IF(OR($A$3&gt;0,$A$5&gt;0),G6,VLOOKUP($A$16,wfProfileRange,5,FALSE)*$D$13/$C$13)</f>
        <v>6.9189189189189197E-3</v>
      </c>
      <c r="E17" s="615"/>
      <c r="F17" s="599"/>
      <c r="G17" s="599"/>
      <c r="H17" s="598"/>
      <c r="I17" s="617"/>
      <c r="J17" s="598"/>
      <c r="K17" s="600"/>
      <c r="L17" s="598"/>
      <c r="M17" s="600"/>
      <c r="N17" s="606"/>
      <c r="O17" s="607"/>
      <c r="P17" s="66" t="s">
        <v>354</v>
      </c>
      <c r="Q17" s="66" t="s">
        <v>410</v>
      </c>
      <c r="R17" s="66"/>
      <c r="S17" s="66"/>
    </row>
    <row r="18" spans="1:19" ht="14.25" customHeight="1" x14ac:dyDescent="0.2">
      <c r="A18" s="624">
        <v>0.21</v>
      </c>
      <c r="B18" s="1989">
        <f>IF(B12=D80,0.5*A18*B13/$O$1,A18*B13/$O$1)</f>
        <v>7.2364864864864861E-2</v>
      </c>
      <c r="C18" s="288" t="s">
        <v>970</v>
      </c>
      <c r="D18" s="276">
        <f>IF(OR($A$3&gt;0,$A$5&gt;0), G7,VLOOKUP($A$16,wfProfileRange,6,FALSE)*$B$18)*$D$13/$C$13</f>
        <v>0</v>
      </c>
      <c r="E18" s="616"/>
      <c r="F18" s="608"/>
      <c r="G18" s="3187"/>
      <c r="H18" s="608"/>
      <c r="I18" s="1939"/>
      <c r="J18" s="608"/>
      <c r="K18" s="608"/>
      <c r="L18" s="609"/>
      <c r="M18" s="610"/>
      <c r="N18" s="611"/>
      <c r="O18" s="612"/>
      <c r="P18" s="66" t="s">
        <v>353</v>
      </c>
      <c r="Q18" s="66"/>
      <c r="R18" s="66"/>
      <c r="S18" s="66"/>
    </row>
    <row r="19" spans="1:19" x14ac:dyDescent="0.2">
      <c r="A19" s="1985" t="s">
        <v>828</v>
      </c>
      <c r="B19" s="1990">
        <f>+B20/2</f>
        <v>7.2499999999999995E-2</v>
      </c>
      <c r="C19" s="288" t="s">
        <v>312</v>
      </c>
      <c r="D19" s="276">
        <f>IF(OR($A$3&gt;0,$A$5&gt;0), G8,VLOOKUP($A$16,wfProfileRange,7,FALSE)*B18/B20)*$D$13/$C$13</f>
        <v>5.5112043955323854E-2</v>
      </c>
    </row>
    <row r="20" spans="1:19" x14ac:dyDescent="0.2">
      <c r="A20" s="1986" t="s">
        <v>829</v>
      </c>
      <c r="B20" s="1991">
        <v>0.14499999999999999</v>
      </c>
      <c r="C20" s="288"/>
      <c r="D20" s="276">
        <f>IF(OR($A$3&gt;0,$A$5&gt;0), G9,VLOOKUP($A$16,wfProfileRange,8,FALSE)*B18/B20)*$D$13/$C$13</f>
        <v>0</v>
      </c>
      <c r="H20" s="1994" t="str">
        <f>"Note: Relationship between "&amp;B17&amp;" Service Time and display complexity."</f>
        <v>Note: Relationship between Arc18 Service Time and display complexity.</v>
      </c>
      <c r="I20" s="1995"/>
      <c r="J20" s="1995"/>
      <c r="K20" s="1995"/>
      <c r="L20" s="1995"/>
      <c r="M20" s="1995"/>
      <c r="N20" s="1995"/>
      <c r="O20" s="1996"/>
      <c r="P20" s="2635"/>
      <c r="Q20" s="2635"/>
    </row>
    <row r="21" spans="1:19" ht="17" thickBot="1" x14ac:dyDescent="0.25">
      <c r="A21" s="1987" t="s">
        <v>830</v>
      </c>
      <c r="B21" s="1992">
        <f>+B19*3</f>
        <v>0.21749999999999997</v>
      </c>
      <c r="C21" s="943" t="s">
        <v>288</v>
      </c>
      <c r="D21" s="680">
        <f>IF(OR($A$3&gt;0,$A$5&gt;0), G10,VLOOKUP($A$16,wfProfileRange,10,FALSE)*B18/B20)*$D$13/$C$13</f>
        <v>9.4199201283638179E-3</v>
      </c>
      <c r="G21" s="1941"/>
      <c r="H21" s="1997" t="str">
        <f>B20&amp;" is light AGD Wkstn 19x10 "&amp;C14&amp;" desktop render time with Small FGDB (MSD render time for a medium workflow)"</f>
        <v>0.145 is light AGD Wkstn 19x10 Arc18 (74.0/core) desktop render time with Small FGDB (MSD render time for a medium workflow)</v>
      </c>
      <c r="I21" s="1998"/>
      <c r="J21" s="1998"/>
      <c r="K21" s="1998"/>
      <c r="L21" s="1998"/>
      <c r="M21" s="1998"/>
      <c r="N21" s="1998"/>
      <c r="O21" s="1999"/>
      <c r="P21" s="2635"/>
      <c r="Q21" s="2635"/>
    </row>
    <row r="22" spans="1:19" ht="17" thickTop="1" x14ac:dyDescent="0.2">
      <c r="A22" s="1988" t="s">
        <v>831</v>
      </c>
      <c r="B22" s="2429" t="str">
        <f>IF(AND(A5=0,A8=0),FIXED(B18/B20,1)&amp;"x Med",FIXED(D19/K67,1)&amp;"x Med")</f>
        <v>0.5x Med</v>
      </c>
      <c r="C22" s="944" t="s">
        <v>42</v>
      </c>
      <c r="D22" s="681">
        <f>SUM(D15:D21)</f>
        <v>9.2207639759363344E-2</v>
      </c>
      <c r="G22" s="1941"/>
      <c r="H22" s="2000" t="str">
        <f>ROUND(B21,3)&amp;" is 1.5 x "&amp;B20&amp;" (MSD render time for a heavy workflow)"</f>
        <v>0.218 is 1.5 x 0.145 (MSD render time for a heavy workflow)</v>
      </c>
      <c r="I22" s="2001"/>
      <c r="J22" s="2001"/>
      <c r="K22" s="2001"/>
      <c r="L22" s="2001"/>
      <c r="M22" s="2001"/>
      <c r="N22" s="2001"/>
      <c r="O22" s="2002"/>
      <c r="P22" s="2635"/>
      <c r="Q22" s="2635"/>
    </row>
    <row r="23" spans="1:19" x14ac:dyDescent="0.2">
      <c r="C23" s="9"/>
      <c r="D23" s="875"/>
      <c r="G23" s="1941"/>
    </row>
    <row r="24" spans="1:19" x14ac:dyDescent="0.2">
      <c r="A24" s="25" t="s">
        <v>1911</v>
      </c>
      <c r="B24" s="2656">
        <v>0.42</v>
      </c>
      <c r="D24" s="371"/>
      <c r="F24" s="324"/>
      <c r="G24" s="1941"/>
    </row>
    <row r="25" spans="1:19" x14ac:dyDescent="0.2">
      <c r="A25" s="25" t="s">
        <v>1090</v>
      </c>
      <c r="B25" s="2656">
        <v>0.21</v>
      </c>
      <c r="F25" s="324"/>
      <c r="G25" s="1941"/>
    </row>
    <row r="26" spans="1:19" x14ac:dyDescent="0.2">
      <c r="A26" s="1963"/>
      <c r="B26" s="1964"/>
      <c r="C26" s="695"/>
      <c r="F26" s="1717"/>
      <c r="G26" s="1941"/>
    </row>
    <row r="27" spans="1:19" x14ac:dyDescent="0.2">
      <c r="A27" s="1963"/>
      <c r="B27" s="1964"/>
      <c r="G27" s="1941"/>
    </row>
    <row r="28" spans="1:19" x14ac:dyDescent="0.2">
      <c r="A28" s="2656"/>
      <c r="B28" s="1964"/>
      <c r="G28" s="1941"/>
    </row>
    <row r="29" spans="1:19" x14ac:dyDescent="0.2">
      <c r="B29" s="1964"/>
    </row>
    <row r="30" spans="1:19" x14ac:dyDescent="0.2">
      <c r="A30" s="1965"/>
      <c r="B30" s="1962"/>
    </row>
    <row r="31" spans="1:19" x14ac:dyDescent="0.2">
      <c r="A31" s="1966"/>
      <c r="B31" s="1964"/>
    </row>
    <row r="32" spans="1:19" x14ac:dyDescent="0.2">
      <c r="A32" s="1963"/>
      <c r="B32" s="1964"/>
    </row>
    <row r="33" spans="1:2" x14ac:dyDescent="0.2">
      <c r="A33" s="2656"/>
      <c r="B33" s="1964"/>
    </row>
    <row r="34" spans="1:2" x14ac:dyDescent="0.2">
      <c r="B34" s="1964"/>
    </row>
    <row r="35" spans="1:2" x14ac:dyDescent="0.2">
      <c r="A35" s="1961"/>
      <c r="B35" s="1962"/>
    </row>
    <row r="36" spans="1:2" x14ac:dyDescent="0.2">
      <c r="A36" s="1967"/>
      <c r="B36" s="1964"/>
    </row>
    <row r="37" spans="1:2" x14ac:dyDescent="0.2">
      <c r="A37" s="10"/>
      <c r="B37" s="1964"/>
    </row>
    <row r="38" spans="1:2" x14ac:dyDescent="0.2">
      <c r="A38" s="1963"/>
      <c r="B38" s="1964"/>
    </row>
    <row r="39" spans="1:2" x14ac:dyDescent="0.2">
      <c r="A39" s="10"/>
      <c r="B39" s="1964"/>
    </row>
    <row r="40" spans="1:2" x14ac:dyDescent="0.2">
      <c r="B40" s="1964"/>
    </row>
    <row r="41" spans="1:2" x14ac:dyDescent="0.2">
      <c r="B41" s="1968"/>
    </row>
    <row r="42" spans="1:2" x14ac:dyDescent="0.2">
      <c r="B42" s="1968"/>
    </row>
    <row r="43" spans="1:2" x14ac:dyDescent="0.2">
      <c r="A43" s="1961"/>
      <c r="B43" s="1962"/>
    </row>
    <row r="44" spans="1:2" x14ac:dyDescent="0.2">
      <c r="A44" s="10"/>
      <c r="B44" s="1964"/>
    </row>
    <row r="45" spans="1:2" x14ac:dyDescent="0.2">
      <c r="B45" s="1968"/>
    </row>
    <row r="60" spans="1:15" x14ac:dyDescent="0.2">
      <c r="A60" s="300"/>
      <c r="B60" s="9"/>
      <c r="D60" s="1297"/>
    </row>
    <row r="61" spans="1:15" x14ac:dyDescent="0.2">
      <c r="A61" s="300"/>
      <c r="B61" s="9"/>
      <c r="D61" s="1297"/>
    </row>
    <row r="62" spans="1:15" x14ac:dyDescent="0.2">
      <c r="D62" s="1297"/>
    </row>
    <row r="64" spans="1:15" hidden="1" x14ac:dyDescent="0.2">
      <c r="E64" s="25">
        <v>1</v>
      </c>
      <c r="F64" s="25">
        <f>+E64+1</f>
        <v>2</v>
      </c>
      <c r="G64" s="25">
        <f t="shared" ref="G64:N64" si="7">+F64+1</f>
        <v>3</v>
      </c>
      <c r="H64" s="25">
        <f t="shared" si="7"/>
        <v>4</v>
      </c>
      <c r="I64" s="25">
        <f t="shared" si="7"/>
        <v>5</v>
      </c>
      <c r="J64" s="25">
        <f t="shared" si="7"/>
        <v>6</v>
      </c>
      <c r="K64" s="25">
        <f t="shared" si="7"/>
        <v>7</v>
      </c>
      <c r="L64" s="25">
        <f t="shared" si="7"/>
        <v>8</v>
      </c>
      <c r="M64" s="25">
        <f t="shared" si="7"/>
        <v>9</v>
      </c>
      <c r="N64" s="25">
        <f t="shared" si="7"/>
        <v>10</v>
      </c>
      <c r="O64" s="25">
        <v>11</v>
      </c>
    </row>
    <row r="65" spans="1:16" hidden="1" x14ac:dyDescent="0.2">
      <c r="A65" s="280" t="s">
        <v>452</v>
      </c>
      <c r="B65" s="1296" t="str">
        <f>G2</f>
        <v>Arc18</v>
      </c>
      <c r="E65" s="240" t="s">
        <v>429</v>
      </c>
      <c r="F65" s="241"/>
      <c r="G65" s="241"/>
      <c r="H65" s="241"/>
      <c r="I65" s="241"/>
      <c r="J65" s="241"/>
      <c r="K65" s="241"/>
      <c r="L65" s="241"/>
      <c r="M65" s="241"/>
      <c r="N65" s="242"/>
      <c r="O65" s="1938"/>
    </row>
    <row r="66" spans="1:16" hidden="1" x14ac:dyDescent="0.2">
      <c r="A66" s="1948" t="s">
        <v>828</v>
      </c>
      <c r="B66" s="329">
        <f>+B67/2</f>
        <v>7.2499999999999995E-2</v>
      </c>
      <c r="E66" s="243" t="s">
        <v>428</v>
      </c>
      <c r="F66" s="113" t="s">
        <v>308</v>
      </c>
      <c r="G66" s="112" t="s">
        <v>303</v>
      </c>
      <c r="H66" s="112" t="s">
        <v>333</v>
      </c>
      <c r="I66" s="113" t="s">
        <v>367</v>
      </c>
      <c r="J66" s="113" t="s">
        <v>320</v>
      </c>
      <c r="K66" s="113" t="s">
        <v>312</v>
      </c>
      <c r="L66" s="114" t="s">
        <v>330</v>
      </c>
      <c r="M66" s="113" t="s">
        <v>308</v>
      </c>
      <c r="N66" s="244" t="s">
        <v>329</v>
      </c>
      <c r="O66" s="244" t="s">
        <v>354</v>
      </c>
    </row>
    <row r="67" spans="1:16" hidden="1" x14ac:dyDescent="0.2">
      <c r="A67" s="1949" t="s">
        <v>829</v>
      </c>
      <c r="B67" s="330">
        <f>B20</f>
        <v>0.14499999999999999</v>
      </c>
      <c r="E67" s="245" t="s">
        <v>1296</v>
      </c>
      <c r="F67" s="333">
        <v>2.1339999999999999</v>
      </c>
      <c r="G67" s="872">
        <v>2.0756756756756756E-2</v>
      </c>
      <c r="H67" s="872">
        <v>0</v>
      </c>
      <c r="I67" s="872">
        <v>6.9189189189189189E-3</v>
      </c>
      <c r="J67" s="872">
        <v>0</v>
      </c>
      <c r="K67" s="872">
        <v>0.11042992187499999</v>
      </c>
      <c r="L67" s="872">
        <v>0</v>
      </c>
      <c r="M67" s="333">
        <v>13.34</v>
      </c>
      <c r="N67" s="873">
        <v>1.8875022031250001E-2</v>
      </c>
      <c r="O67" s="874">
        <f>G67+I67</f>
        <v>2.7675675675675675E-2</v>
      </c>
      <c r="P67" s="1941"/>
    </row>
    <row r="68" spans="1:16" hidden="1" x14ac:dyDescent="0.2">
      <c r="A68" s="1950" t="s">
        <v>830</v>
      </c>
      <c r="B68" s="331">
        <f>+B66*3</f>
        <v>0.21749999999999997</v>
      </c>
      <c r="E68" s="246"/>
      <c r="F68" s="247"/>
      <c r="G68" s="247"/>
      <c r="H68" s="247"/>
      <c r="I68" s="247"/>
      <c r="J68" s="247"/>
      <c r="K68" s="247"/>
      <c r="L68" s="247"/>
      <c r="M68" s="247"/>
      <c r="N68" s="248"/>
      <c r="O68" s="248"/>
    </row>
    <row r="69" spans="1:16" hidden="1" x14ac:dyDescent="0.2">
      <c r="A69" s="1951" t="s">
        <v>831</v>
      </c>
      <c r="B69" s="1952"/>
      <c r="E69" s="1251" t="s">
        <v>582</v>
      </c>
      <c r="G69" s="814">
        <f>A18</f>
        <v>0.21</v>
      </c>
    </row>
    <row r="70" spans="1:16" hidden="1" x14ac:dyDescent="0.2">
      <c r="A70" s="1953"/>
      <c r="B70" s="1954"/>
      <c r="E70" s="854" t="s">
        <v>1291</v>
      </c>
      <c r="F70" s="1250">
        <f t="shared" ref="F70:M70" si="8">VLOOKUP($E70,wfRange,F72,FALSE)</f>
        <v>2.1339999999999999</v>
      </c>
      <c r="G70" s="818">
        <f t="shared" si="8"/>
        <v>2.0756756756756756E-2</v>
      </c>
      <c r="H70" s="818">
        <f t="shared" si="8"/>
        <v>0</v>
      </c>
      <c r="I70" s="818">
        <f t="shared" si="8"/>
        <v>6.9189189189189189E-3</v>
      </c>
      <c r="J70" s="818">
        <f t="shared" si="8"/>
        <v>0</v>
      </c>
      <c r="K70" s="818">
        <f t="shared" si="8"/>
        <v>0.11042992187499999</v>
      </c>
      <c r="L70" s="818">
        <f t="shared" si="8"/>
        <v>0</v>
      </c>
      <c r="M70" s="1250">
        <f t="shared" si="8"/>
        <v>13.34</v>
      </c>
      <c r="N70" s="818">
        <f>VLOOKUP($E70,wfRange,N72,FALSE)</f>
        <v>1.8875022031250001E-2</v>
      </c>
      <c r="O70" s="1938">
        <f>G70+I70</f>
        <v>2.7675675675675675E-2</v>
      </c>
      <c r="P70" s="1941"/>
    </row>
    <row r="71" spans="1:16" hidden="1" x14ac:dyDescent="0.2">
      <c r="A71" s="1955"/>
      <c r="B71" s="1956"/>
      <c r="E71" s="245"/>
      <c r="F71" s="819"/>
      <c r="G71" s="820">
        <f t="shared" ref="G71:L71" si="9">G70/$A$18</f>
        <v>9.8841698841698841E-2</v>
      </c>
      <c r="H71" s="820">
        <f t="shared" si="9"/>
        <v>0</v>
      </c>
      <c r="I71" s="820">
        <f t="shared" si="9"/>
        <v>3.2947232947232945E-2</v>
      </c>
      <c r="J71" s="820">
        <f t="shared" si="9"/>
        <v>0</v>
      </c>
      <c r="K71" s="820">
        <f t="shared" si="9"/>
        <v>0.52585677083333326</v>
      </c>
      <c r="L71" s="820">
        <f t="shared" si="9"/>
        <v>0</v>
      </c>
      <c r="M71" s="820"/>
      <c r="N71" s="820">
        <f>N70/$A$18</f>
        <v>8.9881057291666677E-2</v>
      </c>
      <c r="O71" s="821">
        <f>O70/$A$18</f>
        <v>0.13178893178893178</v>
      </c>
    </row>
    <row r="72" spans="1:16" hidden="1" x14ac:dyDescent="0.2">
      <c r="A72" s="1955"/>
      <c r="B72" s="1956"/>
      <c r="E72" s="304" t="s">
        <v>221</v>
      </c>
      <c r="F72" s="1936">
        <v>3</v>
      </c>
      <c r="G72" s="1936">
        <f>F72+1</f>
        <v>4</v>
      </c>
      <c r="H72" s="1936">
        <f t="shared" ref="H72:M72" si="10">G72+1</f>
        <v>5</v>
      </c>
      <c r="I72" s="1936">
        <f t="shared" si="10"/>
        <v>6</v>
      </c>
      <c r="J72" s="1936">
        <f t="shared" si="10"/>
        <v>7</v>
      </c>
      <c r="K72" s="1936">
        <f t="shared" si="10"/>
        <v>8</v>
      </c>
      <c r="L72" s="1936">
        <f t="shared" si="10"/>
        <v>9</v>
      </c>
      <c r="M72" s="1936">
        <f t="shared" si="10"/>
        <v>10</v>
      </c>
      <c r="N72" s="1936">
        <v>11</v>
      </c>
      <c r="O72" s="1937">
        <v>14</v>
      </c>
    </row>
    <row r="73" spans="1:16" hidden="1" x14ac:dyDescent="0.2">
      <c r="A73" s="1955"/>
      <c r="B73" s="1956"/>
    </row>
    <row r="74" spans="1:16" hidden="1" x14ac:dyDescent="0.2">
      <c r="A74" s="398"/>
      <c r="B74" s="398"/>
    </row>
    <row r="75" spans="1:16" hidden="1" x14ac:dyDescent="0.2"/>
    <row r="76" spans="1:16" hidden="1" x14ac:dyDescent="0.2"/>
    <row r="77" spans="1:16" hidden="1" x14ac:dyDescent="0.2"/>
    <row r="78" spans="1:16" hidden="1" x14ac:dyDescent="0.2"/>
    <row r="79" spans="1:16" hidden="1" x14ac:dyDescent="0.2">
      <c r="A79" s="116"/>
      <c r="B79" s="299" t="s">
        <v>303</v>
      </c>
      <c r="C79" s="116" t="s">
        <v>351</v>
      </c>
      <c r="D79" s="116" t="s">
        <v>332</v>
      </c>
      <c r="E79" s="116"/>
      <c r="F79" s="116"/>
      <c r="G79" s="116"/>
      <c r="H79" s="116"/>
      <c r="I79" s="116"/>
      <c r="J79" s="116"/>
      <c r="K79" s="116" t="s">
        <v>296</v>
      </c>
      <c r="L79" s="116"/>
      <c r="M79" s="116"/>
      <c r="N79" s="116"/>
      <c r="O79" s="116"/>
    </row>
    <row r="80" spans="1:16" hidden="1" x14ac:dyDescent="0.2">
      <c r="B80" s="300" t="s">
        <v>356</v>
      </c>
      <c r="C80" s="63">
        <v>10</v>
      </c>
      <c r="D80" s="9" t="s">
        <v>1089</v>
      </c>
      <c r="E80" s="9"/>
      <c r="J80" s="9"/>
      <c r="K80" s="9">
        <v>10</v>
      </c>
      <c r="L80" s="124" t="s">
        <v>408</v>
      </c>
      <c r="M80" s="125">
        <v>1</v>
      </c>
      <c r="N80" s="1360" t="s">
        <v>412</v>
      </c>
    </row>
    <row r="81" spans="1:14" hidden="1" x14ac:dyDescent="0.2">
      <c r="B81" s="300" t="s">
        <v>387</v>
      </c>
      <c r="C81" s="63">
        <v>6</v>
      </c>
      <c r="D81" s="9" t="s">
        <v>1090</v>
      </c>
      <c r="E81" s="9"/>
      <c r="J81" s="9"/>
      <c r="K81" s="9">
        <v>1</v>
      </c>
      <c r="L81" s="123"/>
      <c r="M81" s="126">
        <v>1.2</v>
      </c>
      <c r="N81" s="1361" t="s">
        <v>413</v>
      </c>
    </row>
    <row r="82" spans="1:14" hidden="1" x14ac:dyDescent="0.2">
      <c r="D82" s="9" t="s">
        <v>333</v>
      </c>
      <c r="E82" s="9"/>
      <c r="K82" s="9">
        <v>0.1</v>
      </c>
      <c r="L82" s="123"/>
      <c r="M82" s="126">
        <v>1.2</v>
      </c>
      <c r="N82" s="1361" t="s">
        <v>411</v>
      </c>
    </row>
    <row r="83" spans="1:14" ht="17" hidden="1" thickBot="1" x14ac:dyDescent="0.25">
      <c r="K83" s="9">
        <v>0.01</v>
      </c>
      <c r="L83" s="208"/>
      <c r="M83" s="127">
        <v>1.2</v>
      </c>
      <c r="N83" s="1361" t="s">
        <v>414</v>
      </c>
    </row>
    <row r="84" spans="1:14" hidden="1" x14ac:dyDescent="0.2">
      <c r="K84" s="117" t="s">
        <v>352</v>
      </c>
      <c r="L84" s="124"/>
      <c r="M84" s="125">
        <v>2</v>
      </c>
      <c r="N84" s="1361" t="s">
        <v>415</v>
      </c>
    </row>
    <row r="85" spans="1:14" hidden="1" x14ac:dyDescent="0.2">
      <c r="K85" s="118" t="s">
        <v>354</v>
      </c>
      <c r="L85" s="208"/>
      <c r="M85" s="127"/>
      <c r="N85" s="490" t="s">
        <v>453</v>
      </c>
    </row>
    <row r="86" spans="1:14" ht="17" hidden="1" thickBot="1" x14ac:dyDescent="0.25">
      <c r="A86" s="2247" t="s">
        <v>1117</v>
      </c>
      <c r="B86" s="2233"/>
      <c r="C86" s="2233"/>
      <c r="D86" s="2234"/>
      <c r="K86" s="119" t="s">
        <v>353</v>
      </c>
    </row>
    <row r="87" spans="1:14" hidden="1" x14ac:dyDescent="0.2">
      <c r="A87" s="2235" t="s">
        <v>1406</v>
      </c>
      <c r="B87" s="2236"/>
      <c r="C87" s="2236"/>
      <c r="D87" s="2237"/>
    </row>
    <row r="88" spans="1:14" hidden="1" x14ac:dyDescent="0.2">
      <c r="A88" s="2238" t="s">
        <v>1407</v>
      </c>
      <c r="B88" s="2239"/>
      <c r="C88" s="2239"/>
      <c r="D88" s="2240"/>
    </row>
    <row r="89" spans="1:14" hidden="1" x14ac:dyDescent="0.2"/>
  </sheetData>
  <sheetProtection selectLockedCells="1"/>
  <mergeCells count="10">
    <mergeCell ref="A16:B16"/>
    <mergeCell ref="A14:B14"/>
    <mergeCell ref="M8:R8"/>
    <mergeCell ref="M9:R9"/>
    <mergeCell ref="M10:R10"/>
    <mergeCell ref="U1:U3"/>
    <mergeCell ref="J1:K1"/>
    <mergeCell ref="F1:G1"/>
    <mergeCell ref="O13:O16"/>
    <mergeCell ref="M2:N2"/>
  </mergeCells>
  <phoneticPr fontId="0" type="noConversion"/>
  <conditionalFormatting sqref="F4:F10">
    <cfRule type="expression" dxfId="1842" priority="68" stopIfTrue="1">
      <formula>ABS(F4-S4)&lt;0.01</formula>
    </cfRule>
  </conditionalFormatting>
  <conditionalFormatting sqref="E4:E10">
    <cfRule type="expression" dxfId="1841" priority="18" stopIfTrue="1">
      <formula>IF(T4=$P$15,FALSE,TRUE)</formula>
    </cfRule>
    <cfRule type="expression" dxfId="1840" priority="60" stopIfTrue="1">
      <formula>D4=0</formula>
    </cfRule>
  </conditionalFormatting>
  <conditionalFormatting sqref="A7">
    <cfRule type="expression" dxfId="1839" priority="88" stopIfTrue="1">
      <formula>IF(C81="seconds",A7&gt;1,FALSE)</formula>
    </cfRule>
    <cfRule type="expression" dxfId="1838" priority="89" stopIfTrue="1">
      <formula>IF(C81="seconds",A7&gt;0.75,FALSE)</formula>
    </cfRule>
  </conditionalFormatting>
  <conditionalFormatting sqref="N3:N4">
    <cfRule type="expression" dxfId="1837" priority="69" stopIfTrue="1">
      <formula>N3=0</formula>
    </cfRule>
  </conditionalFormatting>
  <conditionalFormatting sqref="A10">
    <cfRule type="expression" dxfId="1836" priority="30" stopIfTrue="1">
      <formula>$A$3&gt;0</formula>
    </cfRule>
  </conditionalFormatting>
  <conditionalFormatting sqref="A4:A6">
    <cfRule type="expression" dxfId="1835" priority="25" stopIfTrue="1">
      <formula>$A$3&gt;0</formula>
    </cfRule>
  </conditionalFormatting>
  <conditionalFormatting sqref="U4:V10">
    <cfRule type="expression" dxfId="1834" priority="10" stopIfTrue="1">
      <formula>T4=$L$80</formula>
    </cfRule>
  </conditionalFormatting>
  <conditionalFormatting sqref="T4:T10">
    <cfRule type="expression" dxfId="1833" priority="9" stopIfTrue="1">
      <formula>T4=$L$80</formula>
    </cfRule>
  </conditionalFormatting>
  <conditionalFormatting sqref="A12:B16">
    <cfRule type="expression" dxfId="1832" priority="8" stopIfTrue="1">
      <formula>OR($A$3&gt;0,$A$5&gt;0)</formula>
    </cfRule>
  </conditionalFormatting>
  <conditionalFormatting sqref="D13">
    <cfRule type="expression" dxfId="1831" priority="7" stopIfTrue="1">
      <formula>$D$13=$C$13</formula>
    </cfRule>
  </conditionalFormatting>
  <conditionalFormatting sqref="A69:B69">
    <cfRule type="expression" dxfId="1830" priority="5" stopIfTrue="1">
      <formula>OR($A$3&gt;0,$A$5&gt;0)</formula>
    </cfRule>
  </conditionalFormatting>
  <conditionalFormatting sqref="A18">
    <cfRule type="expression" dxfId="1829" priority="4" stopIfTrue="1">
      <formula>OR($A$3&gt;0,$A$5&gt;0)</formula>
    </cfRule>
  </conditionalFormatting>
  <conditionalFormatting sqref="O2">
    <cfRule type="expression" dxfId="1828" priority="3" stopIfTrue="1">
      <formula>$N$3=0</formula>
    </cfRule>
  </conditionalFormatting>
  <conditionalFormatting sqref="B17:B21">
    <cfRule type="expression" dxfId="1827" priority="2">
      <formula>OR($A$3&gt;0,$A$5&gt;0)</formula>
    </cfRule>
  </conditionalFormatting>
  <conditionalFormatting sqref="A19:A22">
    <cfRule type="expression" dxfId="1826" priority="1">
      <formula>OR($A$3&gt;0,$A$5&gt;0)</formula>
    </cfRule>
  </conditionalFormatting>
  <conditionalFormatting sqref="P2">
    <cfRule type="expression" dxfId="1825" priority="65778" stopIfTrue="1">
      <formula>$P$2=$K$85</formula>
    </cfRule>
  </conditionalFormatting>
  <conditionalFormatting sqref="E11">
    <cfRule type="expression" dxfId="1824" priority="65779" stopIfTrue="1">
      <formula>$T$8=$L$80</formula>
    </cfRule>
  </conditionalFormatting>
  <conditionalFormatting sqref="A9">
    <cfRule type="expression" dxfId="1823" priority="65780" stopIfTrue="1">
      <formula>$A$3&gt;0</formula>
    </cfRule>
    <cfRule type="expression" dxfId="1822" priority="65781" stopIfTrue="1">
      <formula>IF($N$7&gt;$A$9,IF($A$1=$B$80,TRUE,FALSE),IF(ABS($P$6-$P$7)&lt;0.01,FALSE,TRUE))</formula>
    </cfRule>
  </conditionalFormatting>
  <dataValidations count="11">
    <dataValidation type="list" allowBlank="1" showInputMessage="1" showErrorMessage="1" sqref="E70">
      <formula1>wfList</formula1>
    </dataValidation>
    <dataValidation type="list" allowBlank="1" showInputMessage="1" showErrorMessage="1" sqref="B12">
      <formula1>$D$80:$D$81</formula1>
    </dataValidation>
    <dataValidation type="list" allowBlank="1" showInputMessage="1" showErrorMessage="1" sqref="Q2">
      <formula1>$K$80:$K$83</formula1>
    </dataValidation>
    <dataValidation type="list" allowBlank="1" showInputMessage="1" showErrorMessage="1" sqref="P2">
      <formula1>$K$84:$K$86</formula1>
    </dataValidation>
    <dataValidation type="list" allowBlank="1" showInputMessage="1" showErrorMessage="1" sqref="E1">
      <formula1>$Q$16:$Q$17</formula1>
    </dataValidation>
    <dataValidation type="list" allowBlank="1" showInputMessage="1" showErrorMessage="1" sqref="E4:E10">
      <formula1>IF($E$1=$Q$16,hwFAVORITES,ServerCandidates)</formula1>
    </dataValidation>
    <dataValidation type="list" allowBlank="1" showInputMessage="1" showErrorMessage="1" sqref="T4:T10">
      <formula1>$L$80:$L$85</formula1>
    </dataValidation>
    <dataValidation type="list" allowBlank="1" showInputMessage="1" showErrorMessage="1" sqref="A1">
      <formula1>$B$80:$B$81</formula1>
    </dataValidation>
    <dataValidation type="list" allowBlank="1" showInputMessage="1" showErrorMessage="1" sqref="A14">
      <formula1>HWList</formula1>
    </dataValidation>
    <dataValidation type="list" allowBlank="1" showInputMessage="1" showErrorMessage="1" sqref="V4:V10">
      <formula1>$N$80:$N$85</formula1>
    </dataValidation>
    <dataValidation type="list" allowBlank="1" showInputMessage="1" showErrorMessage="1" sqref="A16:B16">
      <formula1>$E$67:$E$67</formula1>
    </dataValidation>
  </dataValidations>
  <hyperlinks>
    <hyperlink ref="A11" r:id="rId1" location="SPEC_performance_benchmarks"/>
    <hyperlink ref="B11" r:id="rId2" location="Use_MXDPerfStat_to_measure_map_display_complexity"/>
  </hyperlinks>
  <pageMargins left="0.75" right="0.75" top="1" bottom="1" header="0.5" footer="0.5"/>
  <pageSetup orientation="portrait" r:id="rId3"/>
  <headerFooter alignWithMargins="0"/>
  <drawing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>
    <tabColor rgb="FF4D4D4D"/>
  </sheetPr>
  <dimension ref="A1:V648"/>
  <sheetViews>
    <sheetView topLeftCell="A2" workbookViewId="0">
      <selection activeCell="A635" sqref="A635"/>
    </sheetView>
  </sheetViews>
  <sheetFormatPr baseColWidth="10" defaultColWidth="9.1640625" defaultRowHeight="13" outlineLevelRow="2" x14ac:dyDescent="0.15"/>
  <cols>
    <col min="1" max="1" width="42.6640625" style="31" customWidth="1"/>
    <col min="2" max="2" width="21.5" style="31" customWidth="1"/>
    <col min="3" max="3" width="12.6640625" style="31" customWidth="1"/>
    <col min="4" max="4" width="8.5" style="31" customWidth="1"/>
    <col min="5" max="5" width="9.33203125" style="31" customWidth="1"/>
    <col min="6" max="6" width="8.33203125" style="31" customWidth="1"/>
    <col min="7" max="7" width="7.5" style="31" bestFit="1" customWidth="1"/>
    <col min="8" max="8" width="7.6640625" style="2609" bestFit="1" customWidth="1"/>
    <col min="9" max="9" width="10.5" style="31" bestFit="1" customWidth="1"/>
    <col min="10" max="10" width="8.5" style="1378" customWidth="1"/>
    <col min="11" max="11" width="12.5" style="31" customWidth="1"/>
    <col min="12" max="15" width="10" style="31" customWidth="1"/>
    <col min="16" max="17" width="9.33203125" style="31" customWidth="1"/>
    <col min="18" max="18" width="10.83203125" style="31" customWidth="1"/>
    <col min="19" max="19" width="14" style="31" customWidth="1"/>
    <col min="20" max="20" width="10.83203125" style="31" bestFit="1" customWidth="1"/>
    <col min="21" max="21" width="9.1640625" style="31" customWidth="1"/>
    <col min="22" max="28" width="9.1640625" style="31"/>
    <col min="29" max="29" width="30.83203125" style="31" customWidth="1"/>
    <col min="30" max="30" width="17.5" style="31" customWidth="1"/>
    <col min="31" max="32" width="9.1640625" style="31" customWidth="1"/>
    <col min="33" max="16384" width="9.1640625" style="31"/>
  </cols>
  <sheetData>
    <row r="1" spans="1:20" hidden="1" outlineLevel="1" x14ac:dyDescent="0.15">
      <c r="A1" s="49">
        <f>COLUMN()</f>
        <v>1</v>
      </c>
      <c r="B1" s="49">
        <f>COLUMN()</f>
        <v>2</v>
      </c>
      <c r="C1" s="49">
        <f>COLUMN()</f>
        <v>3</v>
      </c>
      <c r="D1" s="49">
        <f>COLUMN()</f>
        <v>4</v>
      </c>
      <c r="E1" s="49">
        <f>COLUMN()</f>
        <v>5</v>
      </c>
      <c r="F1" s="49">
        <f>COLUMN()</f>
        <v>6</v>
      </c>
      <c r="G1" s="49">
        <f>COLUMN()</f>
        <v>7</v>
      </c>
      <c r="H1" s="2598">
        <f>COLUMN()</f>
        <v>8</v>
      </c>
      <c r="I1" s="49">
        <f>COLUMN()</f>
        <v>9</v>
      </c>
      <c r="J1" s="49">
        <f>COLUMN()</f>
        <v>10</v>
      </c>
    </row>
    <row r="2" spans="1:20" collapsed="1" x14ac:dyDescent="0.15">
      <c r="A2" s="1923" t="s">
        <v>338</v>
      </c>
      <c r="B2" s="1922" t="s">
        <v>161</v>
      </c>
      <c r="C2" s="637" t="s">
        <v>275</v>
      </c>
      <c r="D2" s="637" t="s">
        <v>270</v>
      </c>
      <c r="E2" s="638"/>
      <c r="F2" s="880" t="s">
        <v>271</v>
      </c>
      <c r="G2" s="642"/>
      <c r="H2" s="2599" t="s">
        <v>273</v>
      </c>
      <c r="I2" s="643" t="s">
        <v>337</v>
      </c>
      <c r="J2" s="2640" t="s">
        <v>339</v>
      </c>
      <c r="K2" s="949" t="s">
        <v>1696</v>
      </c>
    </row>
    <row r="3" spans="1:20" ht="16" x14ac:dyDescent="0.2">
      <c r="A3" s="664" t="s">
        <v>431</v>
      </c>
      <c r="B3" s="658" t="s">
        <v>337</v>
      </c>
      <c r="C3" s="652" t="s">
        <v>313</v>
      </c>
      <c r="D3" s="652" t="s">
        <v>339</v>
      </c>
      <c r="E3" s="653" t="s">
        <v>433</v>
      </c>
      <c r="F3" s="881" t="s">
        <v>272</v>
      </c>
      <c r="G3" s="881" t="s">
        <v>274</v>
      </c>
      <c r="H3" s="2600" t="s">
        <v>340</v>
      </c>
      <c r="I3" s="669" t="s">
        <v>314</v>
      </c>
      <c r="J3" s="2641" t="s">
        <v>173</v>
      </c>
      <c r="K3" s="31" t="s">
        <v>870</v>
      </c>
    </row>
    <row r="4" spans="1:20" x14ac:dyDescent="0.15">
      <c r="A4" s="665" t="s">
        <v>460</v>
      </c>
      <c r="B4" s="626" t="str">
        <f>A4</f>
        <v xml:space="preserve"> ==== Intel Desktop Candidates ======</v>
      </c>
      <c r="C4" s="2020" t="s">
        <v>1476</v>
      </c>
      <c r="D4" s="2021"/>
      <c r="E4" s="655"/>
      <c r="F4" s="2014"/>
      <c r="G4" s="2016"/>
      <c r="H4" s="2601"/>
      <c r="I4" s="668"/>
      <c r="J4" s="2642"/>
    </row>
    <row r="5" spans="1:20" s="693" customFormat="1" hidden="1" outlineLevel="1" x14ac:dyDescent="0.15">
      <c r="A5" s="628" t="s">
        <v>1843</v>
      </c>
      <c r="B5" s="689" t="str">
        <f>A5</f>
        <v xml:space="preserve"> ==== 2018 Desktop Platforms ====</v>
      </c>
      <c r="C5" s="690"/>
      <c r="D5" s="2022"/>
      <c r="E5" s="2023"/>
      <c r="F5" s="2010"/>
      <c r="G5" s="2017"/>
      <c r="H5" s="2602"/>
      <c r="I5" s="691"/>
      <c r="J5" s="692" t="s">
        <v>165</v>
      </c>
    </row>
    <row r="6" spans="1:20" hidden="1" outlineLevel="2" x14ac:dyDescent="0.15">
      <c r="A6" s="630" t="str">
        <f>CONCATENATE(B6," ",C6," core (",H6," chip) ",E6," MHz")&amp;IF(ISBLANK(F6),"**","")</f>
        <v>Xeon Gold 5122 4 core (1 chip) 3600 MHz</v>
      </c>
      <c r="B6" s="661" t="s">
        <v>1583</v>
      </c>
      <c r="C6" s="2024">
        <v>4</v>
      </c>
      <c r="D6" s="52">
        <v>4</v>
      </c>
      <c r="E6" s="639">
        <v>3600</v>
      </c>
      <c r="F6" s="2192">
        <v>279</v>
      </c>
      <c r="G6" s="2193">
        <f>F6/C6</f>
        <v>69.75</v>
      </c>
      <c r="H6" s="2603">
        <f>C6/D6</f>
        <v>1</v>
      </c>
      <c r="I6" s="646" t="s">
        <v>335</v>
      </c>
      <c r="J6" s="2048"/>
      <c r="K6" s="2647">
        <v>42401</v>
      </c>
      <c r="L6" s="1149"/>
      <c r="M6" s="1149"/>
      <c r="N6" s="1149"/>
      <c r="O6" s="1149"/>
      <c r="P6" s="2196"/>
      <c r="Q6" s="2196"/>
      <c r="R6" s="2196"/>
      <c r="S6" s="2196"/>
      <c r="T6" s="1149"/>
    </row>
    <row r="7" spans="1:20" hidden="1" outlineLevel="2" x14ac:dyDescent="0.15">
      <c r="A7" s="630" t="str">
        <f>CONCATENATE(B7," ",C7," core (",H7," chip) ",E7," MHz")&amp;IF(ISBLANK(F7),"**","")</f>
        <v>Xeon E3-1280v6 4 core (1 chip) 3900 MHz</v>
      </c>
      <c r="B7" s="661" t="s">
        <v>1593</v>
      </c>
      <c r="C7" s="2024">
        <v>4</v>
      </c>
      <c r="D7" s="52">
        <v>4</v>
      </c>
      <c r="E7" s="639">
        <v>3900</v>
      </c>
      <c r="F7" s="2192">
        <v>274</v>
      </c>
      <c r="G7" s="2193">
        <f>F7/C7</f>
        <v>68.5</v>
      </c>
      <c r="H7" s="2603">
        <f>C7/D7</f>
        <v>1</v>
      </c>
      <c r="I7" s="646" t="s">
        <v>335</v>
      </c>
      <c r="J7" s="2048"/>
      <c r="K7" s="2647">
        <v>42353</v>
      </c>
      <c r="L7" s="1149"/>
      <c r="M7" s="1149"/>
      <c r="N7" s="1149"/>
      <c r="O7" s="1149"/>
      <c r="P7" s="2196"/>
      <c r="Q7" s="2196"/>
      <c r="R7" s="2196"/>
      <c r="S7" s="2196"/>
      <c r="T7" s="1149"/>
    </row>
    <row r="8" spans="1:20" hidden="1" outlineLevel="2" x14ac:dyDescent="0.15">
      <c r="A8" s="630" t="str">
        <f>CONCATENATE(B8," ",C8," core (",H8," chip) ",E8," MHz")&amp;IF(ISBLANK(F8),"**","")</f>
        <v>Xeon E3-1270v6 4 core (1 chip) 3800 MHz</v>
      </c>
      <c r="B8" s="661" t="s">
        <v>1844</v>
      </c>
      <c r="C8" s="2024">
        <v>4</v>
      </c>
      <c r="D8" s="52">
        <v>4</v>
      </c>
      <c r="E8" s="639">
        <v>3800</v>
      </c>
      <c r="F8" s="2192">
        <v>274</v>
      </c>
      <c r="G8" s="2193">
        <f>F8/C8</f>
        <v>68.5</v>
      </c>
      <c r="H8" s="2603">
        <f>C8/D8</f>
        <v>1</v>
      </c>
      <c r="I8" s="646" t="s">
        <v>335</v>
      </c>
      <c r="J8" s="2048"/>
      <c r="K8" s="2647">
        <v>42401</v>
      </c>
      <c r="L8" s="1149"/>
      <c r="M8" s="1149"/>
      <c r="N8" s="1149"/>
      <c r="O8" s="1149"/>
      <c r="P8" s="2196"/>
      <c r="Q8" s="2196"/>
      <c r="R8" s="2196"/>
      <c r="S8" s="2196"/>
      <c r="T8" s="1149"/>
    </row>
    <row r="9" spans="1:20" s="693" customFormat="1" hidden="1" outlineLevel="1" collapsed="1" x14ac:dyDescent="0.15">
      <c r="A9" s="628" t="s">
        <v>1845</v>
      </c>
      <c r="B9" s="689" t="str">
        <f>A9</f>
        <v xml:space="preserve"> ==== 2017 Desktop Platforms ====</v>
      </c>
      <c r="C9" s="690"/>
      <c r="D9" s="2022"/>
      <c r="E9" s="2023"/>
      <c r="F9" s="2010"/>
      <c r="G9" s="2017"/>
      <c r="H9" s="2602"/>
      <c r="I9" s="691"/>
      <c r="J9" s="692" t="s">
        <v>165</v>
      </c>
    </row>
    <row r="10" spans="1:20" hidden="1" outlineLevel="2" x14ac:dyDescent="0.15">
      <c r="A10" s="630" t="str">
        <f>CONCATENATE(B10," ",C10," core (",H10," chip) ",E10," MHz")&amp;IF(ISBLANK(F10),"**","")</f>
        <v>Xeon Gold 5122 4 core (1 chip) 3600 MHz</v>
      </c>
      <c r="B10" s="661" t="s">
        <v>1583</v>
      </c>
      <c r="C10" s="2024">
        <v>4</v>
      </c>
      <c r="D10" s="52">
        <v>4</v>
      </c>
      <c r="E10" s="639">
        <v>3600</v>
      </c>
      <c r="F10" s="2192">
        <v>279</v>
      </c>
      <c r="G10" s="2193">
        <f>F10/C10</f>
        <v>69.75</v>
      </c>
      <c r="H10" s="2603">
        <f>C10/D10</f>
        <v>1</v>
      </c>
      <c r="I10" s="646" t="s">
        <v>335</v>
      </c>
      <c r="J10" s="2048"/>
      <c r="K10" s="2647">
        <v>42401</v>
      </c>
      <c r="L10" s="1149"/>
      <c r="M10" s="1149"/>
      <c r="N10" s="1149"/>
      <c r="O10" s="1149"/>
      <c r="P10" s="2196"/>
      <c r="Q10" s="2196"/>
      <c r="R10" s="2196"/>
      <c r="S10" s="2196"/>
      <c r="T10" s="1149"/>
    </row>
    <row r="11" spans="1:20" hidden="1" outlineLevel="2" x14ac:dyDescent="0.15">
      <c r="A11" s="630" t="str">
        <f>CONCATENATE(B11," ",C11," core (",H11," chip) ",E11," MHz")&amp;IF(ISBLANK(F11),"**","")</f>
        <v>Xeon E3-1280v6 4 core (1 chip) 3900 MHz</v>
      </c>
      <c r="B11" s="661" t="s">
        <v>1593</v>
      </c>
      <c r="C11" s="2024">
        <v>4</v>
      </c>
      <c r="D11" s="52">
        <v>4</v>
      </c>
      <c r="E11" s="639">
        <v>3900</v>
      </c>
      <c r="F11" s="2192">
        <v>274</v>
      </c>
      <c r="G11" s="2193">
        <f>F11/C11</f>
        <v>68.5</v>
      </c>
      <c r="H11" s="2603">
        <f>C11/D11</f>
        <v>1</v>
      </c>
      <c r="I11" s="646" t="s">
        <v>335</v>
      </c>
      <c r="J11" s="2048"/>
      <c r="K11" s="2647">
        <v>42353</v>
      </c>
      <c r="L11" s="1149"/>
      <c r="M11" s="1149"/>
      <c r="N11" s="1149"/>
      <c r="O11" s="1149"/>
      <c r="P11" s="2196"/>
      <c r="Q11" s="2196"/>
      <c r="R11" s="2196"/>
      <c r="S11" s="2196"/>
      <c r="T11" s="1149"/>
    </row>
    <row r="12" spans="1:20" hidden="1" outlineLevel="2" x14ac:dyDescent="0.15">
      <c r="A12" s="630" t="str">
        <f>CONCATENATE(B12," ",C12," core (",H12," chip) ",E12," MHz")&amp;IF(ISBLANK(F12),"**","")</f>
        <v>Xeon E3-1270v6 4 core (1 chip) 3800 MHz</v>
      </c>
      <c r="B12" s="661" t="s">
        <v>1844</v>
      </c>
      <c r="C12" s="2024">
        <v>4</v>
      </c>
      <c r="D12" s="52">
        <v>4</v>
      </c>
      <c r="E12" s="639">
        <v>3800</v>
      </c>
      <c r="F12" s="2192">
        <v>274</v>
      </c>
      <c r="G12" s="2193">
        <f>F12/C12</f>
        <v>68.5</v>
      </c>
      <c r="H12" s="2603">
        <f>C12/D12</f>
        <v>1</v>
      </c>
      <c r="I12" s="646" t="s">
        <v>335</v>
      </c>
      <c r="J12" s="2048"/>
      <c r="K12" s="2647">
        <v>42401</v>
      </c>
      <c r="L12" s="1149"/>
      <c r="M12" s="1149"/>
      <c r="N12" s="1149"/>
      <c r="O12" s="1149"/>
      <c r="P12" s="2196"/>
      <c r="Q12" s="2196"/>
      <c r="R12" s="2196"/>
      <c r="S12" s="2196"/>
      <c r="T12" s="1149"/>
    </row>
    <row r="13" spans="1:20" hidden="1" outlineLevel="2" x14ac:dyDescent="0.15">
      <c r="A13" s="630" t="str">
        <f>CONCATENATE(B13," ",C13," core (",H13," chip) ",E13," MHz")&amp;IF(ISBLANK(F13),"**","")</f>
        <v>Xeon E3-1240v6 4 core (1 chip) 3700 MHz</v>
      </c>
      <c r="B13" s="661" t="s">
        <v>1846</v>
      </c>
      <c r="C13" s="2024">
        <v>4</v>
      </c>
      <c r="D13" s="52">
        <v>4</v>
      </c>
      <c r="E13" s="639">
        <v>3700</v>
      </c>
      <c r="F13" s="2192">
        <v>269</v>
      </c>
      <c r="G13" s="2193">
        <f>F13/C13</f>
        <v>67.25</v>
      </c>
      <c r="H13" s="2603">
        <f>C13/D13</f>
        <v>1</v>
      </c>
      <c r="I13" s="646" t="s">
        <v>335</v>
      </c>
      <c r="J13" s="2048"/>
      <c r="K13" s="2647">
        <v>42401</v>
      </c>
      <c r="L13" s="1149"/>
      <c r="M13" s="1149"/>
      <c r="N13" s="1149"/>
      <c r="O13" s="1149"/>
      <c r="P13" s="2196"/>
      <c r="Q13" s="2196"/>
      <c r="R13" s="2196"/>
      <c r="S13" s="2196"/>
      <c r="T13" s="1149"/>
    </row>
    <row r="14" spans="1:20" hidden="1" outlineLevel="2" x14ac:dyDescent="0.15">
      <c r="A14" s="630" t="str">
        <f>CONCATENATE(B14," ",C14," core (",H14," chip) ",E14," MHz")&amp;IF(ISBLANK(F14),"**","")</f>
        <v>Xeon E3-1230v6 4 core (1 chip) 3500 MHz</v>
      </c>
      <c r="B14" s="661" t="s">
        <v>1847</v>
      </c>
      <c r="C14" s="2024">
        <v>4</v>
      </c>
      <c r="D14" s="52">
        <v>4</v>
      </c>
      <c r="E14" s="639">
        <v>3500</v>
      </c>
      <c r="F14" s="2192">
        <v>258</v>
      </c>
      <c r="G14" s="2193">
        <f>F14/C14</f>
        <v>64.5</v>
      </c>
      <c r="H14" s="2603">
        <f>C14/D14</f>
        <v>1</v>
      </c>
      <c r="I14" s="646" t="s">
        <v>335</v>
      </c>
      <c r="J14" s="2048"/>
      <c r="K14" s="2647">
        <v>42353</v>
      </c>
      <c r="L14" s="1149"/>
      <c r="M14" s="1149"/>
      <c r="N14" s="1149"/>
      <c r="O14" s="1149"/>
      <c r="P14" s="2196"/>
      <c r="Q14" s="2196"/>
      <c r="R14" s="2196"/>
      <c r="S14" s="2196"/>
      <c r="T14" s="1149"/>
    </row>
    <row r="15" spans="1:20" s="693" customFormat="1" hidden="1" outlineLevel="1" collapsed="1" x14ac:dyDescent="0.15">
      <c r="A15" s="628" t="s">
        <v>1331</v>
      </c>
      <c r="B15" s="689" t="str">
        <f>A15</f>
        <v xml:space="preserve"> ==== 2016 Desktop Platforms ====</v>
      </c>
      <c r="C15" s="690"/>
      <c r="D15" s="2022"/>
      <c r="E15" s="2023"/>
      <c r="F15" s="2010"/>
      <c r="G15" s="2017"/>
      <c r="H15" s="2602"/>
      <c r="I15" s="691"/>
      <c r="J15" s="692" t="s">
        <v>165</v>
      </c>
    </row>
    <row r="16" spans="1:20" hidden="1" outlineLevel="2" x14ac:dyDescent="0.15">
      <c r="A16" s="630" t="str">
        <f>CONCATENATE(B16," ",C16," core (",H16," chip) ",E16," MHz")&amp;IF(ISBLANK(F16),"**","")</f>
        <v>Intel Core i7-6700K 4 core (1 chip) 4000 MHz</v>
      </c>
      <c r="B16" s="661" t="s">
        <v>1391</v>
      </c>
      <c r="C16" s="2024">
        <v>4</v>
      </c>
      <c r="D16" s="52">
        <v>4</v>
      </c>
      <c r="E16" s="639">
        <v>4000</v>
      </c>
      <c r="F16" s="2192">
        <v>262</v>
      </c>
      <c r="G16" s="2193">
        <f>F16/C16</f>
        <v>65.5</v>
      </c>
      <c r="H16" s="2603">
        <f>C16/D16</f>
        <v>1</v>
      </c>
      <c r="I16" s="646" t="s">
        <v>335</v>
      </c>
      <c r="J16" s="2048"/>
      <c r="K16" s="2647">
        <v>42401</v>
      </c>
      <c r="L16" s="1149"/>
      <c r="M16" s="1149"/>
      <c r="N16" s="1149"/>
      <c r="O16" s="1149"/>
      <c r="P16" s="2196"/>
      <c r="Q16" s="2196"/>
      <c r="R16" s="2196"/>
      <c r="S16" s="2196"/>
      <c r="T16" s="1149"/>
    </row>
    <row r="17" spans="1:20" hidden="1" outlineLevel="2" x14ac:dyDescent="0.15">
      <c r="A17" s="630" t="str">
        <f>CONCATENATE(B17," ",C17," core (",H17," chip) ",E17," MHz")&amp;IF(ISBLANK(F17),"**","")</f>
        <v>Intel Core i7-6700 4 core (1 chip) 3400 MHz</v>
      </c>
      <c r="B17" s="661" t="s">
        <v>1390</v>
      </c>
      <c r="C17" s="2024">
        <v>4</v>
      </c>
      <c r="D17" s="52">
        <v>4</v>
      </c>
      <c r="E17" s="639">
        <v>3400</v>
      </c>
      <c r="F17" s="2192">
        <v>247</v>
      </c>
      <c r="G17" s="2193">
        <f>F17/C17</f>
        <v>61.75</v>
      </c>
      <c r="H17" s="2603">
        <f>C17/D17</f>
        <v>1</v>
      </c>
      <c r="I17" s="646" t="s">
        <v>335</v>
      </c>
      <c r="J17" s="2048"/>
      <c r="K17" s="2647">
        <v>42401</v>
      </c>
      <c r="L17" s="1149"/>
      <c r="M17" s="1149"/>
      <c r="N17" s="1149"/>
      <c r="O17" s="1149"/>
      <c r="P17" s="2196"/>
      <c r="Q17" s="2196"/>
      <c r="R17" s="2196"/>
      <c r="S17" s="2196"/>
      <c r="T17" s="1149"/>
    </row>
    <row r="18" spans="1:20" hidden="1" outlineLevel="2" x14ac:dyDescent="0.15">
      <c r="A18" s="630" t="str">
        <f>CONCATENATE(B18," ",C18," core (",H18," chip) ",E18," MHz")&amp;IF(ISBLANK(F18),"**","")</f>
        <v>Intel Core i7-5960X 8 core (1 chip) 4400 MHz</v>
      </c>
      <c r="B18" s="661" t="s">
        <v>1392</v>
      </c>
      <c r="C18" s="2024">
        <v>8</v>
      </c>
      <c r="D18" s="52">
        <v>8</v>
      </c>
      <c r="E18" s="639">
        <v>4400</v>
      </c>
      <c r="F18" s="2192">
        <v>529</v>
      </c>
      <c r="G18" s="2193">
        <f>F18/C18</f>
        <v>66.125</v>
      </c>
      <c r="H18" s="2603">
        <f>C18/D18</f>
        <v>1</v>
      </c>
      <c r="I18" s="646" t="s">
        <v>335</v>
      </c>
      <c r="J18" s="2048"/>
      <c r="K18" s="2647">
        <v>42401</v>
      </c>
      <c r="L18" s="1149"/>
      <c r="M18" s="1149"/>
      <c r="N18" s="1149"/>
      <c r="O18" s="1149"/>
      <c r="P18" s="2196"/>
      <c r="Q18" s="2196"/>
      <c r="R18" s="2196"/>
      <c r="S18" s="2196"/>
      <c r="T18" s="1149"/>
    </row>
    <row r="19" spans="1:20" hidden="1" outlineLevel="2" x14ac:dyDescent="0.15">
      <c r="A19" s="630" t="str">
        <f>CONCATENATE(B19," ",C19," core (",H19," chip) ",E19," MHz")&amp;IF(ISBLANK(F19),"**","")</f>
        <v>Intel E3-1270v5 4 core (1 chip) 3600 MHz</v>
      </c>
      <c r="B19" s="661" t="s">
        <v>1334</v>
      </c>
      <c r="C19" s="2024">
        <v>4</v>
      </c>
      <c r="D19" s="52">
        <v>4</v>
      </c>
      <c r="E19" s="639">
        <v>3600</v>
      </c>
      <c r="F19" s="2192">
        <v>258</v>
      </c>
      <c r="G19" s="2193">
        <f>F19/C19</f>
        <v>64.5</v>
      </c>
      <c r="H19" s="2603">
        <f>C19/D19</f>
        <v>1</v>
      </c>
      <c r="I19" s="646" t="s">
        <v>335</v>
      </c>
      <c r="J19" s="2048"/>
      <c r="K19" s="2647">
        <v>42401</v>
      </c>
      <c r="L19" s="1149"/>
      <c r="M19" s="1149"/>
      <c r="N19" s="1149"/>
      <c r="O19" s="1149"/>
      <c r="P19" s="2196"/>
      <c r="Q19" s="2196"/>
      <c r="R19" s="2196"/>
      <c r="S19" s="2196"/>
      <c r="T19" s="1149"/>
    </row>
    <row r="20" spans="1:20" hidden="1" outlineLevel="2" x14ac:dyDescent="0.15">
      <c r="A20" s="630" t="str">
        <f>CONCATENATE(B20," ",C20," core (",H20," chip) ",E20," MHz")&amp;IF(ISBLANK(F20),"**","")</f>
        <v>Intel E3-1280v5 4 core (1 chip) 3700 MHz</v>
      </c>
      <c r="B20" s="661" t="s">
        <v>1333</v>
      </c>
      <c r="C20" s="2024">
        <v>4</v>
      </c>
      <c r="D20" s="52">
        <v>4</v>
      </c>
      <c r="E20" s="639">
        <v>3700</v>
      </c>
      <c r="F20" s="2192">
        <v>252</v>
      </c>
      <c r="G20" s="2193">
        <f>F20/C20</f>
        <v>63</v>
      </c>
      <c r="H20" s="2603">
        <f>C20/D20</f>
        <v>1</v>
      </c>
      <c r="I20" s="646" t="s">
        <v>335</v>
      </c>
      <c r="J20" s="2048"/>
      <c r="K20" s="2647">
        <v>42353</v>
      </c>
      <c r="L20" s="1149"/>
      <c r="M20" s="1149"/>
      <c r="N20" s="1149"/>
      <c r="O20" s="1149"/>
      <c r="P20" s="2196"/>
      <c r="Q20" s="2196"/>
      <c r="R20" s="2196"/>
      <c r="S20" s="2196"/>
      <c r="T20" s="1149"/>
    </row>
    <row r="21" spans="1:20" s="693" customFormat="1" hidden="1" outlineLevel="1" collapsed="1" x14ac:dyDescent="0.15">
      <c r="A21" s="628" t="s">
        <v>1221</v>
      </c>
      <c r="B21" s="689" t="str">
        <f>A21</f>
        <v xml:space="preserve"> ==== 2015 Desktop Platforms ====</v>
      </c>
      <c r="C21" s="690"/>
      <c r="D21" s="2022"/>
      <c r="E21" s="2023"/>
      <c r="F21" s="2010"/>
      <c r="G21" s="2017"/>
      <c r="H21" s="2602"/>
      <c r="I21" s="691"/>
      <c r="J21" s="692" t="s">
        <v>165</v>
      </c>
      <c r="K21" s="2648"/>
    </row>
    <row r="22" spans="1:20" hidden="1" outlineLevel="2" x14ac:dyDescent="0.15">
      <c r="A22" s="630" t="str">
        <f>CONCATENATE(B22," ",C22," core (",H22," chip) ",E22," MHz")&amp;IF(ISBLANK(F22),"**","")</f>
        <v>Intel i7-5960X 8 core (1 chip) 4400 MHz</v>
      </c>
      <c r="B22" s="661" t="s">
        <v>1222</v>
      </c>
      <c r="C22" s="2024">
        <v>8</v>
      </c>
      <c r="D22" s="52">
        <v>8</v>
      </c>
      <c r="E22" s="639">
        <v>4400</v>
      </c>
      <c r="F22" s="2192">
        <v>529</v>
      </c>
      <c r="G22" s="2193">
        <f>F22/C22</f>
        <v>66.125</v>
      </c>
      <c r="H22" s="2603">
        <f>C22/D22</f>
        <v>1</v>
      </c>
      <c r="I22" s="646" t="s">
        <v>335</v>
      </c>
      <c r="J22" s="2048"/>
      <c r="K22" s="2647">
        <v>42156</v>
      </c>
      <c r="L22" s="1149"/>
      <c r="M22" s="1149"/>
      <c r="N22" s="1149"/>
      <c r="O22" s="1149"/>
      <c r="P22" s="2196"/>
      <c r="Q22" s="2196"/>
      <c r="R22" s="2196"/>
      <c r="S22" s="2196"/>
      <c r="T22" s="1149"/>
    </row>
    <row r="23" spans="1:20" s="693" customFormat="1" hidden="1" outlineLevel="1" collapsed="1" x14ac:dyDescent="0.15">
      <c r="A23" s="628" t="s">
        <v>913</v>
      </c>
      <c r="B23" s="689" t="str">
        <f>A23</f>
        <v xml:space="preserve"> ==== 2014 Desktop Platforms ====</v>
      </c>
      <c r="C23" s="690"/>
      <c r="D23" s="2022"/>
      <c r="E23" s="2023"/>
      <c r="F23" s="2010"/>
      <c r="G23" s="2017"/>
      <c r="H23" s="2602"/>
      <c r="I23" s="691"/>
      <c r="J23" s="692" t="s">
        <v>165</v>
      </c>
      <c r="K23" s="2648"/>
    </row>
    <row r="24" spans="1:20" hidden="1" outlineLevel="2" x14ac:dyDescent="0.15">
      <c r="A24" s="630" t="str">
        <f>CONCATENATE(B24," ",C24," core (",H24," chip) ",E24," MHz")&amp;IF(ISBLANK(F24),"**","")</f>
        <v>Intel Core i7-4790 4 core (1 chip) 4000 MHz</v>
      </c>
      <c r="B24" s="660" t="s">
        <v>1180</v>
      </c>
      <c r="C24" s="2024">
        <v>4</v>
      </c>
      <c r="D24" s="52">
        <v>4</v>
      </c>
      <c r="E24" s="639">
        <v>4000</v>
      </c>
      <c r="F24" s="2011">
        <v>215</v>
      </c>
      <c r="G24" s="2015">
        <f>F24/C24</f>
        <v>53.75</v>
      </c>
      <c r="H24" s="2604">
        <f>C24/D24</f>
        <v>1</v>
      </c>
      <c r="I24" s="646" t="s">
        <v>335</v>
      </c>
      <c r="J24" s="2048"/>
      <c r="K24" s="2649">
        <v>4400</v>
      </c>
    </row>
    <row r="25" spans="1:20" hidden="1" outlineLevel="2" x14ac:dyDescent="0.15">
      <c r="A25" s="630" t="str">
        <f>CONCATENATE(B25," ",C25," core (",H25," chip) ",E25," MHz")&amp;IF(ISBLANK(F25),"**","")</f>
        <v>Intel Core i7-4770K 4 core (1 chip) 3500 MHz</v>
      </c>
      <c r="B25" s="660" t="s">
        <v>1181</v>
      </c>
      <c r="C25" s="2024">
        <v>4</v>
      </c>
      <c r="D25" s="52">
        <v>4</v>
      </c>
      <c r="E25" s="639">
        <v>3500</v>
      </c>
      <c r="F25" s="2011">
        <v>204</v>
      </c>
      <c r="G25" s="2015">
        <f>F25/C25</f>
        <v>51</v>
      </c>
      <c r="H25" s="2604">
        <f>C25/D25</f>
        <v>1</v>
      </c>
      <c r="I25" s="646" t="s">
        <v>335</v>
      </c>
      <c r="J25" s="2048"/>
      <c r="K25" s="2649">
        <v>3900</v>
      </c>
    </row>
    <row r="26" spans="1:20" s="693" customFormat="1" hidden="1" outlineLevel="1" collapsed="1" x14ac:dyDescent="0.15">
      <c r="A26" s="628" t="s">
        <v>913</v>
      </c>
      <c r="B26" s="689" t="str">
        <f>A26</f>
        <v xml:space="preserve"> ==== 2014 Desktop Platforms ====</v>
      </c>
      <c r="C26" s="690"/>
      <c r="D26" s="2022"/>
      <c r="E26" s="2023"/>
      <c r="F26" s="2010"/>
      <c r="G26" s="2017"/>
      <c r="H26" s="2602"/>
      <c r="I26" s="691"/>
      <c r="J26" s="692" t="s">
        <v>165</v>
      </c>
      <c r="K26" s="2648"/>
    </row>
    <row r="27" spans="1:20" hidden="1" outlineLevel="2" x14ac:dyDescent="0.15">
      <c r="A27" s="630" t="str">
        <f>CONCATENATE(B27," ",C27," core (",H27," chip) ",E27," MHz")&amp;IF(ISBLANK(F27),"**","")</f>
        <v>Intel Core i3-4330 2 core (1 chip) 3500 MHz</v>
      </c>
      <c r="B27" s="660" t="s">
        <v>846</v>
      </c>
      <c r="C27" s="2024">
        <v>2</v>
      </c>
      <c r="D27" s="52">
        <v>2</v>
      </c>
      <c r="E27" s="639">
        <v>3500</v>
      </c>
      <c r="F27" s="2011">
        <v>111</v>
      </c>
      <c r="G27" s="2015">
        <f>F27/C27</f>
        <v>55.5</v>
      </c>
      <c r="H27" s="2604">
        <f>C27/D27</f>
        <v>1</v>
      </c>
      <c r="I27" s="646" t="s">
        <v>335</v>
      </c>
      <c r="J27" s="2048"/>
      <c r="K27" s="2650"/>
    </row>
    <row r="28" spans="1:20" hidden="1" outlineLevel="2" x14ac:dyDescent="0.15">
      <c r="A28" s="630" t="str">
        <f>CONCATENATE(B28," ",C28," core (",H28," chip) ",E28," MHz")&amp;IF(ISBLANK(F28),"**","")</f>
        <v>Xeon E3-1270v3 4 core (1 chip) 3500 MHz</v>
      </c>
      <c r="B28" s="660" t="s">
        <v>921</v>
      </c>
      <c r="C28" s="2024">
        <v>4</v>
      </c>
      <c r="D28" s="52">
        <v>4</v>
      </c>
      <c r="E28" s="639">
        <v>3500</v>
      </c>
      <c r="F28" s="2011">
        <v>212</v>
      </c>
      <c r="G28" s="2015">
        <f>F28/C28</f>
        <v>53</v>
      </c>
      <c r="H28" s="2604">
        <f>C28/D28</f>
        <v>1</v>
      </c>
      <c r="I28" s="646" t="s">
        <v>335</v>
      </c>
      <c r="J28" s="2048"/>
      <c r="K28" s="2650"/>
    </row>
    <row r="29" spans="1:20" hidden="1" outlineLevel="2" x14ac:dyDescent="0.15">
      <c r="A29" s="630" t="str">
        <f>CONCATENATE(B29," ",C29," core (",H29," chip) ",E29," MHz")&amp;IF(ISBLANK(F29),"**","")</f>
        <v>Intel Core i7-4770 4 core (1 chip) 3400 MHz</v>
      </c>
      <c r="B29" s="660" t="s">
        <v>912</v>
      </c>
      <c r="C29" s="2024">
        <v>4</v>
      </c>
      <c r="D29" s="52">
        <v>4</v>
      </c>
      <c r="E29" s="639">
        <v>3400</v>
      </c>
      <c r="F29" s="2011">
        <v>209</v>
      </c>
      <c r="G29" s="2015">
        <f>F29/C29</f>
        <v>52.25</v>
      </c>
      <c r="H29" s="2604">
        <f>C29/D29</f>
        <v>1</v>
      </c>
      <c r="I29" s="646" t="s">
        <v>335</v>
      </c>
      <c r="J29" s="2048"/>
      <c r="K29" s="2650"/>
    </row>
    <row r="30" spans="1:20" s="693" customFormat="1" hidden="1" outlineLevel="1" collapsed="1" x14ac:dyDescent="0.15">
      <c r="A30" s="628" t="s">
        <v>785</v>
      </c>
      <c r="B30" s="689" t="str">
        <f>A30</f>
        <v xml:space="preserve"> ==== 2013 Desktop Platforms ====</v>
      </c>
      <c r="C30" s="690"/>
      <c r="D30" s="2022"/>
      <c r="E30" s="2023"/>
      <c r="F30" s="2010"/>
      <c r="G30" s="2017"/>
      <c r="H30" s="2602"/>
      <c r="I30" s="691"/>
      <c r="J30" s="692" t="s">
        <v>165</v>
      </c>
      <c r="K30" s="2648"/>
    </row>
    <row r="31" spans="1:20" hidden="1" outlineLevel="2" x14ac:dyDescent="0.15">
      <c r="A31" s="630" t="str">
        <f>CONCATENATE(B31," ",C31," core (",H31," chip) ",E31," MHz")&amp;IF(ISBLANK(F31),"**","")</f>
        <v>Intel Core i3-4330 2 core (1 chip) 3500 MHz</v>
      </c>
      <c r="B31" s="660" t="s">
        <v>846</v>
      </c>
      <c r="C31" s="2024">
        <v>2</v>
      </c>
      <c r="D31" s="52">
        <v>2</v>
      </c>
      <c r="E31" s="639">
        <v>3500</v>
      </c>
      <c r="F31" s="2011">
        <v>111</v>
      </c>
      <c r="G31" s="2015">
        <f>F31/C31</f>
        <v>55.5</v>
      </c>
      <c r="H31" s="2604">
        <f>C31/D31</f>
        <v>1</v>
      </c>
      <c r="I31" s="646" t="s">
        <v>335</v>
      </c>
      <c r="J31" s="2048"/>
      <c r="K31" s="2650"/>
    </row>
    <row r="32" spans="1:20" hidden="1" outlineLevel="2" x14ac:dyDescent="0.15">
      <c r="A32" s="630" t="str">
        <f>CONCATENATE(B32," ",C32," core (",H32," chip) ",E32," MHz")&amp;IF(ISBLANK(F32),"**","")</f>
        <v>Xeon E3-1280 v3 4 core (1 chip) 3600 MHz</v>
      </c>
      <c r="B32" s="660" t="s">
        <v>847</v>
      </c>
      <c r="C32" s="2024">
        <v>4</v>
      </c>
      <c r="D32" s="52">
        <v>4</v>
      </c>
      <c r="E32" s="639">
        <v>3600</v>
      </c>
      <c r="F32" s="2011">
        <v>212</v>
      </c>
      <c r="G32" s="2015">
        <f>F32/C32</f>
        <v>53</v>
      </c>
      <c r="H32" s="2604">
        <f>C32/D32</f>
        <v>1</v>
      </c>
      <c r="I32" s="646" t="s">
        <v>335</v>
      </c>
      <c r="J32" s="2048"/>
      <c r="K32" s="2650"/>
    </row>
    <row r="33" spans="1:11" hidden="1" outlineLevel="2" x14ac:dyDescent="0.15">
      <c r="A33" s="630" t="str">
        <f>CONCATENATE(B33," ",C33," core (",H33," chip) ",E33," MHz")&amp;IF(ISBLANK(F33),"**","")</f>
        <v>Xeon E5-1620 4 core (1 chip) 3600 MHz</v>
      </c>
      <c r="B33" s="660" t="s">
        <v>689</v>
      </c>
      <c r="C33" s="2024">
        <v>4</v>
      </c>
      <c r="D33" s="52">
        <v>4</v>
      </c>
      <c r="E33" s="639">
        <v>3600</v>
      </c>
      <c r="F33" s="2011">
        <v>198</v>
      </c>
      <c r="G33" s="2015">
        <f>F33/C33</f>
        <v>49.5</v>
      </c>
      <c r="H33" s="2604">
        <f>C33/D33</f>
        <v>1</v>
      </c>
      <c r="I33" s="646" t="s">
        <v>335</v>
      </c>
      <c r="J33" s="2048">
        <v>130</v>
      </c>
      <c r="K33" s="2650"/>
    </row>
    <row r="34" spans="1:11" s="693" customFormat="1" hidden="1" outlineLevel="1" collapsed="1" x14ac:dyDescent="0.15">
      <c r="A34" s="628" t="s">
        <v>610</v>
      </c>
      <c r="B34" s="689" t="str">
        <f>A34</f>
        <v xml:space="preserve"> ==== 2012 Desktop Platforms ====</v>
      </c>
      <c r="C34" s="690"/>
      <c r="D34" s="2022"/>
      <c r="E34" s="2023"/>
      <c r="F34" s="2010"/>
      <c r="G34" s="2017"/>
      <c r="H34" s="2602"/>
      <c r="I34" s="691"/>
      <c r="J34" s="692" t="s">
        <v>165</v>
      </c>
      <c r="K34" s="2648"/>
    </row>
    <row r="35" spans="1:11" s="693" customFormat="1" hidden="1" outlineLevel="2" x14ac:dyDescent="0.15">
      <c r="A35" s="630" t="str">
        <f>CONCATENATE(B35," ",C35," core (",H35," chip) ",E35," MHz")</f>
        <v>Intel Xeon E5-2637 4 core (2 chip) 3000 MHz</v>
      </c>
      <c r="B35" s="661" t="s">
        <v>611</v>
      </c>
      <c r="C35" s="2025">
        <v>4</v>
      </c>
      <c r="D35" s="50">
        <v>2</v>
      </c>
      <c r="E35" s="639">
        <v>3000</v>
      </c>
      <c r="F35" s="2012">
        <v>185</v>
      </c>
      <c r="G35" s="2015">
        <f>IF(F35=0,"",F35/C35)</f>
        <v>46.25</v>
      </c>
      <c r="H35" s="2604">
        <f>IF(C35=0,"",C35/D35)</f>
        <v>2</v>
      </c>
      <c r="I35" s="647" t="s">
        <v>335</v>
      </c>
      <c r="J35" s="694">
        <v>95</v>
      </c>
      <c r="K35" s="2648"/>
    </row>
    <row r="36" spans="1:11" s="693" customFormat="1" hidden="1" outlineLevel="1" collapsed="1" x14ac:dyDescent="0.15">
      <c r="A36" s="628" t="s">
        <v>471</v>
      </c>
      <c r="B36" s="689" t="str">
        <f>A36</f>
        <v xml:space="preserve"> ==== 2011 Desktop Platforms ====</v>
      </c>
      <c r="C36" s="690"/>
      <c r="D36" s="2022"/>
      <c r="E36" s="2023"/>
      <c r="F36" s="2010"/>
      <c r="G36" s="2017"/>
      <c r="H36" s="2602"/>
      <c r="I36" s="691"/>
      <c r="J36" s="692" t="s">
        <v>165</v>
      </c>
      <c r="K36" s="2648"/>
    </row>
    <row r="37" spans="1:11" s="693" customFormat="1" hidden="1" outlineLevel="2" x14ac:dyDescent="0.15">
      <c r="A37" s="630" t="str">
        <f>CONCATENATE(B37," ",C37," core (",H37," chip) ",E37," MHz")</f>
        <v>Intel Core i7-2860QM 4 core (1 chip) 2500 MHz</v>
      </c>
      <c r="B37" s="661" t="s">
        <v>869</v>
      </c>
      <c r="C37" s="2025">
        <v>4</v>
      </c>
      <c r="D37" s="50">
        <v>4</v>
      </c>
      <c r="E37" s="639">
        <v>2500</v>
      </c>
      <c r="F37" s="2012">
        <v>122.2</v>
      </c>
      <c r="G37" s="2015">
        <f>IF(F37=0,"",F37/C37)</f>
        <v>30.55</v>
      </c>
      <c r="H37" s="2604">
        <f>IF(C37=0,"",C37/D37)</f>
        <v>1</v>
      </c>
      <c r="I37" s="647" t="s">
        <v>335</v>
      </c>
      <c r="J37" s="694">
        <v>45</v>
      </c>
      <c r="K37" s="2649">
        <v>3600</v>
      </c>
    </row>
    <row r="38" spans="1:11" s="693" customFormat="1" hidden="1" outlineLevel="2" x14ac:dyDescent="0.15">
      <c r="A38" s="630" t="str">
        <f>CONCATENATE(B38," ",C38," core (",H38," chip) ",E38," MHz")</f>
        <v>Intel Core i7-2600  4 core (1 chip) 3800 MHz</v>
      </c>
      <c r="B38" s="661" t="s">
        <v>472</v>
      </c>
      <c r="C38" s="2025">
        <v>4</v>
      </c>
      <c r="D38" s="50">
        <v>4</v>
      </c>
      <c r="E38" s="639">
        <v>3800</v>
      </c>
      <c r="F38" s="2012">
        <v>148</v>
      </c>
      <c r="G38" s="2015">
        <f>IF(F38=0,"",F38/C38)</f>
        <v>37</v>
      </c>
      <c r="H38" s="2604">
        <f>IF(C38=0,"",C38/D38)</f>
        <v>1</v>
      </c>
      <c r="I38" s="647" t="s">
        <v>335</v>
      </c>
      <c r="J38" s="694">
        <v>95</v>
      </c>
      <c r="K38" s="2648"/>
    </row>
    <row r="39" spans="1:11" s="693" customFormat="1" hidden="1" outlineLevel="2" x14ac:dyDescent="0.15">
      <c r="A39" s="630" t="str">
        <f>CONCATENATE(B39," ",C39," core (",H39," chip) ",E39," MHz")</f>
        <v>Intel Core i5-2500  4 core (1 chip) 3300 MHz</v>
      </c>
      <c r="B39" s="661" t="s">
        <v>473</v>
      </c>
      <c r="C39" s="2025">
        <v>4</v>
      </c>
      <c r="D39" s="50">
        <v>4</v>
      </c>
      <c r="E39" s="639">
        <v>3300</v>
      </c>
      <c r="F39" s="2012">
        <v>121</v>
      </c>
      <c r="G39" s="2015">
        <f>IF(F39=0,"",F39/C39)</f>
        <v>30.25</v>
      </c>
      <c r="H39" s="2604">
        <f>IF(C39=0,"",C39/D39)</f>
        <v>1</v>
      </c>
      <c r="I39" s="647" t="s">
        <v>335</v>
      </c>
      <c r="J39" s="694">
        <v>95</v>
      </c>
      <c r="K39" s="2648"/>
    </row>
    <row r="40" spans="1:11" s="693" customFormat="1" hidden="1" outlineLevel="2" x14ac:dyDescent="0.15">
      <c r="A40" s="630" t="str">
        <f>CONCATENATE(B40," ",C40," core (",H40," chip) ",E40," MHz")</f>
        <v>Intel Core i5-2400  4 core (1 chip) 3100 MHz</v>
      </c>
      <c r="B40" s="661" t="s">
        <v>474</v>
      </c>
      <c r="C40" s="2025">
        <v>4</v>
      </c>
      <c r="D40" s="50">
        <v>4</v>
      </c>
      <c r="E40" s="639">
        <v>3100</v>
      </c>
      <c r="F40" s="2012">
        <v>116</v>
      </c>
      <c r="G40" s="2015">
        <f>IF(F40=0,"",F40/C40)</f>
        <v>29</v>
      </c>
      <c r="H40" s="2604">
        <f>IF(C40=0,"",C40/D40)</f>
        <v>1</v>
      </c>
      <c r="I40" s="647" t="s">
        <v>335</v>
      </c>
      <c r="J40" s="694">
        <v>95</v>
      </c>
      <c r="K40" s="2648"/>
    </row>
    <row r="41" spans="1:11" s="693" customFormat="1" hidden="1" outlineLevel="2" x14ac:dyDescent="0.15">
      <c r="A41" s="630" t="str">
        <f>CONCATENATE(B41," ",C41," core (",H41," chip) ",E41," MHz")</f>
        <v>Intel Core i3-2120 2 core (1 chip) 3100 MHz</v>
      </c>
      <c r="B41" s="661" t="s">
        <v>475</v>
      </c>
      <c r="C41" s="2025">
        <v>2</v>
      </c>
      <c r="D41" s="50">
        <v>2</v>
      </c>
      <c r="E41" s="639">
        <v>3100</v>
      </c>
      <c r="F41" s="2012">
        <v>74.099999999999994</v>
      </c>
      <c r="G41" s="2015">
        <f>IF(F41=0,"",F41/C41)</f>
        <v>37.049999999999997</v>
      </c>
      <c r="H41" s="2604">
        <f>IF(C41=0,"",C41/D41)</f>
        <v>1</v>
      </c>
      <c r="I41" s="647" t="s">
        <v>335</v>
      </c>
      <c r="J41" s="694">
        <v>65</v>
      </c>
      <c r="K41" s="2648"/>
    </row>
    <row r="42" spans="1:11" s="693" customFormat="1" hidden="1" outlineLevel="1" collapsed="1" x14ac:dyDescent="0.15">
      <c r="A42" s="628" t="s">
        <v>172</v>
      </c>
      <c r="B42" s="689" t="str">
        <f>A42</f>
        <v xml:space="preserve"> ==== 2010 Desktop Platforms ====</v>
      </c>
      <c r="C42" s="690"/>
      <c r="D42" s="2022"/>
      <c r="E42" s="2023"/>
      <c r="F42" s="2010"/>
      <c r="G42" s="2017"/>
      <c r="H42" s="2602"/>
      <c r="I42" s="691"/>
      <c r="J42" s="692" t="s">
        <v>165</v>
      </c>
      <c r="K42" s="2648"/>
    </row>
    <row r="43" spans="1:11" s="693" customFormat="1" hidden="1" outlineLevel="2" x14ac:dyDescent="0.15">
      <c r="A43" s="630" t="str">
        <f t="shared" ref="A43:A50" si="0">CONCATENATE(B43," ",C43," core (",H43," chip) ",E43," MHz")</f>
        <v>Intel Core i5-680  2 core (1 chip) 3333 MHz</v>
      </c>
      <c r="B43" s="661" t="s">
        <v>196</v>
      </c>
      <c r="C43" s="2025">
        <v>2</v>
      </c>
      <c r="D43" s="50">
        <v>2</v>
      </c>
      <c r="E43" s="639">
        <v>3333</v>
      </c>
      <c r="F43" s="2012">
        <v>69.400000000000006</v>
      </c>
      <c r="G43" s="2015">
        <f>IF(F43=0,"",F43/C43)</f>
        <v>34.700000000000003</v>
      </c>
      <c r="H43" s="2604">
        <f>IF(C43=0,"",C43/D43)</f>
        <v>1</v>
      </c>
      <c r="I43" s="647" t="s">
        <v>335</v>
      </c>
      <c r="J43" s="694">
        <v>130</v>
      </c>
      <c r="K43" s="2648"/>
    </row>
    <row r="44" spans="1:11" s="693" customFormat="1" hidden="1" outlineLevel="2" x14ac:dyDescent="0.15">
      <c r="A44" s="630" t="str">
        <f t="shared" si="0"/>
        <v>Intel Xeon X5667 8 core (2 chip) 3067 MHz</v>
      </c>
      <c r="B44" s="660" t="s">
        <v>197</v>
      </c>
      <c r="C44" s="2024">
        <v>8</v>
      </c>
      <c r="D44" s="52">
        <v>4</v>
      </c>
      <c r="E44" s="639">
        <v>3067</v>
      </c>
      <c r="F44" s="2011">
        <v>249</v>
      </c>
      <c r="G44" s="2015">
        <f>F44/C44</f>
        <v>31.125</v>
      </c>
      <c r="H44" s="2604">
        <f>C44/D44</f>
        <v>2</v>
      </c>
      <c r="I44" s="646" t="s">
        <v>335</v>
      </c>
      <c r="J44" s="694">
        <v>130</v>
      </c>
      <c r="K44" s="2648"/>
    </row>
    <row r="45" spans="1:11" s="693" customFormat="1" hidden="1" outlineLevel="2" x14ac:dyDescent="0.15">
      <c r="A45" s="630" t="str">
        <f t="shared" si="0"/>
        <v>Intel Xeon X5677 Tboost 8 core (2 chip) 3467 MHz</v>
      </c>
      <c r="B45" s="660" t="s">
        <v>198</v>
      </c>
      <c r="C45" s="2024">
        <v>8</v>
      </c>
      <c r="D45" s="52">
        <v>4</v>
      </c>
      <c r="E45" s="639">
        <v>3467</v>
      </c>
      <c r="F45" s="2011">
        <v>255</v>
      </c>
      <c r="G45" s="2015">
        <f>F45/C45</f>
        <v>31.875</v>
      </c>
      <c r="H45" s="2604">
        <f>C45/D45</f>
        <v>2</v>
      </c>
      <c r="I45" s="646" t="s">
        <v>335</v>
      </c>
      <c r="J45" s="694">
        <v>130</v>
      </c>
      <c r="K45" s="2648"/>
    </row>
    <row r="46" spans="1:11" s="693" customFormat="1" hidden="1" outlineLevel="2" x14ac:dyDescent="0.15">
      <c r="A46" s="630" t="str">
        <f t="shared" si="0"/>
        <v>Intel Core i7-965 Tboost 4 core (1 chip) 3200 MHz</v>
      </c>
      <c r="B46" s="661" t="s">
        <v>199</v>
      </c>
      <c r="C46" s="2025">
        <v>4</v>
      </c>
      <c r="D46" s="50">
        <v>4</v>
      </c>
      <c r="E46" s="639">
        <v>3200</v>
      </c>
      <c r="F46" s="2012">
        <v>126</v>
      </c>
      <c r="G46" s="2015">
        <f t="shared" ref="G46:G53" si="1">IF(F46=0,"",F46/C46)</f>
        <v>31.5</v>
      </c>
      <c r="H46" s="2604">
        <f t="shared" ref="H46:H53" si="2">IF(C46=0,"",C46/D46)</f>
        <v>1</v>
      </c>
      <c r="I46" s="647" t="s">
        <v>335</v>
      </c>
      <c r="J46" s="694">
        <v>130</v>
      </c>
      <c r="K46" s="2648"/>
    </row>
    <row r="47" spans="1:11" s="693" customFormat="1" hidden="1" outlineLevel="2" x14ac:dyDescent="0.15">
      <c r="A47" s="630" t="str">
        <f>CONCATENATE(B47," ",C47," core (",H47," chip) ",E47," MHz")</f>
        <v>Intel Core i7-975 Tboost 4 core (1 chip) 3333 MHz</v>
      </c>
      <c r="B47" s="661" t="s">
        <v>200</v>
      </c>
      <c r="C47" s="2025">
        <v>4</v>
      </c>
      <c r="D47" s="50">
        <v>4</v>
      </c>
      <c r="E47" s="639">
        <v>3333</v>
      </c>
      <c r="F47" s="2012">
        <v>121</v>
      </c>
      <c r="G47" s="2015">
        <f t="shared" si="1"/>
        <v>30.25</v>
      </c>
      <c r="H47" s="2604">
        <f t="shared" si="2"/>
        <v>1</v>
      </c>
      <c r="I47" s="647" t="s">
        <v>335</v>
      </c>
      <c r="J47" s="694">
        <v>130</v>
      </c>
      <c r="K47" s="2648"/>
    </row>
    <row r="48" spans="1:11" s="693" customFormat="1" hidden="1" outlineLevel="2" x14ac:dyDescent="0.15">
      <c r="A48" s="630" t="str">
        <f t="shared" si="0"/>
        <v>Intel Core i7-860 Tboost 4 core (1 chip) 2800 MHz</v>
      </c>
      <c r="B48" s="661" t="s">
        <v>248</v>
      </c>
      <c r="C48" s="2025">
        <v>4</v>
      </c>
      <c r="D48" s="50">
        <v>4</v>
      </c>
      <c r="E48" s="639">
        <v>2800</v>
      </c>
      <c r="F48" s="2012">
        <v>121</v>
      </c>
      <c r="G48" s="2015">
        <f t="shared" si="1"/>
        <v>30.25</v>
      </c>
      <c r="H48" s="2604">
        <f t="shared" si="2"/>
        <v>1</v>
      </c>
      <c r="I48" s="647" t="s">
        <v>335</v>
      </c>
      <c r="J48" s="694">
        <v>130</v>
      </c>
      <c r="K48" s="2648"/>
    </row>
    <row r="49" spans="1:20" s="693" customFormat="1" hidden="1" outlineLevel="2" x14ac:dyDescent="0.15">
      <c r="A49" s="630" t="str">
        <f t="shared" si="0"/>
        <v>Intel Core i7-620M Tboost 4 core (1 chip) 2666 MHz</v>
      </c>
      <c r="B49" s="661" t="s">
        <v>205</v>
      </c>
      <c r="C49" s="2025">
        <v>4</v>
      </c>
      <c r="D49" s="50">
        <v>4</v>
      </c>
      <c r="E49" s="639">
        <v>2666</v>
      </c>
      <c r="F49" s="2012">
        <v>103</v>
      </c>
      <c r="G49" s="2015">
        <f t="shared" si="1"/>
        <v>25.75</v>
      </c>
      <c r="H49" s="2604">
        <f t="shared" si="2"/>
        <v>1</v>
      </c>
      <c r="I49" s="647" t="s">
        <v>335</v>
      </c>
      <c r="J49" s="694">
        <v>35</v>
      </c>
      <c r="K49" s="2648"/>
    </row>
    <row r="50" spans="1:20" s="693" customFormat="1" hidden="1" outlineLevel="2" x14ac:dyDescent="0.15">
      <c r="A50" s="630" t="str">
        <f t="shared" si="0"/>
        <v>Intel Core i7-610E  2 core (1 chip) 2533 MHz</v>
      </c>
      <c r="B50" s="661" t="s">
        <v>206</v>
      </c>
      <c r="C50" s="2025">
        <v>2</v>
      </c>
      <c r="D50" s="50">
        <v>2</v>
      </c>
      <c r="E50" s="639">
        <v>2533</v>
      </c>
      <c r="F50" s="2012">
        <v>49.2</v>
      </c>
      <c r="G50" s="2015">
        <f t="shared" si="1"/>
        <v>24.6</v>
      </c>
      <c r="H50" s="2604">
        <f t="shared" si="2"/>
        <v>1</v>
      </c>
      <c r="I50" s="647" t="s">
        <v>335</v>
      </c>
      <c r="J50" s="694">
        <v>35</v>
      </c>
      <c r="K50" s="2648"/>
    </row>
    <row r="51" spans="1:20" s="693" customFormat="1" hidden="1" outlineLevel="2" x14ac:dyDescent="0.15">
      <c r="A51" s="630" t="str">
        <f>CONCATENATE(B51," ",C51," core (",H51," chip) ",E51," MHz")</f>
        <v>Intel Core 2 Extreem X6800 2 core (1 chip) 2933 MHz</v>
      </c>
      <c r="B51" s="661" t="s">
        <v>201</v>
      </c>
      <c r="C51" s="2025">
        <v>2</v>
      </c>
      <c r="D51" s="50">
        <v>2</v>
      </c>
      <c r="E51" s="639">
        <v>2933</v>
      </c>
      <c r="F51" s="2012">
        <v>31.1</v>
      </c>
      <c r="G51" s="2015">
        <f t="shared" si="1"/>
        <v>15.55</v>
      </c>
      <c r="H51" s="2604">
        <f t="shared" si="2"/>
        <v>1</v>
      </c>
      <c r="I51" s="647" t="s">
        <v>335</v>
      </c>
      <c r="J51" s="694">
        <v>65</v>
      </c>
      <c r="K51" s="2648"/>
    </row>
    <row r="52" spans="1:20" s="693" customFormat="1" hidden="1" outlineLevel="2" x14ac:dyDescent="0.15">
      <c r="A52" s="630" t="str">
        <f>CONCATENATE(B52," ",C52," core (",H52," chip) ",E52," MHz")</f>
        <v>Intel Pentium Extreem 965 2 core (1 chip) 3600 MHz</v>
      </c>
      <c r="B52" s="661" t="s">
        <v>202</v>
      </c>
      <c r="C52" s="2025">
        <v>2</v>
      </c>
      <c r="D52" s="50">
        <v>2</v>
      </c>
      <c r="E52" s="639">
        <v>3600</v>
      </c>
      <c r="F52" s="2012">
        <v>21.8</v>
      </c>
      <c r="G52" s="2015">
        <f t="shared" si="1"/>
        <v>10.9</v>
      </c>
      <c r="H52" s="2604">
        <f t="shared" si="2"/>
        <v>1</v>
      </c>
      <c r="I52" s="647" t="s">
        <v>335</v>
      </c>
      <c r="J52" s="694">
        <v>65</v>
      </c>
      <c r="K52" s="2648"/>
    </row>
    <row r="53" spans="1:20" s="693" customFormat="1" hidden="1" outlineLevel="2" x14ac:dyDescent="0.15">
      <c r="A53" s="630" t="str">
        <f>CONCATENATE(B53," ",C53," core (",H53," chip) ",E53," MHz")</f>
        <v>Intel PentiumD  2 core (1 chip) 3200 MHz</v>
      </c>
      <c r="B53" s="661" t="s">
        <v>203</v>
      </c>
      <c r="C53" s="2025">
        <v>2</v>
      </c>
      <c r="D53" s="50">
        <v>2</v>
      </c>
      <c r="E53" s="639">
        <v>3200</v>
      </c>
      <c r="F53" s="2012">
        <v>18.600000000000001</v>
      </c>
      <c r="G53" s="2015">
        <f t="shared" si="1"/>
        <v>9.3000000000000007</v>
      </c>
      <c r="H53" s="2604">
        <f t="shared" si="2"/>
        <v>1</v>
      </c>
      <c r="I53" s="647" t="s">
        <v>335</v>
      </c>
      <c r="J53" s="694">
        <v>44</v>
      </c>
      <c r="K53" s="2648"/>
    </row>
    <row r="54" spans="1:20" hidden="1" outlineLevel="2" x14ac:dyDescent="0.15">
      <c r="A54" s="630" t="str">
        <f t="shared" ref="A54:A60" si="3">CONCATENATE(B54," ",C54," core (",H54," chip) ",E54," MHz")</f>
        <v>Intel Core 2 Quad Q9650 4 core (1 chip) 3000 MHz</v>
      </c>
      <c r="B54" s="661" t="s">
        <v>432</v>
      </c>
      <c r="C54" s="2025">
        <v>4</v>
      </c>
      <c r="D54" s="50">
        <v>4</v>
      </c>
      <c r="E54" s="639">
        <v>3000</v>
      </c>
      <c r="F54" s="2012">
        <v>79.599999999999994</v>
      </c>
      <c r="G54" s="2015">
        <f t="shared" ref="G54:G60" si="4">IF(F54=0,"",F54/C54)</f>
        <v>19.899999999999999</v>
      </c>
      <c r="H54" s="2604">
        <f t="shared" ref="H54:H60" si="5">IF(C54=0,"",C54/D54)</f>
        <v>1</v>
      </c>
      <c r="I54" s="647" t="s">
        <v>335</v>
      </c>
      <c r="J54" s="673">
        <v>95</v>
      </c>
      <c r="K54" s="2648"/>
    </row>
    <row r="55" spans="1:20" hidden="1" outlineLevel="2" x14ac:dyDescent="0.15">
      <c r="A55" s="630" t="str">
        <f t="shared" si="3"/>
        <v>Intel Core 2 Duo E8500 2 core (1 chip) 3166 MHz</v>
      </c>
      <c r="B55" s="661" t="s">
        <v>168</v>
      </c>
      <c r="C55" s="2025">
        <v>2</v>
      </c>
      <c r="D55" s="50">
        <v>2</v>
      </c>
      <c r="E55" s="639">
        <v>3166</v>
      </c>
      <c r="F55" s="2012">
        <v>38.299999999999997</v>
      </c>
      <c r="G55" s="2015">
        <f t="shared" si="4"/>
        <v>19.149999999999999</v>
      </c>
      <c r="H55" s="2604">
        <f t="shared" si="5"/>
        <v>1</v>
      </c>
      <c r="I55" s="647" t="s">
        <v>335</v>
      </c>
      <c r="J55" s="673">
        <v>65</v>
      </c>
      <c r="K55" s="2648"/>
    </row>
    <row r="56" spans="1:20" hidden="1" outlineLevel="2" x14ac:dyDescent="0.15">
      <c r="A56" s="630" t="str">
        <f t="shared" si="3"/>
        <v>Intel Core 2 Duo E6850 2 core (1 chip) 3000 MHz</v>
      </c>
      <c r="B56" s="661" t="s">
        <v>167</v>
      </c>
      <c r="C56" s="2025">
        <v>2</v>
      </c>
      <c r="D56" s="50">
        <v>2</v>
      </c>
      <c r="E56" s="639">
        <v>3000</v>
      </c>
      <c r="F56" s="2012">
        <v>33.700000000000003</v>
      </c>
      <c r="G56" s="2015">
        <f t="shared" si="4"/>
        <v>16.850000000000001</v>
      </c>
      <c r="H56" s="2604">
        <f t="shared" si="5"/>
        <v>1</v>
      </c>
      <c r="I56" s="647" t="s">
        <v>335</v>
      </c>
      <c r="J56" s="673">
        <v>65</v>
      </c>
      <c r="K56" s="2648"/>
    </row>
    <row r="57" spans="1:20" hidden="1" outlineLevel="2" x14ac:dyDescent="0.15">
      <c r="A57" s="630" t="str">
        <f t="shared" si="3"/>
        <v>Intel Core 2 Duo T9700 2 core (1 chip) 2800 MHz</v>
      </c>
      <c r="B57" s="661" t="s">
        <v>171</v>
      </c>
      <c r="C57" s="2025">
        <v>2</v>
      </c>
      <c r="D57" s="50">
        <v>2</v>
      </c>
      <c r="E57" s="639">
        <v>2800</v>
      </c>
      <c r="F57" s="2012">
        <v>32.9</v>
      </c>
      <c r="G57" s="2015">
        <f t="shared" si="4"/>
        <v>16.45</v>
      </c>
      <c r="H57" s="2604">
        <f t="shared" si="5"/>
        <v>1</v>
      </c>
      <c r="I57" s="647" t="s">
        <v>335</v>
      </c>
      <c r="J57" s="673">
        <v>44</v>
      </c>
      <c r="K57" s="2648"/>
    </row>
    <row r="58" spans="1:20" hidden="1" outlineLevel="2" x14ac:dyDescent="0.15">
      <c r="A58" s="630" t="str">
        <f t="shared" si="3"/>
        <v>Intel Core 2 Duo T9500 2 core (1 chip) 2600 MHz</v>
      </c>
      <c r="B58" s="661" t="s">
        <v>170</v>
      </c>
      <c r="C58" s="2025">
        <v>2</v>
      </c>
      <c r="D58" s="50">
        <v>2</v>
      </c>
      <c r="E58" s="639">
        <v>2600</v>
      </c>
      <c r="F58" s="2012">
        <v>31.5</v>
      </c>
      <c r="G58" s="2015">
        <f t="shared" si="4"/>
        <v>15.75</v>
      </c>
      <c r="H58" s="2604">
        <f t="shared" si="5"/>
        <v>1</v>
      </c>
      <c r="I58" s="647" t="s">
        <v>335</v>
      </c>
      <c r="J58" s="673">
        <v>44</v>
      </c>
      <c r="K58" s="2648"/>
    </row>
    <row r="59" spans="1:20" hidden="1" outlineLevel="2" x14ac:dyDescent="0.15">
      <c r="A59" s="630" t="str">
        <f t="shared" si="3"/>
        <v>Intel Core 2 Duo T7700 2 core (1 chip) 2400 MHz</v>
      </c>
      <c r="B59" s="661" t="s">
        <v>434</v>
      </c>
      <c r="C59" s="2025">
        <v>2</v>
      </c>
      <c r="D59" s="50">
        <v>2</v>
      </c>
      <c r="E59" s="639">
        <v>2400</v>
      </c>
      <c r="F59" s="2012">
        <v>27</v>
      </c>
      <c r="G59" s="2015">
        <f t="shared" si="4"/>
        <v>13.5</v>
      </c>
      <c r="H59" s="2604">
        <f t="shared" si="5"/>
        <v>1</v>
      </c>
      <c r="I59" s="647" t="s">
        <v>335</v>
      </c>
      <c r="J59" s="673">
        <v>65</v>
      </c>
      <c r="K59" s="2648" t="s">
        <v>117</v>
      </c>
    </row>
    <row r="60" spans="1:20" hidden="1" outlineLevel="2" x14ac:dyDescent="0.15">
      <c r="A60" s="630" t="str">
        <f t="shared" si="3"/>
        <v>Intel Core 2 Duo T7600 2 core (1 chip) 2333 MHz</v>
      </c>
      <c r="B60" s="661" t="s">
        <v>169</v>
      </c>
      <c r="C60" s="2025">
        <v>2</v>
      </c>
      <c r="D60" s="50">
        <v>2</v>
      </c>
      <c r="E60" s="639">
        <v>2333</v>
      </c>
      <c r="F60" s="2012">
        <v>23.9</v>
      </c>
      <c r="G60" s="2015">
        <f t="shared" si="4"/>
        <v>11.95</v>
      </c>
      <c r="H60" s="2604">
        <f t="shared" si="5"/>
        <v>1</v>
      </c>
      <c r="I60" s="647" t="s">
        <v>335</v>
      </c>
      <c r="J60" s="673">
        <v>65</v>
      </c>
      <c r="K60" s="2648"/>
    </row>
    <row r="61" spans="1:20" hidden="1" outlineLevel="1" collapsed="1" x14ac:dyDescent="0.15">
      <c r="A61" s="636"/>
      <c r="B61" s="2040"/>
      <c r="C61" s="2041"/>
      <c r="D61" s="641"/>
      <c r="E61" s="2042"/>
      <c r="F61" s="882"/>
      <c r="G61" s="2019"/>
      <c r="H61" s="2608"/>
      <c r="I61" s="649"/>
      <c r="J61" s="2646"/>
      <c r="K61" s="2651"/>
    </row>
    <row r="62" spans="1:20" collapsed="1" x14ac:dyDescent="0.15">
      <c r="A62" s="2841" t="s">
        <v>238</v>
      </c>
      <c r="B62" s="662" t="s">
        <v>162</v>
      </c>
      <c r="C62" s="2026" t="s">
        <v>164</v>
      </c>
      <c r="D62" s="3111" t="s">
        <v>1752</v>
      </c>
      <c r="E62" s="3112" t="s">
        <v>433</v>
      </c>
      <c r="F62" s="3113" t="s">
        <v>1743</v>
      </c>
      <c r="G62" s="3114" t="s">
        <v>274</v>
      </c>
      <c r="H62" s="2605" t="s">
        <v>340</v>
      </c>
      <c r="I62" s="3115" t="s">
        <v>1753</v>
      </c>
      <c r="J62" s="2840" t="s">
        <v>165</v>
      </c>
      <c r="K62" s="2648"/>
    </row>
    <row r="63" spans="1:20" hidden="1" outlineLevel="1" x14ac:dyDescent="0.15">
      <c r="A63" s="628" t="s">
        <v>1830</v>
      </c>
      <c r="B63" s="659" t="str">
        <f>A63</f>
        <v xml:space="preserve"> ==== 2018 Server Platforms ====</v>
      </c>
      <c r="C63" s="656"/>
      <c r="D63" s="2022"/>
      <c r="E63" s="2023"/>
      <c r="F63" s="2189"/>
      <c r="G63" s="2190"/>
      <c r="H63" s="2606"/>
      <c r="I63" s="645"/>
      <c r="J63" s="2191" t="s">
        <v>165</v>
      </c>
      <c r="K63" s="2652" t="s">
        <v>1029</v>
      </c>
      <c r="L63" s="1149"/>
      <c r="M63" s="1149"/>
      <c r="N63" s="1149"/>
      <c r="O63" s="1149"/>
      <c r="R63" s="2194"/>
      <c r="S63" s="2195"/>
      <c r="T63" s="1149"/>
    </row>
    <row r="64" spans="1:20" hidden="1" outlineLevel="2" x14ac:dyDescent="0.15">
      <c r="A64" s="630" t="str">
        <f t="shared" ref="A64:A70" si="6">CONCATENATE(B64," ",C64," core (",H64," chip) ",E64," MHz")&amp;IF(ISBLANK(F64),"**","")</f>
        <v>Xeon E3-1280v6 4 core (1 chip) 3900 MHz</v>
      </c>
      <c r="B64" s="661" t="s">
        <v>1593</v>
      </c>
      <c r="C64" s="2024">
        <v>4</v>
      </c>
      <c r="D64" s="52">
        <v>4</v>
      </c>
      <c r="E64" s="639">
        <v>3900</v>
      </c>
      <c r="F64" s="2192">
        <v>274</v>
      </c>
      <c r="G64" s="2193">
        <f t="shared" ref="G64:G70" si="7">F64/C64</f>
        <v>68.5</v>
      </c>
      <c r="H64" s="2603">
        <f t="shared" ref="H64:H70" si="8">C64/D64</f>
        <v>1</v>
      </c>
      <c r="I64" s="646" t="s">
        <v>335</v>
      </c>
      <c r="J64" s="2048"/>
      <c r="K64" s="2647" t="s">
        <v>1595</v>
      </c>
      <c r="L64" s="1149"/>
      <c r="M64" s="1149"/>
      <c r="N64" s="1149"/>
      <c r="O64" s="1149"/>
      <c r="P64" s="2196"/>
      <c r="Q64" s="2196"/>
      <c r="R64" s="2196"/>
      <c r="S64" s="2196"/>
      <c r="T64" s="1149"/>
    </row>
    <row r="65" spans="1:20" hidden="1" outlineLevel="2" x14ac:dyDescent="0.15">
      <c r="A65" s="630" t="str">
        <f t="shared" si="6"/>
        <v>Xeon Gold 5122 4 core (1 chip) 3600 MHz</v>
      </c>
      <c r="B65" s="661" t="s">
        <v>1583</v>
      </c>
      <c r="C65" s="2024">
        <v>4</v>
      </c>
      <c r="D65" s="52">
        <v>4</v>
      </c>
      <c r="E65" s="639">
        <v>3600</v>
      </c>
      <c r="F65" s="2192">
        <v>279</v>
      </c>
      <c r="G65" s="2193">
        <f t="shared" si="7"/>
        <v>69.75</v>
      </c>
      <c r="H65" s="2603">
        <f t="shared" si="8"/>
        <v>1</v>
      </c>
      <c r="I65" s="646" t="s">
        <v>335</v>
      </c>
      <c r="J65" s="2048"/>
      <c r="K65" s="2647" t="s">
        <v>1594</v>
      </c>
      <c r="L65" s="1149"/>
      <c r="M65" s="1149"/>
      <c r="N65" s="1149"/>
      <c r="O65" s="1149"/>
      <c r="P65" s="2196"/>
      <c r="Q65" s="2196"/>
      <c r="R65" s="2196"/>
      <c r="S65" s="2196"/>
      <c r="T65" s="1149"/>
    </row>
    <row r="66" spans="1:20" hidden="1" outlineLevel="2" x14ac:dyDescent="0.15">
      <c r="A66" s="630" t="str">
        <f t="shared" si="6"/>
        <v>Xeon Gold 5122 8 core (2 chip) 3600 MHz</v>
      </c>
      <c r="B66" s="661" t="s">
        <v>1583</v>
      </c>
      <c r="C66" s="2024">
        <v>8</v>
      </c>
      <c r="D66" s="52">
        <v>4</v>
      </c>
      <c r="E66" s="639">
        <v>3600</v>
      </c>
      <c r="F66" s="2192">
        <v>576</v>
      </c>
      <c r="G66" s="2193">
        <f t="shared" si="7"/>
        <v>72</v>
      </c>
      <c r="H66" s="2603">
        <f t="shared" si="8"/>
        <v>2</v>
      </c>
      <c r="I66" s="646" t="s">
        <v>335</v>
      </c>
      <c r="J66" s="2048"/>
      <c r="K66" s="2647" t="s">
        <v>1594</v>
      </c>
      <c r="L66" s="1149"/>
      <c r="M66" s="1149"/>
      <c r="N66" s="1149"/>
      <c r="O66" s="1149"/>
      <c r="P66" s="2196"/>
      <c r="Q66" s="2196"/>
      <c r="R66" s="2196"/>
      <c r="S66" s="2196"/>
      <c r="T66" s="1149"/>
    </row>
    <row r="67" spans="1:20" hidden="1" outlineLevel="2" x14ac:dyDescent="0.15">
      <c r="A67" s="630" t="str">
        <f t="shared" si="6"/>
        <v>Xeon Gold 6128 12 core (2 chip) 3400 MHz</v>
      </c>
      <c r="B67" s="661" t="s">
        <v>1584</v>
      </c>
      <c r="C67" s="2024">
        <v>12</v>
      </c>
      <c r="D67" s="52">
        <v>6</v>
      </c>
      <c r="E67" s="639">
        <v>3400</v>
      </c>
      <c r="F67" s="2192">
        <v>809</v>
      </c>
      <c r="G67" s="2193">
        <f t="shared" si="7"/>
        <v>67.416666666666671</v>
      </c>
      <c r="H67" s="2603">
        <f t="shared" si="8"/>
        <v>2</v>
      </c>
      <c r="I67" s="646" t="s">
        <v>335</v>
      </c>
      <c r="J67" s="2048"/>
      <c r="K67" s="2647" t="s">
        <v>1594</v>
      </c>
      <c r="L67" s="1149"/>
      <c r="M67" s="1149"/>
      <c r="N67" s="1149"/>
      <c r="O67" s="1149"/>
      <c r="P67" s="2196"/>
      <c r="Q67" s="2196"/>
      <c r="R67" s="2196"/>
      <c r="S67" s="2196"/>
      <c r="T67" s="1149"/>
    </row>
    <row r="68" spans="1:20" hidden="1" outlineLevel="2" x14ac:dyDescent="0.15">
      <c r="A68" s="630" t="str">
        <f t="shared" si="6"/>
        <v>Xeon Gold 6144 16 core (2 chip) 3500 MHz</v>
      </c>
      <c r="B68" s="661" t="s">
        <v>1825</v>
      </c>
      <c r="C68" s="2024">
        <v>16</v>
      </c>
      <c r="D68" s="52">
        <v>8</v>
      </c>
      <c r="E68" s="639">
        <v>3500</v>
      </c>
      <c r="F68" s="2192">
        <v>1120</v>
      </c>
      <c r="G68" s="2193">
        <f t="shared" si="7"/>
        <v>70</v>
      </c>
      <c r="H68" s="2603">
        <f t="shared" si="8"/>
        <v>2</v>
      </c>
      <c r="I68" s="646" t="s">
        <v>335</v>
      </c>
      <c r="J68" s="2048"/>
      <c r="K68" s="2647" t="s">
        <v>1594</v>
      </c>
      <c r="L68" s="1149"/>
      <c r="M68" s="1149"/>
      <c r="N68" s="1149"/>
      <c r="O68" s="1149"/>
      <c r="P68" s="2196"/>
      <c r="Q68" s="2196"/>
      <c r="R68" s="2196"/>
      <c r="S68" s="2196"/>
      <c r="T68" s="1149"/>
    </row>
    <row r="69" spans="1:20" hidden="1" outlineLevel="2" x14ac:dyDescent="0.15">
      <c r="A69" s="630" t="str">
        <f t="shared" si="6"/>
        <v>Xeon Gold 5115 20 core (2 chip) 2400 MHz</v>
      </c>
      <c r="B69" s="661" t="s">
        <v>1586</v>
      </c>
      <c r="C69" s="2024">
        <v>20</v>
      </c>
      <c r="D69" s="52">
        <v>10</v>
      </c>
      <c r="E69" s="639">
        <v>2400</v>
      </c>
      <c r="F69" s="2192">
        <v>976</v>
      </c>
      <c r="G69" s="2193">
        <f t="shared" si="7"/>
        <v>48.8</v>
      </c>
      <c r="H69" s="2603">
        <f t="shared" si="8"/>
        <v>2</v>
      </c>
      <c r="I69" s="646" t="s">
        <v>335</v>
      </c>
      <c r="J69" s="2048"/>
      <c r="K69" s="2647" t="s">
        <v>1594</v>
      </c>
      <c r="L69" s="1149"/>
      <c r="M69" s="1149"/>
      <c r="N69" s="1149"/>
      <c r="O69" s="1149"/>
      <c r="P69" s="2196"/>
      <c r="Q69" s="2196"/>
      <c r="R69" s="2196"/>
      <c r="S69" s="2196"/>
      <c r="T69" s="1149"/>
    </row>
    <row r="70" spans="1:20" hidden="1" outlineLevel="2" x14ac:dyDescent="0.15">
      <c r="A70" s="630" t="str">
        <f t="shared" si="6"/>
        <v>Xeon Gold 6146 24 core (2 chip) 3400 MHz</v>
      </c>
      <c r="B70" s="661" t="s">
        <v>1828</v>
      </c>
      <c r="C70" s="2024">
        <v>24</v>
      </c>
      <c r="D70" s="52">
        <v>12</v>
      </c>
      <c r="E70" s="639">
        <v>3400</v>
      </c>
      <c r="F70" s="2192">
        <v>1630</v>
      </c>
      <c r="G70" s="2193">
        <f t="shared" si="7"/>
        <v>67.916666666666671</v>
      </c>
      <c r="H70" s="2603">
        <f t="shared" si="8"/>
        <v>2</v>
      </c>
      <c r="I70" s="646" t="s">
        <v>335</v>
      </c>
      <c r="J70" s="2048"/>
      <c r="K70" s="2647" t="s">
        <v>1594</v>
      </c>
      <c r="L70" s="1149"/>
      <c r="M70" s="1149"/>
      <c r="N70" s="1149"/>
      <c r="O70" s="1149"/>
      <c r="R70" s="2196"/>
      <c r="S70" s="2196"/>
      <c r="T70" s="1149"/>
    </row>
    <row r="71" spans="1:20" s="693" customFormat="1" hidden="1" outlineLevel="2" x14ac:dyDescent="0.15">
      <c r="A71" s="630" t="str">
        <f>CONCATENATE(B71," ",C71," core (",H71," chip) ",E71," MHz")</f>
        <v>Xeon Gold 6132 28 core (2 chip) 2600 MHz</v>
      </c>
      <c r="B71" s="661" t="s">
        <v>1588</v>
      </c>
      <c r="C71" s="2025">
        <v>28</v>
      </c>
      <c r="D71" s="50">
        <v>14</v>
      </c>
      <c r="E71" s="639">
        <v>2600</v>
      </c>
      <c r="F71" s="2012">
        <v>1540</v>
      </c>
      <c r="G71" s="2193">
        <f>IF(F71=0,"",F71/C71)</f>
        <v>55</v>
      </c>
      <c r="H71" s="2603">
        <f>IF(C71=0,"",C71/D71)</f>
        <v>2</v>
      </c>
      <c r="I71" s="647" t="s">
        <v>335</v>
      </c>
      <c r="J71" s="2048"/>
      <c r="K71" s="2650" t="s">
        <v>1594</v>
      </c>
      <c r="L71" s="1304"/>
      <c r="M71" s="1304"/>
      <c r="N71" s="1304"/>
      <c r="O71" s="1304"/>
      <c r="P71" s="31"/>
      <c r="Q71" s="31"/>
    </row>
    <row r="72" spans="1:20" s="693" customFormat="1" hidden="1" outlineLevel="2" x14ac:dyDescent="0.15">
      <c r="A72" s="630" t="str">
        <f>CONCATENATE(B72," ",C72," core (",H72," chip) ",E72," MHz")</f>
        <v>Xeon Gold 6142 32 core (2 chip) 2600 MHz</v>
      </c>
      <c r="B72" s="661" t="s">
        <v>1589</v>
      </c>
      <c r="C72" s="2025">
        <v>32</v>
      </c>
      <c r="D72" s="50">
        <v>16</v>
      </c>
      <c r="E72" s="639">
        <v>2600</v>
      </c>
      <c r="F72" s="2012">
        <v>1690</v>
      </c>
      <c r="G72" s="2193">
        <f>IF(F72=0,"",F72/C72)</f>
        <v>52.8125</v>
      </c>
      <c r="H72" s="2603">
        <f>IF(C72=0,"",C72/D72)</f>
        <v>2</v>
      </c>
      <c r="I72" s="647" t="s">
        <v>335</v>
      </c>
      <c r="J72" s="2048"/>
      <c r="K72" s="2650" t="s">
        <v>1594</v>
      </c>
      <c r="L72" s="1891"/>
      <c r="M72" s="1891"/>
      <c r="N72" s="1891"/>
      <c r="O72" s="1891"/>
      <c r="P72" s="31"/>
      <c r="Q72" s="31"/>
    </row>
    <row r="73" spans="1:20" s="693" customFormat="1" hidden="1" outlineLevel="2" x14ac:dyDescent="0.15">
      <c r="A73" s="630" t="str">
        <f>CONCATENATE(B73," ",C73," core (",H73," chip) ",E73," MHz")</f>
        <v>Xeon Gold 6154 36 core (2 chip) 3000 MHz</v>
      </c>
      <c r="B73" s="661" t="s">
        <v>1590</v>
      </c>
      <c r="C73" s="2025">
        <v>36</v>
      </c>
      <c r="D73" s="50">
        <v>18</v>
      </c>
      <c r="E73" s="639">
        <v>3000</v>
      </c>
      <c r="F73" s="2012">
        <v>2100</v>
      </c>
      <c r="G73" s="2193">
        <f>F73/C73</f>
        <v>58.333333333333336</v>
      </c>
      <c r="H73" s="2603">
        <f>C73/D73</f>
        <v>2</v>
      </c>
      <c r="I73" s="646" t="s">
        <v>335</v>
      </c>
      <c r="J73" s="2048"/>
      <c r="K73" s="2648" t="s">
        <v>1594</v>
      </c>
      <c r="P73" s="31"/>
      <c r="Q73" s="31"/>
    </row>
    <row r="74" spans="1:20" s="693" customFormat="1" hidden="1" outlineLevel="2" x14ac:dyDescent="0.15">
      <c r="A74" s="630" t="str">
        <f>CONCATENATE(B74," ",C74," core (",H74," chip) ",E74," MHz")</f>
        <v>Xeon Gold 6148 40 core (2 chip) 2400 MHz</v>
      </c>
      <c r="B74" s="661" t="s">
        <v>1591</v>
      </c>
      <c r="C74" s="2025">
        <v>40</v>
      </c>
      <c r="D74" s="50">
        <v>20</v>
      </c>
      <c r="E74" s="639">
        <v>2400</v>
      </c>
      <c r="F74" s="2012">
        <v>1980</v>
      </c>
      <c r="G74" s="2193">
        <f>IF(F74=0,"",F74/C74)</f>
        <v>49.5</v>
      </c>
      <c r="H74" s="2603">
        <f>IF(C74=0,"",C74/D74)</f>
        <v>2</v>
      </c>
      <c r="I74" s="647" t="s">
        <v>335</v>
      </c>
      <c r="J74" s="2048"/>
      <c r="K74" s="2650" t="s">
        <v>1594</v>
      </c>
      <c r="L74" s="1304"/>
      <c r="M74" s="1304"/>
      <c r="N74" s="1304"/>
      <c r="O74" s="1304"/>
      <c r="P74" s="31"/>
      <c r="Q74" s="31"/>
    </row>
    <row r="75" spans="1:20" s="693" customFormat="1" hidden="1" outlineLevel="2" x14ac:dyDescent="0.15">
      <c r="A75" s="630" t="str">
        <f>CONCATENATE(B75," ",C75," core (",H75," chip) ",E75," MHz")</f>
        <v>Xeon Gold 6152 44 core (2 chip) 2100 MHz</v>
      </c>
      <c r="B75" s="661" t="s">
        <v>1592</v>
      </c>
      <c r="C75" s="2025">
        <v>44</v>
      </c>
      <c r="D75" s="50">
        <v>22</v>
      </c>
      <c r="E75" s="639">
        <v>2100</v>
      </c>
      <c r="F75" s="2012">
        <v>2020</v>
      </c>
      <c r="G75" s="2193">
        <f>IF(F75=0,"",F75/C75)</f>
        <v>45.909090909090907</v>
      </c>
      <c r="H75" s="2603">
        <f>IF(C75=0,"",C75/D75)</f>
        <v>2</v>
      </c>
      <c r="I75" s="647" t="s">
        <v>335</v>
      </c>
      <c r="J75" s="2048"/>
      <c r="K75" s="2650" t="s">
        <v>1594</v>
      </c>
      <c r="L75" s="1891"/>
      <c r="M75" s="1891"/>
      <c r="N75" s="1891"/>
      <c r="O75" s="1891"/>
      <c r="P75" s="31"/>
      <c r="Q75" s="31"/>
    </row>
    <row r="76" spans="1:20" hidden="1" outlineLevel="1" x14ac:dyDescent="0.15">
      <c r="A76" s="628" t="s">
        <v>1912</v>
      </c>
      <c r="B76" s="659" t="str">
        <f>A76</f>
        <v xml:space="preserve"> ==== 2016-2017 Server Platforms ====</v>
      </c>
      <c r="C76" s="656"/>
      <c r="D76" s="2022"/>
      <c r="E76" s="2023"/>
      <c r="F76" s="2189"/>
      <c r="G76" s="2190"/>
      <c r="H76" s="2606"/>
      <c r="I76" s="645"/>
      <c r="J76" s="2191" t="s">
        <v>165</v>
      </c>
      <c r="K76" s="2652" t="s">
        <v>1029</v>
      </c>
      <c r="L76" s="1149"/>
      <c r="M76" s="1149"/>
      <c r="N76" s="1149"/>
      <c r="O76" s="1149"/>
      <c r="R76" s="2194"/>
      <c r="S76" s="2195"/>
      <c r="T76" s="1149"/>
    </row>
    <row r="77" spans="1:20" hidden="1" outlineLevel="2" x14ac:dyDescent="0.15">
      <c r="A77" s="630" t="str">
        <f>CONCATENATE(B77," ",C77," core (",H77," chip) ",E77," MHz")&amp;IF(ISBLANK(F77),"**","")</f>
        <v>Xeon E3-1270v5 4 core (1 chip) 3600 MHz</v>
      </c>
      <c r="B77" s="661" t="s">
        <v>1383</v>
      </c>
      <c r="C77" s="2024">
        <v>4</v>
      </c>
      <c r="D77" s="52">
        <v>4</v>
      </c>
      <c r="E77" s="639">
        <v>3600</v>
      </c>
      <c r="F77" s="2192">
        <v>258</v>
      </c>
      <c r="G77" s="2193">
        <f>F77/C77</f>
        <v>64.5</v>
      </c>
      <c r="H77" s="2603">
        <f>C77/D77</f>
        <v>1</v>
      </c>
      <c r="I77" s="646" t="s">
        <v>335</v>
      </c>
      <c r="J77" s="2048">
        <v>80</v>
      </c>
      <c r="K77" s="2647" t="s">
        <v>1422</v>
      </c>
      <c r="L77" s="1149"/>
      <c r="M77" s="1149"/>
      <c r="N77" s="1149"/>
      <c r="O77" s="1149"/>
      <c r="P77" s="2196"/>
      <c r="Q77" s="2196"/>
      <c r="R77" s="2196"/>
      <c r="S77" s="2196"/>
      <c r="T77" s="1149"/>
    </row>
    <row r="78" spans="1:20" hidden="1" outlineLevel="2" x14ac:dyDescent="0.15">
      <c r="A78" s="630" t="str">
        <f>CONCATENATE(B78," ",C78," core (",H78," chip) ",E78," MHz")&amp;IF(ISBLANK(F78),"**","")</f>
        <v>Xeon E5-2637v4 4 core (1 chip) 3500 MHz</v>
      </c>
      <c r="B78" s="661" t="s">
        <v>1393</v>
      </c>
      <c r="C78" s="2024">
        <v>4</v>
      </c>
      <c r="D78" s="52">
        <v>4</v>
      </c>
      <c r="E78" s="639">
        <v>3500</v>
      </c>
      <c r="F78" s="2192">
        <v>240</v>
      </c>
      <c r="G78" s="2193">
        <f>F78/C78</f>
        <v>60</v>
      </c>
      <c r="H78" s="2603">
        <f>C78/D78</f>
        <v>1</v>
      </c>
      <c r="I78" s="646" t="s">
        <v>335</v>
      </c>
      <c r="J78" s="2048">
        <v>135</v>
      </c>
      <c r="K78" s="2647" t="s">
        <v>1423</v>
      </c>
      <c r="L78" s="1149"/>
      <c r="M78" s="1149"/>
      <c r="N78" s="1149"/>
      <c r="O78" s="1149"/>
      <c r="P78" s="2196"/>
      <c r="Q78" s="2196"/>
      <c r="R78" s="2196"/>
      <c r="S78" s="2196"/>
      <c r="T78" s="1149"/>
    </row>
    <row r="79" spans="1:20" hidden="1" outlineLevel="2" x14ac:dyDescent="0.15">
      <c r="A79" s="630" t="str">
        <f>CONCATENATE(B79," ",C79," core (",H79," chip) ",E79," MHz")&amp;IF(ISBLANK(F79),"**","")</f>
        <v>Xeon E5-2637v4 8 core (2 chip) 3500 MHz</v>
      </c>
      <c r="B79" s="661" t="s">
        <v>1393</v>
      </c>
      <c r="C79" s="2024">
        <v>8</v>
      </c>
      <c r="D79" s="52">
        <v>4</v>
      </c>
      <c r="E79" s="639">
        <v>3500</v>
      </c>
      <c r="F79" s="2192">
        <v>479</v>
      </c>
      <c r="G79" s="2193">
        <f>F79/C79</f>
        <v>59.875</v>
      </c>
      <c r="H79" s="2603">
        <f>C79/D79</f>
        <v>2</v>
      </c>
      <c r="I79" s="646" t="s">
        <v>335</v>
      </c>
      <c r="J79" s="2048">
        <v>135</v>
      </c>
      <c r="K79" s="2647" t="s">
        <v>1423</v>
      </c>
      <c r="L79" s="1149"/>
      <c r="M79" s="1149"/>
      <c r="N79" s="1149"/>
      <c r="O79" s="1149"/>
      <c r="P79" s="2196"/>
      <c r="Q79" s="2196"/>
      <c r="R79" s="2196"/>
      <c r="S79" s="2196"/>
      <c r="T79" s="1149"/>
    </row>
    <row r="80" spans="1:20" hidden="1" outlineLevel="2" x14ac:dyDescent="0.15">
      <c r="A80" s="630" t="str">
        <f>CONCATENATE(B80," ",C80," core (",H80," chip) ",E80," MHz")&amp;IF(ISBLANK(F80),"**","")</f>
        <v>Xeon E5-2643v4 12 core (2 chip) 3400 MHz</v>
      </c>
      <c r="B80" s="661" t="s">
        <v>1394</v>
      </c>
      <c r="C80" s="2024">
        <v>12</v>
      </c>
      <c r="D80" s="52">
        <v>6</v>
      </c>
      <c r="E80" s="639">
        <v>3400</v>
      </c>
      <c r="F80" s="2192">
        <v>702</v>
      </c>
      <c r="G80" s="2193">
        <f>F80/C80</f>
        <v>58.5</v>
      </c>
      <c r="H80" s="2603">
        <f>C80/D80</f>
        <v>2</v>
      </c>
      <c r="I80" s="646" t="s">
        <v>335</v>
      </c>
      <c r="J80" s="2048">
        <v>135</v>
      </c>
      <c r="K80" s="2647" t="s">
        <v>1423</v>
      </c>
      <c r="L80" s="1149"/>
      <c r="M80" s="1149"/>
      <c r="N80" s="1149"/>
      <c r="O80" s="1149"/>
      <c r="P80" s="2196"/>
      <c r="Q80" s="2196"/>
      <c r="R80" s="2196"/>
      <c r="S80" s="2196"/>
      <c r="T80" s="1149"/>
    </row>
    <row r="81" spans="1:20" hidden="1" outlineLevel="2" x14ac:dyDescent="0.15">
      <c r="A81" s="630" t="str">
        <f>CONCATENATE(B81," ",C81," core (",H81," chip) ",E81," MHz")&amp;IF(ISBLANK(F81),"**","")</f>
        <v>Xeon E5-2667v4 16 core (2 chip) 3200 MHz</v>
      </c>
      <c r="B81" s="661" t="s">
        <v>1395</v>
      </c>
      <c r="C81" s="2024">
        <v>16</v>
      </c>
      <c r="D81" s="52">
        <v>8</v>
      </c>
      <c r="E81" s="639">
        <v>3200</v>
      </c>
      <c r="F81" s="2192">
        <v>888</v>
      </c>
      <c r="G81" s="2193">
        <f>F81/C81</f>
        <v>55.5</v>
      </c>
      <c r="H81" s="2603">
        <f>C81/D81</f>
        <v>2</v>
      </c>
      <c r="I81" s="646" t="s">
        <v>335</v>
      </c>
      <c r="J81" s="2048">
        <v>135</v>
      </c>
      <c r="K81" s="2647" t="s">
        <v>1423</v>
      </c>
      <c r="L81" s="1149"/>
      <c r="M81" s="1149"/>
      <c r="N81" s="1149"/>
      <c r="O81" s="1149"/>
      <c r="R81" s="2196"/>
      <c r="S81" s="2196"/>
      <c r="T81" s="1149"/>
    </row>
    <row r="82" spans="1:20" s="693" customFormat="1" hidden="1" outlineLevel="2" x14ac:dyDescent="0.15">
      <c r="A82" s="630" t="str">
        <f t="shared" ref="A82:A87" si="9">CONCATENATE(B82," ",C82," core (",H82," chip) ",E82," MHz")</f>
        <v>Xeon E5-2689v4 20 core (2 chip) 3100 MHz</v>
      </c>
      <c r="B82" s="661" t="s">
        <v>1396</v>
      </c>
      <c r="C82" s="2025">
        <v>20</v>
      </c>
      <c r="D82" s="50">
        <v>10</v>
      </c>
      <c r="E82" s="639">
        <v>3100</v>
      </c>
      <c r="F82" s="2012">
        <v>1040</v>
      </c>
      <c r="G82" s="2193">
        <f>IF(F82=0,"",F82/C82)</f>
        <v>52</v>
      </c>
      <c r="H82" s="2603">
        <f>IF(C82=0,"",C82/D82)</f>
        <v>2</v>
      </c>
      <c r="I82" s="647" t="s">
        <v>335</v>
      </c>
      <c r="J82" s="2048">
        <v>165</v>
      </c>
      <c r="K82" s="2650" t="s">
        <v>1423</v>
      </c>
      <c r="L82" s="1304"/>
      <c r="M82" s="1304"/>
      <c r="N82" s="1304"/>
      <c r="O82" s="1304"/>
      <c r="P82" s="31"/>
      <c r="Q82" s="31"/>
    </row>
    <row r="83" spans="1:20" s="693" customFormat="1" hidden="1" outlineLevel="2" x14ac:dyDescent="0.15">
      <c r="A83" s="630" t="str">
        <f t="shared" si="9"/>
        <v>Xeon E5-2687Wv4 24 core (2 chip) 3000 MHz</v>
      </c>
      <c r="B83" s="661" t="s">
        <v>1397</v>
      </c>
      <c r="C83" s="2025">
        <v>24</v>
      </c>
      <c r="D83" s="50">
        <v>12</v>
      </c>
      <c r="E83" s="639">
        <v>3000</v>
      </c>
      <c r="F83" s="2012">
        <v>1180</v>
      </c>
      <c r="G83" s="2193">
        <f>IF(F83=0,"",F83/C83)</f>
        <v>49.166666666666664</v>
      </c>
      <c r="H83" s="2603">
        <f>IF(C83=0,"",C83/D83)</f>
        <v>2</v>
      </c>
      <c r="I83" s="647" t="s">
        <v>335</v>
      </c>
      <c r="J83" s="2048">
        <v>160</v>
      </c>
      <c r="K83" s="2650" t="s">
        <v>1423</v>
      </c>
      <c r="L83" s="1891"/>
      <c r="M83" s="1891"/>
      <c r="N83" s="1891"/>
      <c r="O83" s="1891"/>
      <c r="P83" s="31"/>
      <c r="Q83" s="31"/>
    </row>
    <row r="84" spans="1:20" s="693" customFormat="1" hidden="1" outlineLevel="2" x14ac:dyDescent="0.15">
      <c r="A84" s="630" t="str">
        <f t="shared" si="9"/>
        <v>Xeon E5-2690v4 28 core (2 chip) 2600 MHz</v>
      </c>
      <c r="B84" s="661" t="s">
        <v>1398</v>
      </c>
      <c r="C84" s="2025">
        <v>28</v>
      </c>
      <c r="D84" s="50">
        <v>14</v>
      </c>
      <c r="E84" s="639">
        <v>2600</v>
      </c>
      <c r="F84" s="2012">
        <v>1330</v>
      </c>
      <c r="G84" s="2193">
        <f>F84/C84</f>
        <v>47.5</v>
      </c>
      <c r="H84" s="2603">
        <f>C84/D84</f>
        <v>2</v>
      </c>
      <c r="I84" s="646" t="s">
        <v>335</v>
      </c>
      <c r="J84" s="2048">
        <v>135</v>
      </c>
      <c r="K84" s="2648" t="s">
        <v>1423</v>
      </c>
      <c r="P84" s="31"/>
      <c r="Q84" s="31"/>
    </row>
    <row r="85" spans="1:20" s="693" customFormat="1" hidden="1" outlineLevel="2" x14ac:dyDescent="0.15">
      <c r="A85" s="630" t="str">
        <f t="shared" si="9"/>
        <v>Xeon E5-2697Av4 32 core (2 chip) 2600 MHz</v>
      </c>
      <c r="B85" s="661" t="s">
        <v>1399</v>
      </c>
      <c r="C85" s="2025">
        <v>32</v>
      </c>
      <c r="D85" s="50">
        <v>16</v>
      </c>
      <c r="E85" s="639">
        <v>2600</v>
      </c>
      <c r="F85" s="2012">
        <v>1420</v>
      </c>
      <c r="G85" s="2193">
        <f>IF(F85=0,"",F85/C85)</f>
        <v>44.375</v>
      </c>
      <c r="H85" s="2603">
        <f>IF(C85=0,"",C85/D85)</f>
        <v>2</v>
      </c>
      <c r="I85" s="647" t="s">
        <v>335</v>
      </c>
      <c r="J85" s="2048">
        <v>145</v>
      </c>
      <c r="K85" s="2650" t="s">
        <v>1423</v>
      </c>
      <c r="L85" s="1304"/>
      <c r="M85" s="1304"/>
      <c r="N85" s="1304"/>
      <c r="O85" s="1304"/>
      <c r="P85" s="31"/>
      <c r="Q85" s="31"/>
    </row>
    <row r="86" spans="1:20" s="693" customFormat="1" hidden="1" outlineLevel="2" x14ac:dyDescent="0.15">
      <c r="A86" s="630" t="str">
        <f t="shared" si="9"/>
        <v>Xeon E5-2697v4 36 core (2 chip) 2300 MHz</v>
      </c>
      <c r="B86" s="661" t="s">
        <v>1400</v>
      </c>
      <c r="C86" s="2025">
        <v>36</v>
      </c>
      <c r="D86" s="50">
        <v>18</v>
      </c>
      <c r="E86" s="639">
        <v>2300</v>
      </c>
      <c r="F86" s="2012">
        <v>1510</v>
      </c>
      <c r="G86" s="2193">
        <f>IF(F86=0,"",F86/C86)</f>
        <v>41.944444444444443</v>
      </c>
      <c r="H86" s="2603">
        <f>IF(C86=0,"",C86/D86)</f>
        <v>2</v>
      </c>
      <c r="I86" s="647" t="s">
        <v>335</v>
      </c>
      <c r="J86" s="2048">
        <v>145</v>
      </c>
      <c r="K86" s="2650" t="s">
        <v>1423</v>
      </c>
      <c r="L86" s="1891"/>
      <c r="M86" s="1891"/>
      <c r="N86" s="1891"/>
      <c r="O86" s="1891"/>
      <c r="P86" s="31"/>
      <c r="Q86" s="31"/>
    </row>
    <row r="87" spans="1:20" s="693" customFormat="1" hidden="1" outlineLevel="2" x14ac:dyDescent="0.15">
      <c r="A87" s="630" t="str">
        <f t="shared" si="9"/>
        <v>Xeon E5-2699Av4 44 core (2 chip) 2400 MHz</v>
      </c>
      <c r="B87" s="661" t="s">
        <v>1503</v>
      </c>
      <c r="C87" s="2025">
        <v>44</v>
      </c>
      <c r="D87" s="50">
        <v>22</v>
      </c>
      <c r="E87" s="639">
        <v>2400</v>
      </c>
      <c r="F87" s="2012">
        <v>1810</v>
      </c>
      <c r="G87" s="2193">
        <f>F87/C87</f>
        <v>41.136363636363633</v>
      </c>
      <c r="H87" s="2603">
        <f>C87/D87</f>
        <v>2</v>
      </c>
      <c r="I87" s="646" t="s">
        <v>335</v>
      </c>
      <c r="J87" s="2048">
        <v>145</v>
      </c>
      <c r="K87" s="2648" t="s">
        <v>1423</v>
      </c>
      <c r="P87" s="31"/>
      <c r="Q87" s="31"/>
    </row>
    <row r="88" spans="1:20" hidden="1" outlineLevel="1" x14ac:dyDescent="0.15">
      <c r="A88" s="636"/>
      <c r="B88" s="2040"/>
      <c r="C88" s="2041"/>
      <c r="D88" s="641"/>
      <c r="E88" s="2042"/>
      <c r="F88" s="882"/>
      <c r="G88" s="2019"/>
      <c r="H88" s="2608"/>
      <c r="I88" s="649"/>
      <c r="J88" s="2646"/>
      <c r="K88" s="2837"/>
      <c r="L88" s="2904"/>
      <c r="M88" s="3055"/>
      <c r="N88" s="1152"/>
      <c r="O88" s="1152"/>
      <c r="R88" s="3074"/>
      <c r="S88" s="3073"/>
    </row>
    <row r="89" spans="1:20" collapsed="1" x14ac:dyDescent="0.15">
      <c r="A89" s="627" t="s">
        <v>1429</v>
      </c>
      <c r="B89" s="662" t="str">
        <f>A89</f>
        <v xml:space="preserve"> ==== Intel Windows Server Candidates ======</v>
      </c>
      <c r="C89" s="657"/>
      <c r="D89" s="2027"/>
      <c r="E89" s="2028"/>
      <c r="F89" s="2013"/>
      <c r="G89" s="3052"/>
      <c r="H89" s="2605"/>
      <c r="I89" s="644"/>
      <c r="J89" s="673"/>
      <c r="K89" s="2651"/>
    </row>
    <row r="90" spans="1:20" hidden="1" outlineLevel="1" x14ac:dyDescent="0.15">
      <c r="A90" s="628" t="s">
        <v>1848</v>
      </c>
      <c r="B90" s="659" t="str">
        <f>A90</f>
        <v xml:space="preserve"> ==== 2018  Server Platforms ====</v>
      </c>
      <c r="C90" s="656"/>
      <c r="D90" s="2022"/>
      <c r="E90" s="2023"/>
      <c r="F90" s="2189"/>
      <c r="G90" s="2190"/>
      <c r="H90" s="2606"/>
      <c r="I90" s="645"/>
      <c r="J90" s="2191" t="s">
        <v>165</v>
      </c>
      <c r="K90" s="2652" t="s">
        <v>1029</v>
      </c>
      <c r="L90" s="1149"/>
      <c r="M90" s="1149"/>
      <c r="N90" s="1149"/>
      <c r="O90" s="1149"/>
      <c r="R90" s="2194"/>
      <c r="S90" s="2195"/>
      <c r="T90" s="1149"/>
    </row>
    <row r="91" spans="1:20" hidden="1" outlineLevel="2" x14ac:dyDescent="0.15">
      <c r="A91" s="630" t="str">
        <f t="shared" ref="A91:A97" si="10">CONCATENATE(B91," ",C91," core (",H91," chip) ",E91," MHz")&amp;IF(ISBLANK(F91),"**","")</f>
        <v>Xeon E3-1280v6 4 core (1 chip) 3900 MHz</v>
      </c>
      <c r="B91" s="661" t="s">
        <v>1593</v>
      </c>
      <c r="C91" s="2024">
        <v>4</v>
      </c>
      <c r="D91" s="52">
        <v>4</v>
      </c>
      <c r="E91" s="639">
        <v>3900</v>
      </c>
      <c r="F91" s="2192">
        <v>274</v>
      </c>
      <c r="G91" s="2193">
        <f t="shared" ref="G91:G97" si="11">F91/C91</f>
        <v>68.5</v>
      </c>
      <c r="H91" s="2603">
        <f t="shared" ref="H91:H97" si="12">C91/D91</f>
        <v>1</v>
      </c>
      <c r="I91" s="646" t="s">
        <v>335</v>
      </c>
      <c r="J91" s="2048"/>
      <c r="K91" s="2647" t="s">
        <v>1595</v>
      </c>
      <c r="L91" s="1149"/>
      <c r="M91" s="1149"/>
      <c r="N91" s="1149"/>
      <c r="O91" s="1149"/>
      <c r="P91" s="2196"/>
      <c r="Q91" s="2196"/>
      <c r="R91" s="2196"/>
      <c r="S91" s="2196"/>
      <c r="T91" s="1149"/>
    </row>
    <row r="92" spans="1:20" hidden="1" outlineLevel="2" x14ac:dyDescent="0.15">
      <c r="A92" s="630" t="str">
        <f t="shared" ref="A92" si="13">CONCATENATE(B92," ",C92," core (",H92," chip) ",E92," MHz")&amp;IF(ISBLANK(F92),"**","")</f>
        <v>Xeon Gold 5122 4 core (1 chip) 3600 MHz</v>
      </c>
      <c r="B92" s="661" t="s">
        <v>1583</v>
      </c>
      <c r="C92" s="2024">
        <v>4</v>
      </c>
      <c r="D92" s="52">
        <v>4</v>
      </c>
      <c r="E92" s="639">
        <v>3600</v>
      </c>
      <c r="F92" s="2192">
        <v>279</v>
      </c>
      <c r="G92" s="2193">
        <f t="shared" ref="G92" si="14">F92/C92</f>
        <v>69.75</v>
      </c>
      <c r="H92" s="2603">
        <f t="shared" ref="H92" si="15">C92/D92</f>
        <v>1</v>
      </c>
      <c r="I92" s="646" t="s">
        <v>335</v>
      </c>
      <c r="J92" s="2048"/>
      <c r="K92" s="2647" t="s">
        <v>1594</v>
      </c>
      <c r="L92" s="1149"/>
      <c r="M92" s="1149"/>
      <c r="N92" s="1149"/>
      <c r="O92" s="1149"/>
      <c r="P92" s="2196"/>
      <c r="Q92" s="2196"/>
      <c r="R92" s="2196"/>
      <c r="S92" s="2196"/>
      <c r="T92" s="1149"/>
    </row>
    <row r="93" spans="1:20" hidden="1" outlineLevel="2" x14ac:dyDescent="0.15">
      <c r="A93" s="630" t="str">
        <f t="shared" si="10"/>
        <v>Xeon Gold 5122 8 core (2 chip) 3600 MHz</v>
      </c>
      <c r="B93" s="661" t="s">
        <v>1583</v>
      </c>
      <c r="C93" s="2024">
        <v>8</v>
      </c>
      <c r="D93" s="52">
        <v>4</v>
      </c>
      <c r="E93" s="639">
        <v>3600</v>
      </c>
      <c r="F93" s="2192">
        <v>576</v>
      </c>
      <c r="G93" s="2193">
        <f t="shared" si="11"/>
        <v>72</v>
      </c>
      <c r="H93" s="2603">
        <f t="shared" si="12"/>
        <v>2</v>
      </c>
      <c r="I93" s="646" t="s">
        <v>335</v>
      </c>
      <c r="J93" s="2048"/>
      <c r="K93" s="2647" t="s">
        <v>1594</v>
      </c>
      <c r="L93" s="1149"/>
      <c r="M93" s="1149"/>
      <c r="N93" s="1149"/>
      <c r="O93" s="1149"/>
      <c r="P93" s="2196"/>
      <c r="Q93" s="2196"/>
      <c r="R93" s="2196"/>
      <c r="S93" s="2196"/>
      <c r="T93" s="1149"/>
    </row>
    <row r="94" spans="1:20" hidden="1" outlineLevel="2" x14ac:dyDescent="0.15">
      <c r="A94" s="630" t="str">
        <f t="shared" si="10"/>
        <v>Xeon Gold 6128 12 core (2 chip) 3400 MHz</v>
      </c>
      <c r="B94" s="661" t="s">
        <v>1584</v>
      </c>
      <c r="C94" s="2024">
        <v>12</v>
      </c>
      <c r="D94" s="52">
        <v>6</v>
      </c>
      <c r="E94" s="639">
        <v>3400</v>
      </c>
      <c r="F94" s="2192">
        <v>809</v>
      </c>
      <c r="G94" s="2193">
        <f t="shared" si="11"/>
        <v>67.416666666666671</v>
      </c>
      <c r="H94" s="2603">
        <f t="shared" si="12"/>
        <v>2</v>
      </c>
      <c r="I94" s="646" t="s">
        <v>335</v>
      </c>
      <c r="J94" s="2048"/>
      <c r="K94" s="2647" t="s">
        <v>1594</v>
      </c>
      <c r="L94" s="1149"/>
      <c r="M94" s="1149"/>
      <c r="N94" s="1149"/>
      <c r="O94" s="1149"/>
      <c r="P94" s="2196"/>
      <c r="Q94" s="2196"/>
      <c r="R94" s="2196"/>
      <c r="S94" s="2196"/>
      <c r="T94" s="1149"/>
    </row>
    <row r="95" spans="1:20" hidden="1" outlineLevel="2" x14ac:dyDescent="0.15">
      <c r="A95" s="630" t="str">
        <f t="shared" si="10"/>
        <v>Xeon Gold 6144 16 core (2 chip) 3500 MHz</v>
      </c>
      <c r="B95" s="661" t="s">
        <v>1825</v>
      </c>
      <c r="C95" s="2024">
        <v>16</v>
      </c>
      <c r="D95" s="52">
        <v>8</v>
      </c>
      <c r="E95" s="639">
        <v>3500</v>
      </c>
      <c r="F95" s="2192">
        <v>1120</v>
      </c>
      <c r="G95" s="2193">
        <f t="shared" si="11"/>
        <v>70</v>
      </c>
      <c r="H95" s="2603">
        <f t="shared" si="12"/>
        <v>2</v>
      </c>
      <c r="I95" s="646" t="s">
        <v>335</v>
      </c>
      <c r="J95" s="2048"/>
      <c r="K95" s="2647" t="s">
        <v>1594</v>
      </c>
      <c r="L95" s="1149"/>
      <c r="M95" s="1149"/>
      <c r="N95" s="1149"/>
      <c r="O95" s="1149"/>
      <c r="P95" s="2196"/>
      <c r="Q95" s="2196"/>
      <c r="R95" s="2196"/>
      <c r="S95" s="2196"/>
      <c r="T95" s="1149"/>
    </row>
    <row r="96" spans="1:20" hidden="1" outlineLevel="2" x14ac:dyDescent="0.15">
      <c r="A96" s="630" t="str">
        <f t="shared" si="10"/>
        <v>Xeon Gold 5115 20 core (2 chip) 2400 MHz</v>
      </c>
      <c r="B96" s="661" t="s">
        <v>1586</v>
      </c>
      <c r="C96" s="2024">
        <v>20</v>
      </c>
      <c r="D96" s="52">
        <v>10</v>
      </c>
      <c r="E96" s="639">
        <v>2400</v>
      </c>
      <c r="F96" s="2192">
        <v>976</v>
      </c>
      <c r="G96" s="2193">
        <f t="shared" si="11"/>
        <v>48.8</v>
      </c>
      <c r="H96" s="2603">
        <f t="shared" si="12"/>
        <v>2</v>
      </c>
      <c r="I96" s="646" t="s">
        <v>335</v>
      </c>
      <c r="J96" s="2048"/>
      <c r="K96" s="2647" t="s">
        <v>1594</v>
      </c>
      <c r="L96" s="1149"/>
      <c r="M96" s="1149"/>
      <c r="N96" s="1149"/>
      <c r="O96" s="1149"/>
      <c r="P96" s="2196"/>
      <c r="Q96" s="2196"/>
      <c r="R96" s="2196"/>
      <c r="S96" s="2196"/>
      <c r="T96" s="1149"/>
    </row>
    <row r="97" spans="1:20" hidden="1" outlineLevel="2" x14ac:dyDescent="0.15">
      <c r="A97" s="630" t="str">
        <f t="shared" si="10"/>
        <v>Xeon Gold 6146 24 core (2 chip) 3400 MHz</v>
      </c>
      <c r="B97" s="661" t="s">
        <v>1828</v>
      </c>
      <c r="C97" s="2024">
        <v>24</v>
      </c>
      <c r="D97" s="52">
        <v>12</v>
      </c>
      <c r="E97" s="639">
        <v>3400</v>
      </c>
      <c r="F97" s="2192">
        <v>1630</v>
      </c>
      <c r="G97" s="2193">
        <f t="shared" si="11"/>
        <v>67.916666666666671</v>
      </c>
      <c r="H97" s="2603">
        <f t="shared" si="12"/>
        <v>2</v>
      </c>
      <c r="I97" s="646" t="s">
        <v>335</v>
      </c>
      <c r="J97" s="2048"/>
      <c r="K97" s="2647" t="s">
        <v>1594</v>
      </c>
      <c r="L97" s="1149"/>
      <c r="M97" s="1149"/>
      <c r="N97" s="1149"/>
      <c r="O97" s="1149"/>
      <c r="R97" s="2196"/>
      <c r="S97" s="2196"/>
      <c r="T97" s="1149"/>
    </row>
    <row r="98" spans="1:20" s="693" customFormat="1" hidden="1" outlineLevel="2" x14ac:dyDescent="0.15">
      <c r="A98" s="630" t="str">
        <f>CONCATENATE(B98," ",C98," core (",H98," chip) ",E98," MHz")</f>
        <v>Xeon Gold 6132 28 core (2 chip) 2600 MHz</v>
      </c>
      <c r="B98" s="661" t="s">
        <v>1588</v>
      </c>
      <c r="C98" s="2025">
        <v>28</v>
      </c>
      <c r="D98" s="50">
        <v>14</v>
      </c>
      <c r="E98" s="639">
        <v>2600</v>
      </c>
      <c r="F98" s="2012">
        <v>1540</v>
      </c>
      <c r="G98" s="2193">
        <f>IF(F98=0,"",F98/C98)</f>
        <v>55</v>
      </c>
      <c r="H98" s="2603">
        <f>IF(C98=0,"",C98/D98)</f>
        <v>2</v>
      </c>
      <c r="I98" s="647" t="s">
        <v>335</v>
      </c>
      <c r="J98" s="2048"/>
      <c r="K98" s="2650" t="s">
        <v>1594</v>
      </c>
      <c r="L98" s="1304"/>
      <c r="M98" s="1304"/>
      <c r="N98" s="1304"/>
      <c r="O98" s="1304"/>
      <c r="P98" s="31"/>
      <c r="Q98" s="31"/>
    </row>
    <row r="99" spans="1:20" s="693" customFormat="1" hidden="1" outlineLevel="2" x14ac:dyDescent="0.15">
      <c r="A99" s="630" t="str">
        <f>CONCATENATE(B99," ",C99," core (",H99," chip) ",E99," MHz")</f>
        <v>Xeon Gold 6142 32 core (2 chip) 2600 MHz</v>
      </c>
      <c r="B99" s="661" t="s">
        <v>1589</v>
      </c>
      <c r="C99" s="2025">
        <v>32</v>
      </c>
      <c r="D99" s="50">
        <v>16</v>
      </c>
      <c r="E99" s="639">
        <v>2600</v>
      </c>
      <c r="F99" s="2012">
        <v>1690</v>
      </c>
      <c r="G99" s="2193">
        <f>IF(F99=0,"",F99/C99)</f>
        <v>52.8125</v>
      </c>
      <c r="H99" s="2603">
        <f>IF(C99=0,"",C99/D99)</f>
        <v>2</v>
      </c>
      <c r="I99" s="647" t="s">
        <v>335</v>
      </c>
      <c r="J99" s="2048"/>
      <c r="K99" s="2650" t="s">
        <v>1594</v>
      </c>
      <c r="L99" s="1891"/>
      <c r="M99" s="1891"/>
      <c r="N99" s="1891"/>
      <c r="O99" s="1891"/>
      <c r="P99" s="31"/>
      <c r="Q99" s="31"/>
    </row>
    <row r="100" spans="1:20" s="693" customFormat="1" hidden="1" outlineLevel="2" x14ac:dyDescent="0.15">
      <c r="A100" s="630" t="str">
        <f>CONCATENATE(B100," ",C100," core (",H100," chip) ",E100," MHz")</f>
        <v>Xeon Gold 6154 36 core (2 chip) 3000 MHz</v>
      </c>
      <c r="B100" s="661" t="s">
        <v>1590</v>
      </c>
      <c r="C100" s="2025">
        <v>36</v>
      </c>
      <c r="D100" s="50">
        <v>18</v>
      </c>
      <c r="E100" s="639">
        <v>3000</v>
      </c>
      <c r="F100" s="2012">
        <v>2100</v>
      </c>
      <c r="G100" s="2193">
        <f>F100/C100</f>
        <v>58.333333333333336</v>
      </c>
      <c r="H100" s="2603">
        <f>C100/D100</f>
        <v>2</v>
      </c>
      <c r="I100" s="646" t="s">
        <v>335</v>
      </c>
      <c r="J100" s="2048"/>
      <c r="K100" s="2648" t="s">
        <v>1594</v>
      </c>
      <c r="P100" s="31"/>
      <c r="Q100" s="31"/>
    </row>
    <row r="101" spans="1:20" s="693" customFormat="1" hidden="1" outlineLevel="2" x14ac:dyDescent="0.15">
      <c r="A101" s="630" t="str">
        <f>CONCATENATE(B101," ",C101," core (",H101," chip) ",E101," MHz")</f>
        <v>Xeon Gold 6148 40 core (2 chip) 2400 MHz</v>
      </c>
      <c r="B101" s="661" t="s">
        <v>1591</v>
      </c>
      <c r="C101" s="2025">
        <v>40</v>
      </c>
      <c r="D101" s="50">
        <v>20</v>
      </c>
      <c r="E101" s="639">
        <v>2400</v>
      </c>
      <c r="F101" s="2012">
        <v>1980</v>
      </c>
      <c r="G101" s="2193">
        <f>IF(F101=0,"",F101/C101)</f>
        <v>49.5</v>
      </c>
      <c r="H101" s="2603">
        <f>IF(C101=0,"",C101/D101)</f>
        <v>2</v>
      </c>
      <c r="I101" s="647" t="s">
        <v>335</v>
      </c>
      <c r="J101" s="2048"/>
      <c r="K101" s="2650" t="s">
        <v>1594</v>
      </c>
      <c r="L101" s="1304"/>
      <c r="M101" s="1304"/>
      <c r="N101" s="1304"/>
      <c r="O101" s="1304"/>
      <c r="P101" s="31"/>
      <c r="Q101" s="31"/>
    </row>
    <row r="102" spans="1:20" s="693" customFormat="1" hidden="1" outlineLevel="2" x14ac:dyDescent="0.15">
      <c r="A102" s="630" t="str">
        <f>CONCATENATE(B102," ",C102," core (",H102," chip) ",E102," MHz")</f>
        <v>Xeon Gold 6152 44 core (2 chip) 2100 MHz</v>
      </c>
      <c r="B102" s="661" t="s">
        <v>1592</v>
      </c>
      <c r="C102" s="2025">
        <v>44</v>
      </c>
      <c r="D102" s="50">
        <v>22</v>
      </c>
      <c r="E102" s="639">
        <v>2100</v>
      </c>
      <c r="F102" s="2012">
        <v>2020</v>
      </c>
      <c r="G102" s="2193">
        <f>IF(F102=0,"",F102/C102)</f>
        <v>45.909090909090907</v>
      </c>
      <c r="H102" s="2603">
        <f>IF(C102=0,"",C102/D102)</f>
        <v>2</v>
      </c>
      <c r="I102" s="647" t="s">
        <v>335</v>
      </c>
      <c r="J102" s="2048"/>
      <c r="K102" s="2650" t="s">
        <v>1594</v>
      </c>
      <c r="L102" s="1891"/>
      <c r="M102" s="1891"/>
      <c r="N102" s="1891"/>
      <c r="O102" s="1891"/>
      <c r="P102" s="31"/>
      <c r="Q102" s="31"/>
    </row>
    <row r="103" spans="1:20" hidden="1" outlineLevel="2" x14ac:dyDescent="0.15">
      <c r="A103" s="630" t="str">
        <f>CONCATENATE(B103," ",C103," core (",H103," chip) ",E103," MHz")&amp;IF(ISBLANK(F103),"**","")</f>
        <v>Xeon Gold 5122 16 core (4 chip) 3600 MHz</v>
      </c>
      <c r="B103" s="661" t="s">
        <v>1583</v>
      </c>
      <c r="C103" s="2024">
        <v>16</v>
      </c>
      <c r="D103" s="52">
        <v>4</v>
      </c>
      <c r="E103" s="639">
        <v>3600</v>
      </c>
      <c r="F103" s="2192">
        <v>1080</v>
      </c>
      <c r="G103" s="2193">
        <f>F103/C103</f>
        <v>67.5</v>
      </c>
      <c r="H103" s="2603">
        <f>C103/D103</f>
        <v>4</v>
      </c>
      <c r="I103" s="646" t="s">
        <v>335</v>
      </c>
      <c r="J103" s="2048"/>
      <c r="K103" s="2647" t="s">
        <v>1594</v>
      </c>
      <c r="L103" s="1149"/>
      <c r="M103" s="1149"/>
      <c r="N103" s="1149"/>
      <c r="O103" s="1149"/>
      <c r="P103" s="2196"/>
      <c r="Q103" s="2196"/>
      <c r="R103" s="2196"/>
      <c r="S103" s="2196"/>
      <c r="T103" s="1149"/>
    </row>
    <row r="104" spans="1:20" hidden="1" outlineLevel="2" x14ac:dyDescent="0.15">
      <c r="A104" s="630" t="str">
        <f>CONCATENATE(B104," ",C104," core (",H104," chip) ",E104," MHz")&amp;IF(ISBLANK(F104),"**","")</f>
        <v>Xeon Gold 6128 24 core (4 chip) 3400 MHz</v>
      </c>
      <c r="B104" s="661" t="s">
        <v>1584</v>
      </c>
      <c r="C104" s="2024">
        <v>24</v>
      </c>
      <c r="D104" s="52">
        <v>6</v>
      </c>
      <c r="E104" s="639">
        <v>3400</v>
      </c>
      <c r="F104" s="2192">
        <v>1600</v>
      </c>
      <c r="G104" s="2193">
        <f>F104/C104</f>
        <v>66.666666666666671</v>
      </c>
      <c r="H104" s="2603">
        <f>C104/D104</f>
        <v>4</v>
      </c>
      <c r="I104" s="646" t="s">
        <v>335</v>
      </c>
      <c r="J104" s="2048"/>
      <c r="K104" s="2647" t="s">
        <v>1594</v>
      </c>
      <c r="L104" s="1149"/>
      <c r="M104" s="1149"/>
      <c r="N104" s="1149"/>
      <c r="O104" s="1149"/>
      <c r="P104" s="2196"/>
      <c r="Q104" s="2196"/>
      <c r="R104" s="2196"/>
      <c r="S104" s="2196"/>
      <c r="T104" s="1149"/>
    </row>
    <row r="105" spans="1:20" hidden="1" outlineLevel="2" x14ac:dyDescent="0.15">
      <c r="A105" s="630" t="str">
        <f>CONCATENATE(B105," ",C105," core (",H105," chip) ",E105," MHz")&amp;IF(ISBLANK(F105),"**","")</f>
        <v>Xeon Gold 6134 32 core (4 chip) 3200 MHz</v>
      </c>
      <c r="B105" s="661" t="s">
        <v>1585</v>
      </c>
      <c r="C105" s="2024">
        <v>32</v>
      </c>
      <c r="D105" s="52">
        <v>8</v>
      </c>
      <c r="E105" s="639">
        <v>3200</v>
      </c>
      <c r="F105" s="2192">
        <v>2030</v>
      </c>
      <c r="G105" s="2193">
        <f>F105/C105</f>
        <v>63.4375</v>
      </c>
      <c r="H105" s="2603">
        <f>C105/D105</f>
        <v>4</v>
      </c>
      <c r="I105" s="646" t="s">
        <v>335</v>
      </c>
      <c r="J105" s="2048"/>
      <c r="K105" s="2647" t="s">
        <v>1594</v>
      </c>
      <c r="L105" s="1149"/>
      <c r="M105" s="1149"/>
      <c r="N105" s="1149"/>
      <c r="O105" s="1149"/>
      <c r="P105" s="2196"/>
      <c r="Q105" s="2196"/>
      <c r="R105" s="2196"/>
      <c r="S105" s="2196"/>
      <c r="T105" s="1149"/>
    </row>
    <row r="106" spans="1:20" hidden="1" outlineLevel="2" x14ac:dyDescent="0.15">
      <c r="A106" s="630" t="str">
        <f>CONCATENATE(B106," ",C106," core (",H106," chip) ",E106," MHz")&amp;IF(ISBLANK(F106),"**","")</f>
        <v>Xeon Gold 5115 40 core (4 chip) 2400 MHz</v>
      </c>
      <c r="B106" s="661" t="s">
        <v>1586</v>
      </c>
      <c r="C106" s="2024">
        <v>40</v>
      </c>
      <c r="D106" s="52">
        <v>10</v>
      </c>
      <c r="E106" s="639">
        <v>2400</v>
      </c>
      <c r="F106" s="2192">
        <v>1840</v>
      </c>
      <c r="G106" s="2193">
        <f>F106/C106</f>
        <v>46</v>
      </c>
      <c r="H106" s="2603">
        <f>C106/D106</f>
        <v>4</v>
      </c>
      <c r="I106" s="646" t="s">
        <v>335</v>
      </c>
      <c r="J106" s="2048"/>
      <c r="K106" s="2647" t="s">
        <v>1594</v>
      </c>
      <c r="L106" s="1149"/>
      <c r="M106" s="1149"/>
      <c r="N106" s="1149"/>
      <c r="O106" s="1149"/>
      <c r="R106" s="2196"/>
      <c r="S106" s="2196"/>
      <c r="T106" s="1149"/>
    </row>
    <row r="107" spans="1:20" hidden="1" outlineLevel="2" x14ac:dyDescent="0.15">
      <c r="A107" s="630" t="str">
        <f>CONCATENATE(B107," ",C107," core (",H107," chip) ",E107," MHz")&amp;IF(ISBLANK(F107),"**","")</f>
        <v>Xeon Gold 6136 48 core (4 chip) 3000 MHz</v>
      </c>
      <c r="B107" s="661" t="s">
        <v>1587</v>
      </c>
      <c r="C107" s="2024">
        <v>48</v>
      </c>
      <c r="D107" s="52">
        <v>12</v>
      </c>
      <c r="E107" s="639">
        <v>3000</v>
      </c>
      <c r="F107" s="2192">
        <v>2860</v>
      </c>
      <c r="G107" s="2193">
        <f>F107/C107</f>
        <v>59.583333333333336</v>
      </c>
      <c r="H107" s="2603">
        <f>C107/D107</f>
        <v>4</v>
      </c>
      <c r="I107" s="646" t="s">
        <v>335</v>
      </c>
      <c r="J107" s="2048"/>
      <c r="K107" s="2647" t="s">
        <v>1594</v>
      </c>
      <c r="L107" s="1149"/>
      <c r="M107" s="1149"/>
      <c r="N107" s="1149"/>
      <c r="O107" s="1149"/>
      <c r="R107" s="2196"/>
      <c r="S107" s="2196"/>
      <c r="T107" s="1149"/>
    </row>
    <row r="108" spans="1:20" s="693" customFormat="1" hidden="1" outlineLevel="2" x14ac:dyDescent="0.15">
      <c r="A108" s="630" t="str">
        <f>CONCATENATE(B108," ",C108," core (",H108," chip) ",E108," MHz")</f>
        <v>Xeon Gold 6132 56 core (4 chip) 2600 MHz</v>
      </c>
      <c r="B108" s="661" t="s">
        <v>1588</v>
      </c>
      <c r="C108" s="2025">
        <v>56</v>
      </c>
      <c r="D108" s="50">
        <v>14</v>
      </c>
      <c r="E108" s="639">
        <v>2600</v>
      </c>
      <c r="F108" s="2012">
        <v>2930</v>
      </c>
      <c r="G108" s="2193">
        <f>IF(F108=0,"",F108/C108)</f>
        <v>52.321428571428569</v>
      </c>
      <c r="H108" s="2603">
        <f>IF(C108=0,"",C108/D108)</f>
        <v>4</v>
      </c>
      <c r="I108" s="647" t="s">
        <v>335</v>
      </c>
      <c r="J108" s="2048"/>
      <c r="K108" s="2650" t="s">
        <v>1594</v>
      </c>
      <c r="L108" s="1304"/>
      <c r="M108" s="1304"/>
      <c r="N108" s="1304"/>
      <c r="O108" s="1304"/>
      <c r="P108" s="31"/>
      <c r="Q108" s="31"/>
    </row>
    <row r="109" spans="1:20" s="693" customFormat="1" hidden="1" outlineLevel="2" x14ac:dyDescent="0.15">
      <c r="A109" s="630" t="str">
        <f>CONCATENATE(B109," ",C109," core (",H109," chip) ",E109," MHz")</f>
        <v>Xeon Gold 6142 64 core (4 chip) 2600 MHz</v>
      </c>
      <c r="B109" s="661" t="s">
        <v>1589</v>
      </c>
      <c r="C109" s="2025">
        <v>64</v>
      </c>
      <c r="D109" s="50">
        <v>16</v>
      </c>
      <c r="E109" s="639">
        <v>2600</v>
      </c>
      <c r="F109" s="2012">
        <v>3280</v>
      </c>
      <c r="G109" s="2193">
        <f>IF(F109=0,"",F109/C109)</f>
        <v>51.25</v>
      </c>
      <c r="H109" s="2603">
        <f>IF(C109=0,"",C109/D109)</f>
        <v>4</v>
      </c>
      <c r="I109" s="647" t="s">
        <v>335</v>
      </c>
      <c r="J109" s="2048"/>
      <c r="K109" s="2650" t="s">
        <v>1594</v>
      </c>
      <c r="L109" s="1891"/>
      <c r="M109" s="1891"/>
      <c r="N109" s="1891"/>
      <c r="O109" s="1891"/>
      <c r="P109" s="31"/>
      <c r="Q109" s="31"/>
    </row>
    <row r="110" spans="1:20" s="693" customFormat="1" hidden="1" outlineLevel="2" x14ac:dyDescent="0.15">
      <c r="A110" s="630" t="str">
        <f>CONCATENATE(B110," ",C110," core (",H110," chip) ",E110," MHz")</f>
        <v>Xeon Gold 6154 72 core (4 chip) 3000 MHz</v>
      </c>
      <c r="B110" s="661" t="s">
        <v>1590</v>
      </c>
      <c r="C110" s="2025">
        <v>72</v>
      </c>
      <c r="D110" s="50">
        <v>18</v>
      </c>
      <c r="E110" s="639">
        <v>3000</v>
      </c>
      <c r="F110" s="2012">
        <v>4040</v>
      </c>
      <c r="G110" s="2193">
        <f>F110/C110</f>
        <v>56.111111111111114</v>
      </c>
      <c r="H110" s="2603">
        <f>C110/D110</f>
        <v>4</v>
      </c>
      <c r="I110" s="646" t="s">
        <v>335</v>
      </c>
      <c r="J110" s="2048"/>
      <c r="K110" s="2648" t="s">
        <v>1594</v>
      </c>
      <c r="P110" s="31"/>
      <c r="Q110" s="31"/>
    </row>
    <row r="111" spans="1:20" s="693" customFormat="1" hidden="1" outlineLevel="2" x14ac:dyDescent="0.15">
      <c r="A111" s="630" t="str">
        <f>CONCATENATE(B111," ",C111," core (",H111," chip) ",E111," MHz")</f>
        <v>Xeon Gold 6148 80 core (4 chip) 2400 MHz</v>
      </c>
      <c r="B111" s="661" t="s">
        <v>1591</v>
      </c>
      <c r="C111" s="2025">
        <v>80</v>
      </c>
      <c r="D111" s="50">
        <v>20</v>
      </c>
      <c r="E111" s="639">
        <v>2400</v>
      </c>
      <c r="F111" s="2012">
        <v>3730</v>
      </c>
      <c r="G111" s="2193">
        <f>IF(F111=0,"",F111/C111)</f>
        <v>46.625</v>
      </c>
      <c r="H111" s="2603">
        <f>IF(C111=0,"",C111/D111)</f>
        <v>4</v>
      </c>
      <c r="I111" s="647" t="s">
        <v>335</v>
      </c>
      <c r="J111" s="2048"/>
      <c r="K111" s="2650" t="s">
        <v>1594</v>
      </c>
      <c r="L111" s="1304"/>
      <c r="M111" s="1304"/>
      <c r="N111" s="1304"/>
      <c r="O111" s="1304"/>
      <c r="P111" s="31"/>
      <c r="Q111" s="31"/>
    </row>
    <row r="112" spans="1:20" s="693" customFormat="1" hidden="1" outlineLevel="2" x14ac:dyDescent="0.15">
      <c r="A112" s="630" t="str">
        <f>CONCATENATE(B112," ",C112," core (",H112," chip) ",E112," MHz")</f>
        <v>Xeon Gold 6152 88 core (4 chip) 2100 MHz</v>
      </c>
      <c r="B112" s="661" t="s">
        <v>1592</v>
      </c>
      <c r="C112" s="2025">
        <v>88</v>
      </c>
      <c r="D112" s="50">
        <v>22</v>
      </c>
      <c r="E112" s="639">
        <v>2100</v>
      </c>
      <c r="F112" s="2012">
        <v>3820</v>
      </c>
      <c r="G112" s="2193">
        <f>IF(F112=0,"",F112/C112)</f>
        <v>43.409090909090907</v>
      </c>
      <c r="H112" s="2603">
        <f>IF(C112=0,"",C112/D112)</f>
        <v>4</v>
      </c>
      <c r="I112" s="647" t="s">
        <v>335</v>
      </c>
      <c r="J112" s="2048"/>
      <c r="K112" s="2650" t="s">
        <v>1594</v>
      </c>
      <c r="L112" s="1891"/>
      <c r="M112" s="1891"/>
      <c r="N112" s="1891"/>
      <c r="O112" s="1891"/>
      <c r="P112" s="31"/>
      <c r="Q112" s="31"/>
    </row>
    <row r="113" spans="1:20" hidden="1" outlineLevel="1" collapsed="1" x14ac:dyDescent="0.15">
      <c r="A113" s="628" t="s">
        <v>1833</v>
      </c>
      <c r="B113" s="659" t="str">
        <f>A113</f>
        <v xml:space="preserve"> ==== 2016 - 2017 DP Server Platforms ====</v>
      </c>
      <c r="C113" s="656"/>
      <c r="D113" s="2022"/>
      <c r="E113" s="2023"/>
      <c r="F113" s="2189"/>
      <c r="G113" s="2190"/>
      <c r="H113" s="2606"/>
      <c r="I113" s="645"/>
      <c r="J113" s="2191" t="s">
        <v>165</v>
      </c>
      <c r="K113" s="2652" t="s">
        <v>1029</v>
      </c>
      <c r="L113" s="1149"/>
      <c r="M113" s="1149"/>
      <c r="N113" s="1149"/>
      <c r="O113" s="1149"/>
      <c r="R113" s="2194"/>
      <c r="S113" s="2195"/>
      <c r="T113" s="1149"/>
    </row>
    <row r="114" spans="1:20" hidden="1" outlineLevel="2" x14ac:dyDescent="0.15">
      <c r="A114" s="630" t="str">
        <f t="shared" ref="A114:A119" si="16">CONCATENATE(B114," ",C114," core (",H114," chip) ",E114," MHz")&amp;IF(ISBLANK(F114),"**","")</f>
        <v>Xeon E3-1280v5 4 core (1 chip) 3700 MHz</v>
      </c>
      <c r="B114" s="661" t="s">
        <v>1442</v>
      </c>
      <c r="C114" s="2024">
        <v>4</v>
      </c>
      <c r="D114" s="52">
        <v>4</v>
      </c>
      <c r="E114" s="639">
        <v>3700</v>
      </c>
      <c r="F114" s="2192">
        <v>252</v>
      </c>
      <c r="G114" s="2193">
        <f t="shared" ref="G114:G119" si="17">F114/C114</f>
        <v>63</v>
      </c>
      <c r="H114" s="2603">
        <f t="shared" ref="H114:H119" si="18">C114/D114</f>
        <v>1</v>
      </c>
      <c r="I114" s="646" t="s">
        <v>335</v>
      </c>
      <c r="J114" s="2048"/>
      <c r="K114" s="2647" t="s">
        <v>1422</v>
      </c>
      <c r="L114" s="1149"/>
      <c r="M114" s="1149"/>
      <c r="N114" s="1149"/>
      <c r="O114" s="1149"/>
      <c r="P114" s="2196"/>
      <c r="Q114" s="2196"/>
      <c r="R114" s="2196"/>
      <c r="S114" s="2196"/>
      <c r="T114" s="1149"/>
    </row>
    <row r="115" spans="1:20" hidden="1" outlineLevel="2" x14ac:dyDescent="0.15">
      <c r="A115" s="630" t="str">
        <f t="shared" si="16"/>
        <v>Xeon E3-1270v5 4 core (1 chip) 3600 MHz</v>
      </c>
      <c r="B115" s="661" t="s">
        <v>1383</v>
      </c>
      <c r="C115" s="2024">
        <v>4</v>
      </c>
      <c r="D115" s="52">
        <v>4</v>
      </c>
      <c r="E115" s="639">
        <v>3600</v>
      </c>
      <c r="F115" s="2192">
        <v>258</v>
      </c>
      <c r="G115" s="2193">
        <f t="shared" si="17"/>
        <v>64.5</v>
      </c>
      <c r="H115" s="2603">
        <f t="shared" si="18"/>
        <v>1</v>
      </c>
      <c r="I115" s="646" t="s">
        <v>335</v>
      </c>
      <c r="J115" s="2048">
        <v>80</v>
      </c>
      <c r="K115" s="2647" t="s">
        <v>1422</v>
      </c>
      <c r="L115" s="1149"/>
      <c r="M115" s="1149"/>
      <c r="N115" s="1149"/>
      <c r="O115" s="1149"/>
      <c r="P115" s="2196"/>
      <c r="Q115" s="2196"/>
      <c r="R115" s="2196"/>
      <c r="S115" s="2196"/>
      <c r="T115" s="1149"/>
    </row>
    <row r="116" spans="1:20" hidden="1" outlineLevel="2" x14ac:dyDescent="0.15">
      <c r="A116" s="630" t="str">
        <f t="shared" si="16"/>
        <v>Xeon E5-2637v4 4 core (1 chip) 3500 MHz</v>
      </c>
      <c r="B116" s="661" t="s">
        <v>1393</v>
      </c>
      <c r="C116" s="2024">
        <v>4</v>
      </c>
      <c r="D116" s="52">
        <v>4</v>
      </c>
      <c r="E116" s="639">
        <v>3500</v>
      </c>
      <c r="F116" s="2192">
        <v>240</v>
      </c>
      <c r="G116" s="2193">
        <f t="shared" si="17"/>
        <v>60</v>
      </c>
      <c r="H116" s="2603">
        <f t="shared" si="18"/>
        <v>1</v>
      </c>
      <c r="I116" s="646" t="s">
        <v>335</v>
      </c>
      <c r="J116" s="2048">
        <v>135</v>
      </c>
      <c r="K116" s="2647" t="s">
        <v>1423</v>
      </c>
      <c r="L116" s="1149"/>
      <c r="M116" s="1149"/>
      <c r="N116" s="1149"/>
      <c r="O116" s="1149"/>
      <c r="P116" s="2196"/>
      <c r="Q116" s="2196"/>
      <c r="R116" s="2196"/>
      <c r="S116" s="2196"/>
      <c r="T116" s="1149"/>
    </row>
    <row r="117" spans="1:20" hidden="1" outlineLevel="2" x14ac:dyDescent="0.15">
      <c r="A117" s="630" t="str">
        <f t="shared" si="16"/>
        <v>Xeon E5-2637v4 8 core (2 chip) 3500 MHz</v>
      </c>
      <c r="B117" s="661" t="s">
        <v>1393</v>
      </c>
      <c r="C117" s="2024">
        <v>8</v>
      </c>
      <c r="D117" s="52">
        <v>4</v>
      </c>
      <c r="E117" s="639">
        <v>3500</v>
      </c>
      <c r="F117" s="2192">
        <v>479</v>
      </c>
      <c r="G117" s="2193">
        <f t="shared" si="17"/>
        <v>59.875</v>
      </c>
      <c r="H117" s="2603">
        <f t="shared" si="18"/>
        <v>2</v>
      </c>
      <c r="I117" s="646" t="s">
        <v>335</v>
      </c>
      <c r="J117" s="2048">
        <v>135</v>
      </c>
      <c r="K117" s="2647" t="s">
        <v>1423</v>
      </c>
      <c r="L117" s="1149"/>
      <c r="M117" s="1149"/>
      <c r="N117" s="1149"/>
      <c r="O117" s="1149"/>
      <c r="P117" s="2196"/>
      <c r="Q117" s="2196"/>
      <c r="R117" s="2196"/>
      <c r="S117" s="2196"/>
      <c r="T117" s="1149"/>
    </row>
    <row r="118" spans="1:20" hidden="1" outlineLevel="2" x14ac:dyDescent="0.15">
      <c r="A118" s="630" t="str">
        <f t="shared" si="16"/>
        <v>Xeon E5-2643v4 12 core (2 chip) 3400 MHz</v>
      </c>
      <c r="B118" s="661" t="s">
        <v>1394</v>
      </c>
      <c r="C118" s="2024">
        <v>12</v>
      </c>
      <c r="D118" s="52">
        <v>6</v>
      </c>
      <c r="E118" s="639">
        <v>3400</v>
      </c>
      <c r="F118" s="2192">
        <v>702</v>
      </c>
      <c r="G118" s="2193">
        <f t="shared" si="17"/>
        <v>58.5</v>
      </c>
      <c r="H118" s="2603">
        <f t="shared" si="18"/>
        <v>2</v>
      </c>
      <c r="I118" s="646" t="s">
        <v>335</v>
      </c>
      <c r="J118" s="2048">
        <v>135</v>
      </c>
      <c r="K118" s="2647" t="s">
        <v>1423</v>
      </c>
      <c r="L118" s="1149"/>
      <c r="M118" s="1149"/>
      <c r="N118" s="1149"/>
      <c r="O118" s="1149"/>
      <c r="P118" s="2196"/>
      <c r="Q118" s="2196"/>
      <c r="R118" s="2196"/>
      <c r="S118" s="2196"/>
      <c r="T118" s="1149"/>
    </row>
    <row r="119" spans="1:20" hidden="1" outlineLevel="2" x14ac:dyDescent="0.15">
      <c r="A119" s="630" t="str">
        <f t="shared" si="16"/>
        <v>Xeon E5-2667v4 16 core (2 chip) 3200 MHz</v>
      </c>
      <c r="B119" s="661" t="s">
        <v>1395</v>
      </c>
      <c r="C119" s="2024">
        <v>16</v>
      </c>
      <c r="D119" s="52">
        <v>8</v>
      </c>
      <c r="E119" s="639">
        <v>3200</v>
      </c>
      <c r="F119" s="2192">
        <v>888</v>
      </c>
      <c r="G119" s="2193">
        <f t="shared" si="17"/>
        <v>55.5</v>
      </c>
      <c r="H119" s="2603">
        <f t="shared" si="18"/>
        <v>2</v>
      </c>
      <c r="I119" s="646" t="s">
        <v>335</v>
      </c>
      <c r="J119" s="2048">
        <v>135</v>
      </c>
      <c r="K119" s="2647" t="s">
        <v>1423</v>
      </c>
      <c r="L119" s="1149"/>
      <c r="M119" s="1149"/>
      <c r="N119" s="1149"/>
      <c r="O119" s="1149"/>
      <c r="R119" s="2196"/>
      <c r="S119" s="2196"/>
      <c r="T119" s="1149"/>
    </row>
    <row r="120" spans="1:20" s="693" customFormat="1" hidden="1" outlineLevel="2" x14ac:dyDescent="0.15">
      <c r="A120" s="630" t="str">
        <f t="shared" ref="A120:A127" si="19">CONCATENATE(B120," ",C120," core (",H120," chip) ",E120," MHz")</f>
        <v>Xeon E5-2689v4 20 core (2 chip) 3100 MHz</v>
      </c>
      <c r="B120" s="661" t="s">
        <v>1396</v>
      </c>
      <c r="C120" s="2025">
        <v>20</v>
      </c>
      <c r="D120" s="50">
        <v>10</v>
      </c>
      <c r="E120" s="639">
        <v>3100</v>
      </c>
      <c r="F120" s="2012">
        <v>1040</v>
      </c>
      <c r="G120" s="2193">
        <f>IF(F120=0,"",F120/C120)</f>
        <v>52</v>
      </c>
      <c r="H120" s="2603">
        <f>IF(C120=0,"",C120/D120)</f>
        <v>2</v>
      </c>
      <c r="I120" s="647" t="s">
        <v>335</v>
      </c>
      <c r="J120" s="2048">
        <v>165</v>
      </c>
      <c r="K120" s="2650" t="s">
        <v>1423</v>
      </c>
      <c r="L120" s="1304"/>
      <c r="M120" s="1304"/>
      <c r="N120" s="1304"/>
      <c r="O120" s="1304"/>
      <c r="P120" s="31"/>
      <c r="Q120" s="31"/>
    </row>
    <row r="121" spans="1:20" s="693" customFormat="1" hidden="1" outlineLevel="2" x14ac:dyDescent="0.15">
      <c r="A121" s="630" t="str">
        <f t="shared" si="19"/>
        <v>Xeon E5-2687Wv4 24 core (2 chip) 3000 MHz</v>
      </c>
      <c r="B121" s="661" t="s">
        <v>1397</v>
      </c>
      <c r="C121" s="2025">
        <v>24</v>
      </c>
      <c r="D121" s="50">
        <v>12</v>
      </c>
      <c r="E121" s="639">
        <v>3000</v>
      </c>
      <c r="F121" s="2012">
        <v>1180</v>
      </c>
      <c r="G121" s="2193">
        <f>IF(F121=0,"",F121/C121)</f>
        <v>49.166666666666664</v>
      </c>
      <c r="H121" s="2603">
        <f>IF(C121=0,"",C121/D121)</f>
        <v>2</v>
      </c>
      <c r="I121" s="647" t="s">
        <v>335</v>
      </c>
      <c r="J121" s="2048">
        <v>160</v>
      </c>
      <c r="K121" s="2650" t="s">
        <v>1423</v>
      </c>
      <c r="L121" s="1891"/>
      <c r="M121" s="1891"/>
      <c r="N121" s="1891"/>
      <c r="O121" s="1891"/>
      <c r="P121" s="31"/>
      <c r="Q121" s="31"/>
    </row>
    <row r="122" spans="1:20" s="693" customFormat="1" hidden="1" outlineLevel="2" x14ac:dyDescent="0.15">
      <c r="A122" s="630" t="str">
        <f t="shared" si="19"/>
        <v>Xeon E5-2690v4 28 core (2 chip) 2600 MHz</v>
      </c>
      <c r="B122" s="661" t="s">
        <v>1398</v>
      </c>
      <c r="C122" s="2025">
        <v>28</v>
      </c>
      <c r="D122" s="50">
        <v>14</v>
      </c>
      <c r="E122" s="639">
        <v>2600</v>
      </c>
      <c r="F122" s="2012">
        <v>1330</v>
      </c>
      <c r="G122" s="2193">
        <f>F122/C122</f>
        <v>47.5</v>
      </c>
      <c r="H122" s="2603">
        <f>C122/D122</f>
        <v>2</v>
      </c>
      <c r="I122" s="646" t="s">
        <v>335</v>
      </c>
      <c r="J122" s="2048">
        <v>135</v>
      </c>
      <c r="K122" s="2648" t="s">
        <v>1423</v>
      </c>
      <c r="P122" s="31"/>
      <c r="Q122" s="31"/>
    </row>
    <row r="123" spans="1:20" s="693" customFormat="1" hidden="1" outlineLevel="2" x14ac:dyDescent="0.15">
      <c r="A123" s="630" t="str">
        <f t="shared" si="19"/>
        <v>Xeon E5-2697Av4 32 core (2 chip) 2600 MHz</v>
      </c>
      <c r="B123" s="661" t="s">
        <v>1399</v>
      </c>
      <c r="C123" s="2025">
        <v>32</v>
      </c>
      <c r="D123" s="50">
        <v>16</v>
      </c>
      <c r="E123" s="639">
        <v>2600</v>
      </c>
      <c r="F123" s="2012">
        <v>1420</v>
      </c>
      <c r="G123" s="2193">
        <f>IF(F123=0,"",F123/C123)</f>
        <v>44.375</v>
      </c>
      <c r="H123" s="2603">
        <f>IF(C123=0,"",C123/D123)</f>
        <v>2</v>
      </c>
      <c r="I123" s="647" t="s">
        <v>335</v>
      </c>
      <c r="J123" s="2048">
        <v>145</v>
      </c>
      <c r="K123" s="2650" t="s">
        <v>1423</v>
      </c>
      <c r="L123" s="1304"/>
      <c r="M123" s="1304"/>
      <c r="N123" s="1304"/>
      <c r="O123" s="1304"/>
      <c r="P123" s="31"/>
      <c r="Q123" s="31"/>
    </row>
    <row r="124" spans="1:20" s="693" customFormat="1" hidden="1" outlineLevel="2" x14ac:dyDescent="0.15">
      <c r="A124" s="630" t="str">
        <f t="shared" si="19"/>
        <v>Xeon E5-2697v4 36 core (2 chip) 2300 MHz</v>
      </c>
      <c r="B124" s="661" t="s">
        <v>1400</v>
      </c>
      <c r="C124" s="2025">
        <v>36</v>
      </c>
      <c r="D124" s="50">
        <v>18</v>
      </c>
      <c r="E124" s="639">
        <v>2300</v>
      </c>
      <c r="F124" s="2012">
        <v>1510</v>
      </c>
      <c r="G124" s="2193">
        <f>IF(F124=0,"",F124/C124)</f>
        <v>41.944444444444443</v>
      </c>
      <c r="H124" s="2603">
        <f>IF(C124=0,"",C124/D124)</f>
        <v>2</v>
      </c>
      <c r="I124" s="647" t="s">
        <v>335</v>
      </c>
      <c r="J124" s="2048">
        <v>145</v>
      </c>
      <c r="K124" s="2650" t="s">
        <v>1423</v>
      </c>
      <c r="L124" s="1891"/>
      <c r="M124" s="1891"/>
      <c r="N124" s="1891"/>
      <c r="O124" s="1891"/>
      <c r="P124" s="31"/>
      <c r="Q124" s="31"/>
    </row>
    <row r="125" spans="1:20" s="693" customFormat="1" hidden="1" outlineLevel="2" x14ac:dyDescent="0.15">
      <c r="A125" s="630" t="str">
        <f t="shared" si="19"/>
        <v>Xeon E5-2673v4 40 core (2 chip) 2200 MHz</v>
      </c>
      <c r="B125" s="661" t="s">
        <v>1755</v>
      </c>
      <c r="C125" s="2025">
        <v>40</v>
      </c>
      <c r="D125" s="50">
        <v>20</v>
      </c>
      <c r="E125" s="639">
        <v>2200</v>
      </c>
      <c r="F125" s="2012">
        <v>1651</v>
      </c>
      <c r="G125" s="2193">
        <f>F125/C125</f>
        <v>41.274999999999999</v>
      </c>
      <c r="H125" s="2603">
        <f>C125/D125</f>
        <v>2</v>
      </c>
      <c r="I125" s="646" t="s">
        <v>335</v>
      </c>
      <c r="J125" s="2048">
        <v>145</v>
      </c>
      <c r="K125" s="2648" t="s">
        <v>1423</v>
      </c>
      <c r="P125" s="31"/>
      <c r="Q125" s="31"/>
    </row>
    <row r="126" spans="1:20" s="693" customFormat="1" hidden="1" outlineLevel="2" x14ac:dyDescent="0.15">
      <c r="A126" s="630" t="str">
        <f t="shared" si="19"/>
        <v>Xeon E5-2699Av4 44 core (2 chip) 2400 MHz</v>
      </c>
      <c r="B126" s="661" t="s">
        <v>1503</v>
      </c>
      <c r="C126" s="2025">
        <v>44</v>
      </c>
      <c r="D126" s="50">
        <v>22</v>
      </c>
      <c r="E126" s="639">
        <v>2400</v>
      </c>
      <c r="F126" s="2012">
        <v>1810</v>
      </c>
      <c r="G126" s="2193">
        <f>F126/C126</f>
        <v>41.136363636363633</v>
      </c>
      <c r="H126" s="2603">
        <f>C126/D126</f>
        <v>2</v>
      </c>
      <c r="I126" s="646" t="s">
        <v>335</v>
      </c>
      <c r="J126" s="2048">
        <v>145</v>
      </c>
      <c r="K126" s="2648" t="s">
        <v>1423</v>
      </c>
      <c r="P126" s="31"/>
      <c r="Q126" s="31"/>
    </row>
    <row r="127" spans="1:20" s="693" customFormat="1" hidden="1" outlineLevel="2" x14ac:dyDescent="0.15">
      <c r="A127" s="630" t="str">
        <f t="shared" si="19"/>
        <v>Xeon E5-2699v4 44 core (2 chip) 2200 MHz</v>
      </c>
      <c r="B127" s="661" t="s">
        <v>1401</v>
      </c>
      <c r="C127" s="2025">
        <v>44</v>
      </c>
      <c r="D127" s="50">
        <v>22</v>
      </c>
      <c r="E127" s="639">
        <v>2200</v>
      </c>
      <c r="F127" s="2012">
        <v>1780</v>
      </c>
      <c r="G127" s="2193">
        <f>F127/C127</f>
        <v>40.454545454545453</v>
      </c>
      <c r="H127" s="2603">
        <f>C127/D127</f>
        <v>2</v>
      </c>
      <c r="I127" s="646" t="s">
        <v>335</v>
      </c>
      <c r="J127" s="2048">
        <v>145</v>
      </c>
      <c r="K127" s="2648" t="s">
        <v>1423</v>
      </c>
      <c r="P127" s="31"/>
      <c r="Q127" s="31"/>
    </row>
    <row r="128" spans="1:20" hidden="1" outlineLevel="1" x14ac:dyDescent="0.15">
      <c r="A128" s="628" t="s">
        <v>1028</v>
      </c>
      <c r="B128" s="659" t="str">
        <f>A128</f>
        <v xml:space="preserve"> ==== 2015 DP Server Platforms ====</v>
      </c>
      <c r="C128" s="656"/>
      <c r="D128" s="2022"/>
      <c r="E128" s="2023"/>
      <c r="F128" s="2189"/>
      <c r="G128" s="2190"/>
      <c r="H128" s="2606"/>
      <c r="I128" s="645"/>
      <c r="J128" s="2191" t="s">
        <v>165</v>
      </c>
      <c r="K128" s="2652" t="s">
        <v>1029</v>
      </c>
      <c r="L128" s="1149"/>
      <c r="M128" s="1149"/>
      <c r="N128" s="1149"/>
      <c r="O128" s="1149"/>
      <c r="P128" s="2194"/>
      <c r="Q128" s="2194"/>
      <c r="R128" s="2194"/>
      <c r="S128" s="2195"/>
      <c r="T128" s="1149"/>
    </row>
    <row r="129" spans="1:20" hidden="1" outlineLevel="2" x14ac:dyDescent="0.15">
      <c r="A129" s="630" t="str">
        <f t="shared" ref="A129:A150" si="20">CONCATENATE(B129," ",C129," core (",H129," chip) ",E129," MHz")&amp;IF(ISBLANK(F129),"**","")</f>
        <v>Xeon E5-2637v3 4 core (1 chip) 3500 MHz</v>
      </c>
      <c r="B129" s="661" t="s">
        <v>1030</v>
      </c>
      <c r="C129" s="2024">
        <v>4</v>
      </c>
      <c r="D129" s="52">
        <v>4</v>
      </c>
      <c r="E129" s="639">
        <v>3500</v>
      </c>
      <c r="F129" s="2192">
        <v>235</v>
      </c>
      <c r="G129" s="2193">
        <f>F129/C129</f>
        <v>58.75</v>
      </c>
      <c r="H129" s="2603">
        <f t="shared" ref="H129:H150" si="21">C129/D129</f>
        <v>1</v>
      </c>
      <c r="I129" s="646" t="s">
        <v>335</v>
      </c>
      <c r="J129" s="2048">
        <v>135</v>
      </c>
      <c r="K129" s="2647">
        <v>42050</v>
      </c>
      <c r="L129" s="1149"/>
      <c r="M129" s="1149"/>
      <c r="N129" s="1149"/>
      <c r="O129" s="1149"/>
      <c r="P129" s="2196"/>
      <c r="Q129" s="2196"/>
      <c r="R129" s="2196"/>
      <c r="S129" s="2196"/>
      <c r="T129" s="1149"/>
    </row>
    <row r="130" spans="1:20" hidden="1" outlineLevel="2" x14ac:dyDescent="0.15">
      <c r="A130" s="630" t="str">
        <f t="shared" si="20"/>
        <v>Xeon E5-2637v3 8 core (2 chip) 3500 MHz</v>
      </c>
      <c r="B130" s="661" t="s">
        <v>1030</v>
      </c>
      <c r="C130" s="2024">
        <v>8</v>
      </c>
      <c r="D130" s="52">
        <v>4</v>
      </c>
      <c r="E130" s="639">
        <v>3500</v>
      </c>
      <c r="F130" s="2192">
        <v>459</v>
      </c>
      <c r="G130" s="2193">
        <f>F130/C130</f>
        <v>57.375</v>
      </c>
      <c r="H130" s="2603">
        <f t="shared" si="21"/>
        <v>2</v>
      </c>
      <c r="I130" s="646" t="s">
        <v>335</v>
      </c>
      <c r="J130" s="2048">
        <v>135</v>
      </c>
      <c r="K130" s="2647">
        <v>41883</v>
      </c>
      <c r="L130" s="1149"/>
      <c r="M130" s="1149"/>
      <c r="N130" s="1149"/>
      <c r="O130" s="1149"/>
      <c r="P130" s="2196"/>
      <c r="Q130" s="2196"/>
      <c r="R130" s="2196"/>
      <c r="S130" s="2196"/>
      <c r="T130" s="1149"/>
    </row>
    <row r="131" spans="1:20" hidden="1" outlineLevel="2" x14ac:dyDescent="0.15">
      <c r="A131" s="630" t="str">
        <f t="shared" si="20"/>
        <v>Xeon E5-2643v3 6 core (1 chip) 3400 MHz</v>
      </c>
      <c r="B131" s="661" t="s">
        <v>1031</v>
      </c>
      <c r="C131" s="2024">
        <v>6</v>
      </c>
      <c r="D131" s="52">
        <v>6</v>
      </c>
      <c r="E131" s="639">
        <v>3400</v>
      </c>
      <c r="F131" s="2192">
        <v>344</v>
      </c>
      <c r="G131" s="2193">
        <f>F131/C131</f>
        <v>57.333333333333336</v>
      </c>
      <c r="H131" s="2603">
        <f t="shared" si="21"/>
        <v>1</v>
      </c>
      <c r="I131" s="646" t="s">
        <v>335</v>
      </c>
      <c r="J131" s="2048">
        <v>135</v>
      </c>
      <c r="K131" s="2647">
        <v>42036</v>
      </c>
      <c r="L131" s="1149"/>
      <c r="M131" s="1149"/>
      <c r="N131" s="1149"/>
      <c r="O131" s="1149"/>
      <c r="P131" s="2196"/>
      <c r="Q131" s="2196"/>
      <c r="R131" s="2196"/>
      <c r="S131" s="2196"/>
      <c r="T131" s="1149"/>
    </row>
    <row r="132" spans="1:20" hidden="1" outlineLevel="2" x14ac:dyDescent="0.15">
      <c r="A132" s="630" t="str">
        <f t="shared" si="20"/>
        <v>Xeon E5-2643v3 12 core (2 chip) 3400 MHz</v>
      </c>
      <c r="B132" s="661" t="s">
        <v>1031</v>
      </c>
      <c r="C132" s="2024">
        <v>12</v>
      </c>
      <c r="D132" s="52">
        <v>6</v>
      </c>
      <c r="E132" s="639">
        <v>3400</v>
      </c>
      <c r="F132" s="2192">
        <v>671</v>
      </c>
      <c r="G132" s="2193">
        <f>F132/C132</f>
        <v>55.916666666666664</v>
      </c>
      <c r="H132" s="2603">
        <f t="shared" si="21"/>
        <v>2</v>
      </c>
      <c r="I132" s="646" t="s">
        <v>335</v>
      </c>
      <c r="J132" s="2048">
        <v>135</v>
      </c>
      <c r="K132" s="2647">
        <v>41883</v>
      </c>
      <c r="L132" s="1149"/>
      <c r="M132" s="1149"/>
      <c r="N132" s="1149"/>
      <c r="O132" s="1149"/>
      <c r="P132" s="2196"/>
      <c r="Q132" s="2196"/>
      <c r="R132" s="2196"/>
      <c r="S132" s="2196"/>
      <c r="T132" s="1149"/>
    </row>
    <row r="133" spans="1:20" hidden="1" outlineLevel="2" x14ac:dyDescent="0.15">
      <c r="A133" s="630" t="str">
        <f t="shared" si="20"/>
        <v>Xeon E3-1231v3 4 core (1 chip) 3400 MHz</v>
      </c>
      <c r="B133" s="661" t="s">
        <v>1032</v>
      </c>
      <c r="C133" s="2024">
        <v>4</v>
      </c>
      <c r="D133" s="52">
        <v>4</v>
      </c>
      <c r="E133" s="639">
        <v>3400</v>
      </c>
      <c r="F133" s="2192">
        <v>210</v>
      </c>
      <c r="G133" s="2193">
        <f>F133/C133</f>
        <v>52.5</v>
      </c>
      <c r="H133" s="2603">
        <f t="shared" si="21"/>
        <v>1</v>
      </c>
      <c r="I133" s="646" t="s">
        <v>335</v>
      </c>
      <c r="J133" s="2048">
        <v>80</v>
      </c>
      <c r="K133" s="2647">
        <v>42005</v>
      </c>
      <c r="L133" s="1149"/>
      <c r="M133" s="1149"/>
      <c r="N133" s="1149"/>
      <c r="O133" s="1149"/>
      <c r="P133" s="2196"/>
      <c r="Q133" s="2196"/>
      <c r="R133" s="2196"/>
      <c r="S133" s="2196"/>
      <c r="T133" s="1149"/>
    </row>
    <row r="134" spans="1:20" hidden="1" outlineLevel="2" x14ac:dyDescent="0.15">
      <c r="A134" s="630" t="str">
        <f t="shared" si="20"/>
        <v>Xeon E5-2623v3 8 core (2 chip) 3000 MHz</v>
      </c>
      <c r="B134" s="661" t="s">
        <v>1033</v>
      </c>
      <c r="C134" s="2024">
        <v>8</v>
      </c>
      <c r="D134" s="52">
        <v>4</v>
      </c>
      <c r="E134" s="639">
        <v>3000</v>
      </c>
      <c r="F134" s="2192">
        <v>411</v>
      </c>
      <c r="G134" s="2193">
        <f t="shared" ref="G134:G148" si="22">F134/C134</f>
        <v>51.375</v>
      </c>
      <c r="H134" s="2603">
        <f t="shared" si="21"/>
        <v>2</v>
      </c>
      <c r="I134" s="646" t="s">
        <v>335</v>
      </c>
      <c r="J134" s="2048">
        <v>105</v>
      </c>
      <c r="K134" s="2647">
        <v>42005</v>
      </c>
      <c r="L134" s="1149"/>
      <c r="M134" s="1149"/>
      <c r="N134" s="1149"/>
      <c r="O134" s="1149"/>
      <c r="P134" s="2196"/>
      <c r="Q134" s="2196"/>
      <c r="R134" s="2196"/>
      <c r="S134" s="2196"/>
      <c r="T134" s="1149"/>
    </row>
    <row r="135" spans="1:20" hidden="1" outlineLevel="2" x14ac:dyDescent="0.15">
      <c r="A135" s="630" t="str">
        <f t="shared" si="20"/>
        <v>Xeon E5-2623v3 16 core (2 chip) 3000 MHz</v>
      </c>
      <c r="B135" s="661" t="s">
        <v>1033</v>
      </c>
      <c r="C135" s="2024">
        <v>16</v>
      </c>
      <c r="D135" s="52">
        <v>8</v>
      </c>
      <c r="E135" s="639">
        <v>3000</v>
      </c>
      <c r="F135" s="2192">
        <v>805</v>
      </c>
      <c r="G135" s="2193">
        <f t="shared" si="22"/>
        <v>50.3125</v>
      </c>
      <c r="H135" s="2603">
        <f t="shared" si="21"/>
        <v>2</v>
      </c>
      <c r="I135" s="646" t="s">
        <v>335</v>
      </c>
      <c r="J135" s="2048">
        <v>105</v>
      </c>
      <c r="K135" s="2647">
        <v>42005</v>
      </c>
      <c r="L135" s="1149"/>
      <c r="M135" s="1149"/>
      <c r="N135" s="1149"/>
      <c r="O135" s="1149"/>
      <c r="P135" s="2196"/>
      <c r="Q135" s="2196"/>
      <c r="R135" s="2196"/>
      <c r="S135" s="2196"/>
      <c r="T135" s="1149"/>
    </row>
    <row r="136" spans="1:20" hidden="1" outlineLevel="2" x14ac:dyDescent="0.15">
      <c r="A136" s="630" t="str">
        <f t="shared" si="20"/>
        <v>Xeon E5-2667v3 8 core (1 chip) 3200 MHz</v>
      </c>
      <c r="B136" s="661" t="s">
        <v>1034</v>
      </c>
      <c r="C136" s="2024">
        <v>8</v>
      </c>
      <c r="D136" s="52">
        <v>8</v>
      </c>
      <c r="E136" s="639">
        <v>3200</v>
      </c>
      <c r="F136" s="2192">
        <v>417</v>
      </c>
      <c r="G136" s="2193">
        <f t="shared" si="22"/>
        <v>52.125</v>
      </c>
      <c r="H136" s="2603">
        <f t="shared" si="21"/>
        <v>1</v>
      </c>
      <c r="I136" s="646" t="s">
        <v>335</v>
      </c>
      <c r="J136" s="2048">
        <v>135</v>
      </c>
      <c r="K136" s="2647">
        <v>41883</v>
      </c>
      <c r="L136" s="1149"/>
      <c r="M136" s="1149"/>
      <c r="N136" s="1149"/>
      <c r="O136" s="1149"/>
      <c r="P136" s="2196"/>
      <c r="Q136" s="2196"/>
      <c r="R136" s="2196"/>
      <c r="S136" s="2196"/>
      <c r="T136" s="1149"/>
    </row>
    <row r="137" spans="1:20" hidden="1" outlineLevel="2" x14ac:dyDescent="0.15">
      <c r="A137" s="630" t="str">
        <f t="shared" si="20"/>
        <v>Xeon E5-2667v3 16 core (2 chip) 3200 MHz</v>
      </c>
      <c r="B137" s="661" t="s">
        <v>1034</v>
      </c>
      <c r="C137" s="2024">
        <v>16</v>
      </c>
      <c r="D137" s="52">
        <v>8</v>
      </c>
      <c r="E137" s="639">
        <v>3200</v>
      </c>
      <c r="F137" s="2192">
        <v>816</v>
      </c>
      <c r="G137" s="2193">
        <f t="shared" si="22"/>
        <v>51</v>
      </c>
      <c r="H137" s="2603">
        <f t="shared" si="21"/>
        <v>2</v>
      </c>
      <c r="I137" s="646" t="s">
        <v>335</v>
      </c>
      <c r="J137" s="2048">
        <v>135</v>
      </c>
      <c r="K137" s="2647">
        <v>41883</v>
      </c>
      <c r="L137" s="1149"/>
      <c r="M137" s="1149"/>
      <c r="N137" s="1149"/>
      <c r="O137" s="1149"/>
      <c r="P137" s="2196"/>
      <c r="Q137" s="2196"/>
      <c r="R137" s="2196"/>
      <c r="S137" s="2196"/>
      <c r="T137" s="1149"/>
    </row>
    <row r="138" spans="1:20" hidden="1" outlineLevel="2" x14ac:dyDescent="0.15">
      <c r="A138" s="630" t="str">
        <f t="shared" si="20"/>
        <v>Xeon E5-2687Wv3 20 core (2 chip) 3100 MHz</v>
      </c>
      <c r="B138" s="661" t="s">
        <v>1035</v>
      </c>
      <c r="C138" s="2024">
        <v>20</v>
      </c>
      <c r="D138" s="52">
        <v>10</v>
      </c>
      <c r="E138" s="639">
        <v>3100</v>
      </c>
      <c r="F138" s="2192">
        <v>954</v>
      </c>
      <c r="G138" s="2193">
        <f t="shared" si="22"/>
        <v>47.7</v>
      </c>
      <c r="H138" s="2603">
        <f t="shared" si="21"/>
        <v>2</v>
      </c>
      <c r="I138" s="646" t="s">
        <v>335</v>
      </c>
      <c r="J138" s="2048">
        <v>160</v>
      </c>
      <c r="K138" s="2647">
        <v>42005</v>
      </c>
      <c r="L138" s="1149"/>
      <c r="M138" s="1149"/>
      <c r="N138" s="1149"/>
      <c r="O138" s="1149"/>
      <c r="P138" s="2196"/>
      <c r="Q138" s="2196"/>
      <c r="R138" s="2196"/>
      <c r="S138" s="2196"/>
      <c r="T138" s="1149"/>
    </row>
    <row r="139" spans="1:20" hidden="1" outlineLevel="2" x14ac:dyDescent="0.15">
      <c r="A139" s="630" t="str">
        <f>CONCATENATE(B139," ",C139," core (",H139," chip) ",E139," MHz")&amp;IF(ISBLANK(F139),"**","")</f>
        <v>Xeon E5-2680v3 12 core (1 chip) 2500 MHz</v>
      </c>
      <c r="B139" s="661" t="s">
        <v>1220</v>
      </c>
      <c r="C139" s="2024">
        <v>12</v>
      </c>
      <c r="D139" s="52">
        <v>12</v>
      </c>
      <c r="E139" s="639">
        <v>2500</v>
      </c>
      <c r="F139" s="2192">
        <v>532</v>
      </c>
      <c r="G139" s="2193">
        <f>F139/C139</f>
        <v>44.333333333333336</v>
      </c>
      <c r="H139" s="2603">
        <f>C139/D139</f>
        <v>1</v>
      </c>
      <c r="I139" s="646" t="s">
        <v>335</v>
      </c>
      <c r="J139" s="2048">
        <v>120</v>
      </c>
      <c r="K139" s="2647">
        <v>42050</v>
      </c>
      <c r="L139" s="1149"/>
      <c r="M139" s="1149"/>
      <c r="N139" s="1149"/>
      <c r="O139" s="1149"/>
      <c r="P139" s="2196"/>
      <c r="Q139" s="2196"/>
      <c r="R139" s="2196"/>
      <c r="S139" s="2196"/>
      <c r="T139" s="1149"/>
    </row>
    <row r="140" spans="1:20" hidden="1" outlineLevel="2" x14ac:dyDescent="0.15">
      <c r="A140" s="630" t="str">
        <f>CONCATENATE(B140," ",C140," core (",H140," chip) ",E140," MHz")&amp;IF(ISBLANK(F140),"**","")</f>
        <v>Xeon E5-2676v3 24 core (2 chip) 2400 MHz</v>
      </c>
      <c r="B140" s="661" t="s">
        <v>1756</v>
      </c>
      <c r="C140" s="2024">
        <v>24</v>
      </c>
      <c r="D140" s="52">
        <v>12</v>
      </c>
      <c r="E140" s="639">
        <v>2400</v>
      </c>
      <c r="F140" s="2192">
        <v>1015</v>
      </c>
      <c r="G140" s="2193">
        <f>F140/C140</f>
        <v>42.291666666666664</v>
      </c>
      <c r="H140" s="2603">
        <f>C140/D140</f>
        <v>2</v>
      </c>
      <c r="I140" s="646" t="s">
        <v>335</v>
      </c>
      <c r="J140" s="2048">
        <v>120</v>
      </c>
      <c r="K140" s="2647">
        <v>42050</v>
      </c>
      <c r="L140" s="1149"/>
      <c r="M140" s="1149"/>
      <c r="N140" s="1149"/>
      <c r="O140" s="1149"/>
      <c r="P140" s="2196"/>
      <c r="Q140" s="2196"/>
      <c r="R140" s="2196"/>
      <c r="S140" s="2196"/>
      <c r="T140" s="1149"/>
    </row>
    <row r="141" spans="1:20" s="693" customFormat="1" hidden="1" outlineLevel="2" x14ac:dyDescent="0.15">
      <c r="A141" s="630" t="str">
        <f>CONCATENATE(B141," ",C141," core (",H141," chip) ",E141," MHz")</f>
        <v>Xeon E5-2673Wv3 24 core (2 chip) 2400 MHz</v>
      </c>
      <c r="B141" s="661" t="s">
        <v>1754</v>
      </c>
      <c r="C141" s="2025">
        <v>24</v>
      </c>
      <c r="D141" s="50">
        <v>12</v>
      </c>
      <c r="E141" s="639">
        <v>2400</v>
      </c>
      <c r="F141" s="2012">
        <v>1042</v>
      </c>
      <c r="G141" s="2193">
        <f>IF(F141=0,"",F141/C141)</f>
        <v>43.416666666666664</v>
      </c>
      <c r="H141" s="2603">
        <f>IF(C141=0,"",C141/D141)</f>
        <v>2</v>
      </c>
      <c r="I141" s="647" t="s">
        <v>335</v>
      </c>
      <c r="J141" s="2048">
        <v>160</v>
      </c>
      <c r="K141" s="2650" t="s">
        <v>1423</v>
      </c>
      <c r="L141" s="1891"/>
      <c r="M141" s="1891"/>
      <c r="N141" s="1891"/>
      <c r="O141" s="1891"/>
      <c r="P141" s="31"/>
      <c r="Q141" s="31"/>
    </row>
    <row r="142" spans="1:20" hidden="1" outlineLevel="2" x14ac:dyDescent="0.15">
      <c r="A142" s="630" t="str">
        <f>CONCATENATE(B142," ",C142," core (",H142," chip) ",E142," MHz")&amp;IF(ISBLANK(F142),"**","")</f>
        <v>Xeon E5-2680v3 24 core (2 chip) 2500 MHz</v>
      </c>
      <c r="B142" s="661" t="s">
        <v>1220</v>
      </c>
      <c r="C142" s="2024">
        <v>24</v>
      </c>
      <c r="D142" s="52">
        <v>12</v>
      </c>
      <c r="E142" s="639">
        <v>2500</v>
      </c>
      <c r="F142" s="2192">
        <v>1050</v>
      </c>
      <c r="G142" s="2193">
        <f>F142/C142</f>
        <v>43.75</v>
      </c>
      <c r="H142" s="2603">
        <f>C142/D142</f>
        <v>2</v>
      </c>
      <c r="I142" s="646" t="s">
        <v>335</v>
      </c>
      <c r="J142" s="2048">
        <v>120</v>
      </c>
      <c r="K142" s="2647">
        <v>42050</v>
      </c>
      <c r="L142" s="1149"/>
      <c r="M142" s="1149"/>
      <c r="N142" s="1149"/>
      <c r="O142" s="1149"/>
      <c r="P142" s="2196"/>
      <c r="Q142" s="2196"/>
      <c r="R142" s="2196"/>
      <c r="S142" s="2196"/>
      <c r="T142" s="1149"/>
    </row>
    <row r="143" spans="1:20" hidden="1" outlineLevel="2" x14ac:dyDescent="0.15">
      <c r="A143" s="630" t="str">
        <f t="shared" si="20"/>
        <v>Xeon E5-2690v3 24 core (2 chip) 2600 MHz</v>
      </c>
      <c r="B143" s="661" t="s">
        <v>1036</v>
      </c>
      <c r="C143" s="2024">
        <v>24</v>
      </c>
      <c r="D143" s="52">
        <v>12</v>
      </c>
      <c r="E143" s="639">
        <v>2600</v>
      </c>
      <c r="F143" s="2192">
        <v>1100</v>
      </c>
      <c r="G143" s="2193">
        <f t="shared" si="22"/>
        <v>45.833333333333336</v>
      </c>
      <c r="H143" s="2603">
        <f t="shared" si="21"/>
        <v>2</v>
      </c>
      <c r="I143" s="646" t="s">
        <v>335</v>
      </c>
      <c r="J143" s="2048">
        <v>135</v>
      </c>
      <c r="K143" s="2647">
        <v>42005</v>
      </c>
      <c r="L143" s="1149"/>
      <c r="M143" s="1149"/>
      <c r="N143" s="1149"/>
      <c r="O143" s="1149"/>
      <c r="P143" s="2196"/>
      <c r="Q143" s="2196"/>
      <c r="R143" s="2196"/>
      <c r="S143" s="2196"/>
      <c r="T143" s="1149"/>
    </row>
    <row r="144" spans="1:20" hidden="1" outlineLevel="2" x14ac:dyDescent="0.15">
      <c r="A144" s="630" t="str">
        <f t="shared" si="20"/>
        <v>Xeon E5-2660v3 10 core (1 chip) 2600 MHz</v>
      </c>
      <c r="B144" s="661" t="s">
        <v>1037</v>
      </c>
      <c r="C144" s="2024">
        <v>10</v>
      </c>
      <c r="D144" s="52">
        <v>10</v>
      </c>
      <c r="E144" s="639">
        <v>2600</v>
      </c>
      <c r="F144" s="2192">
        <v>450</v>
      </c>
      <c r="G144" s="2193">
        <f t="shared" si="22"/>
        <v>45</v>
      </c>
      <c r="H144" s="2603">
        <f t="shared" si="21"/>
        <v>1</v>
      </c>
      <c r="I144" s="646" t="s">
        <v>335</v>
      </c>
      <c r="J144" s="2048">
        <v>105</v>
      </c>
      <c r="K144" s="2647">
        <v>41883</v>
      </c>
      <c r="L144" s="1149"/>
      <c r="M144" s="1149"/>
      <c r="N144" s="1149"/>
      <c r="O144" s="1149"/>
      <c r="P144" s="2196"/>
      <c r="Q144" s="2196"/>
      <c r="R144" s="2196"/>
      <c r="S144" s="2196"/>
      <c r="T144" s="1149"/>
    </row>
    <row r="145" spans="1:20" hidden="1" outlineLevel="2" x14ac:dyDescent="0.15">
      <c r="A145" s="630" t="str">
        <f t="shared" si="20"/>
        <v>Xeon E5-2660v3 20 core (2 chip) 2600 MHz</v>
      </c>
      <c r="B145" s="661" t="s">
        <v>1037</v>
      </c>
      <c r="C145" s="2024">
        <v>20</v>
      </c>
      <c r="D145" s="52">
        <v>10</v>
      </c>
      <c r="E145" s="639">
        <v>2600</v>
      </c>
      <c r="F145" s="2192">
        <v>893</v>
      </c>
      <c r="G145" s="2193">
        <f t="shared" si="22"/>
        <v>44.65</v>
      </c>
      <c r="H145" s="2603">
        <f t="shared" si="21"/>
        <v>2</v>
      </c>
      <c r="I145" s="646" t="s">
        <v>335</v>
      </c>
      <c r="J145" s="2048">
        <v>105</v>
      </c>
      <c r="K145" s="2647">
        <v>41883</v>
      </c>
      <c r="L145" s="1149"/>
      <c r="M145" s="1149"/>
      <c r="N145" s="1149"/>
      <c r="O145" s="1149"/>
      <c r="P145" s="2196"/>
      <c r="Q145" s="2196"/>
      <c r="R145" s="2196"/>
      <c r="S145" s="2196"/>
      <c r="T145" s="1149"/>
    </row>
    <row r="146" spans="1:20" hidden="1" outlineLevel="2" x14ac:dyDescent="0.15">
      <c r="A146" s="630" t="str">
        <f t="shared" si="20"/>
        <v>Xeon E5-2640v3 16 core (2 chip) 2600 MHz</v>
      </c>
      <c r="B146" s="661" t="s">
        <v>1038</v>
      </c>
      <c r="C146" s="2024">
        <v>16</v>
      </c>
      <c r="D146" s="52">
        <v>8</v>
      </c>
      <c r="E146" s="639">
        <v>2600</v>
      </c>
      <c r="F146" s="2192">
        <v>703</v>
      </c>
      <c r="G146" s="2193">
        <f t="shared" si="22"/>
        <v>43.9375</v>
      </c>
      <c r="H146" s="2603">
        <f t="shared" si="21"/>
        <v>2</v>
      </c>
      <c r="I146" s="646" t="s">
        <v>335</v>
      </c>
      <c r="J146" s="2048">
        <v>90</v>
      </c>
      <c r="K146" s="2647">
        <v>42005</v>
      </c>
      <c r="L146" s="1149"/>
      <c r="M146" s="1149"/>
      <c r="N146" s="1149"/>
      <c r="O146" s="1149"/>
      <c r="P146" s="2196"/>
      <c r="Q146" s="2196"/>
      <c r="R146" s="2196"/>
      <c r="S146" s="2196"/>
      <c r="T146" s="1149"/>
    </row>
    <row r="147" spans="1:20" s="693" customFormat="1" hidden="1" outlineLevel="2" x14ac:dyDescent="0.15">
      <c r="A147" s="630" t="str">
        <f>CONCATENATE(B147," ",C147," core (",H147," chip) ",E147," MHz")</f>
        <v>Xeon E5-2695v3 28 core (2 chip) 2300 MHz</v>
      </c>
      <c r="B147" s="661" t="s">
        <v>1308</v>
      </c>
      <c r="C147" s="2025">
        <v>28</v>
      </c>
      <c r="D147" s="50">
        <v>14</v>
      </c>
      <c r="E147" s="639">
        <v>2300</v>
      </c>
      <c r="F147" s="2012">
        <v>1160</v>
      </c>
      <c r="G147" s="2015">
        <f>IF(F147=0,"",F147/C147)</f>
        <v>41.428571428571431</v>
      </c>
      <c r="H147" s="2603">
        <f>IF(C147=0,"",C147/D147)</f>
        <v>2</v>
      </c>
      <c r="I147" s="647" t="s">
        <v>335</v>
      </c>
      <c r="J147" s="2048">
        <v>130</v>
      </c>
      <c r="K147" s="2654" t="s">
        <v>1424</v>
      </c>
      <c r="L147" s="1304"/>
      <c r="M147" s="1304"/>
      <c r="N147" s="1304"/>
      <c r="O147" s="1304"/>
      <c r="P147" s="1305"/>
      <c r="Q147" s="1305"/>
    </row>
    <row r="148" spans="1:20" hidden="1" outlineLevel="2" x14ac:dyDescent="0.15">
      <c r="A148" s="630" t="str">
        <f t="shared" si="20"/>
        <v>Xeon E5-2697v3 28 core (2 chip) 2600 MHz</v>
      </c>
      <c r="B148" s="661" t="s">
        <v>1039</v>
      </c>
      <c r="C148" s="2024">
        <v>28</v>
      </c>
      <c r="D148" s="52">
        <v>14</v>
      </c>
      <c r="E148" s="639">
        <v>2600</v>
      </c>
      <c r="F148" s="2192">
        <v>1210</v>
      </c>
      <c r="G148" s="2193">
        <f t="shared" si="22"/>
        <v>43.214285714285715</v>
      </c>
      <c r="H148" s="2603">
        <f t="shared" si="21"/>
        <v>2</v>
      </c>
      <c r="I148" s="646" t="s">
        <v>335</v>
      </c>
      <c r="J148" s="2048">
        <v>145</v>
      </c>
      <c r="K148" s="2647">
        <v>42005</v>
      </c>
      <c r="L148" s="1149"/>
      <c r="M148" s="1149"/>
      <c r="N148" s="1149"/>
      <c r="O148" s="1149"/>
      <c r="P148" s="2196"/>
      <c r="Q148" s="2196"/>
      <c r="R148" s="2196"/>
      <c r="S148" s="2196"/>
      <c r="T148" s="1149"/>
    </row>
    <row r="149" spans="1:20" hidden="1" outlineLevel="2" x14ac:dyDescent="0.15">
      <c r="A149" s="630" t="str">
        <f t="shared" si="20"/>
        <v>Xeon E5-2698v3 32 core (2 chip) 2300 MHz</v>
      </c>
      <c r="B149" s="661" t="s">
        <v>1385</v>
      </c>
      <c r="C149" s="2024">
        <v>32</v>
      </c>
      <c r="D149" s="52">
        <v>16</v>
      </c>
      <c r="E149" s="639">
        <v>2300</v>
      </c>
      <c r="F149" s="2192">
        <v>1290</v>
      </c>
      <c r="G149" s="2193">
        <f>F149/C149</f>
        <v>40.3125</v>
      </c>
      <c r="H149" s="2603">
        <f t="shared" si="21"/>
        <v>2</v>
      </c>
      <c r="I149" s="646" t="s">
        <v>335</v>
      </c>
      <c r="J149" s="2048">
        <v>135</v>
      </c>
      <c r="K149" s="2647">
        <v>42050</v>
      </c>
      <c r="L149" s="1149"/>
      <c r="M149" s="1149"/>
      <c r="N149" s="1149"/>
      <c r="O149" s="1149"/>
      <c r="P149" s="2196"/>
      <c r="Q149" s="2196"/>
      <c r="R149" s="2196"/>
      <c r="S149" s="2196"/>
      <c r="T149" s="1149"/>
    </row>
    <row r="150" spans="1:20" hidden="1" outlineLevel="2" x14ac:dyDescent="0.15">
      <c r="A150" s="630" t="str">
        <f t="shared" si="20"/>
        <v>Xeon E5-2699v3 36 core (2 chip) 2300 MHz</v>
      </c>
      <c r="B150" s="661" t="s">
        <v>1386</v>
      </c>
      <c r="C150" s="2024">
        <v>36</v>
      </c>
      <c r="D150" s="52">
        <v>18</v>
      </c>
      <c r="E150" s="639">
        <v>2300</v>
      </c>
      <c r="F150" s="2192">
        <v>1440</v>
      </c>
      <c r="G150" s="2193">
        <f>F150/C150</f>
        <v>40</v>
      </c>
      <c r="H150" s="2603">
        <f t="shared" si="21"/>
        <v>2</v>
      </c>
      <c r="I150" s="646" t="s">
        <v>335</v>
      </c>
      <c r="J150" s="2048">
        <v>135</v>
      </c>
      <c r="K150" s="2647">
        <v>42050</v>
      </c>
      <c r="L150" s="1149"/>
      <c r="M150" s="1149"/>
      <c r="N150" s="1149"/>
      <c r="O150" s="1149"/>
      <c r="P150" s="2196"/>
      <c r="Q150" s="2196"/>
      <c r="R150" s="2196"/>
      <c r="S150" s="2196"/>
      <c r="T150" s="1149"/>
    </row>
    <row r="151" spans="1:20" hidden="1" outlineLevel="2" x14ac:dyDescent="0.15">
      <c r="A151" s="630" t="str">
        <f>CONCATENATE(B151," ",C151," core (",H151," chip) ",E151," MHz")&amp;IF(ISBLANK(F151),"**","")</f>
        <v>Xeon E7-8891v3 40 core (4 chip) 2800 MHz</v>
      </c>
      <c r="B151" s="661" t="s">
        <v>1387</v>
      </c>
      <c r="C151" s="2024">
        <v>40</v>
      </c>
      <c r="D151" s="52">
        <v>10</v>
      </c>
      <c r="E151" s="639">
        <v>2800</v>
      </c>
      <c r="F151" s="2192">
        <v>1920</v>
      </c>
      <c r="G151" s="2193">
        <f>F151/C151</f>
        <v>48</v>
      </c>
      <c r="H151" s="2603">
        <f>C151/D151</f>
        <v>4</v>
      </c>
      <c r="I151" s="646" t="s">
        <v>335</v>
      </c>
      <c r="J151" s="2048">
        <v>145</v>
      </c>
      <c r="K151" s="2647">
        <v>42005</v>
      </c>
      <c r="L151" s="1149"/>
      <c r="M151" s="1149"/>
      <c r="N151" s="1149"/>
      <c r="O151" s="1149"/>
      <c r="P151" s="2196"/>
      <c r="Q151" s="2196"/>
      <c r="R151" s="2196"/>
      <c r="S151" s="2196"/>
      <c r="T151" s="1149"/>
    </row>
    <row r="152" spans="1:20" hidden="1" outlineLevel="2" x14ac:dyDescent="0.15">
      <c r="A152" s="630" t="str">
        <f>CONCATENATE(B152," ",C152," core (",H152," chip) ",E152," MHz")&amp;IF(ISBLANK(F152),"**","")</f>
        <v>Xeon E7-8891v3 80 core (8 chip) 2800 MHz</v>
      </c>
      <c r="B152" s="661" t="s">
        <v>1387</v>
      </c>
      <c r="C152" s="2024">
        <v>80</v>
      </c>
      <c r="D152" s="52">
        <v>10</v>
      </c>
      <c r="E152" s="639">
        <v>2800</v>
      </c>
      <c r="F152" s="2192">
        <v>3780</v>
      </c>
      <c r="G152" s="2193">
        <f>F152/C152</f>
        <v>47.25</v>
      </c>
      <c r="H152" s="2603">
        <f>C152/D152</f>
        <v>8</v>
      </c>
      <c r="I152" s="646" t="s">
        <v>335</v>
      </c>
      <c r="J152" s="2048">
        <v>145</v>
      </c>
      <c r="K152" s="2647">
        <v>42005</v>
      </c>
      <c r="L152" s="1149"/>
      <c r="M152" s="1149"/>
      <c r="N152" s="1149"/>
      <c r="O152" s="1149"/>
      <c r="P152" s="2196"/>
      <c r="Q152" s="2196"/>
      <c r="R152" s="2196"/>
      <c r="S152" s="2196"/>
      <c r="T152" s="1149"/>
    </row>
    <row r="153" spans="1:20" hidden="1" outlineLevel="2" x14ac:dyDescent="0.15">
      <c r="A153" s="630" t="str">
        <f>CONCATENATE(B153," ",C153," core (",H153," chip) ",E153," MHz")&amp;IF(ISBLANK(F153),"**","")</f>
        <v>Xeon E7-8891v3 80 core (8 chip) 2800 MHz</v>
      </c>
      <c r="B153" s="661" t="s">
        <v>1387</v>
      </c>
      <c r="C153" s="2024">
        <v>80</v>
      </c>
      <c r="D153" s="52">
        <v>10</v>
      </c>
      <c r="E153" s="639">
        <v>2800</v>
      </c>
      <c r="F153" s="2192">
        <v>3780</v>
      </c>
      <c r="G153" s="2193">
        <f>F153/C153</f>
        <v>47.25</v>
      </c>
      <c r="H153" s="2603">
        <f>C153/D153</f>
        <v>8</v>
      </c>
      <c r="I153" s="646" t="s">
        <v>335</v>
      </c>
      <c r="J153" s="2048">
        <v>145</v>
      </c>
      <c r="K153" s="2647">
        <v>42005</v>
      </c>
      <c r="L153" s="1149"/>
      <c r="M153" s="1149"/>
      <c r="N153" s="1149"/>
      <c r="O153" s="1149"/>
      <c r="P153" s="2196"/>
      <c r="Q153" s="2196"/>
      <c r="R153" s="2196"/>
      <c r="S153" s="2196"/>
      <c r="T153" s="1149"/>
    </row>
    <row r="154" spans="1:20" hidden="1" outlineLevel="1" collapsed="1" x14ac:dyDescent="0.15">
      <c r="A154" s="628" t="s">
        <v>914</v>
      </c>
      <c r="B154" s="659" t="str">
        <f>A154</f>
        <v xml:space="preserve"> ==== 2014 DP Server Platforms ====</v>
      </c>
      <c r="C154" s="656"/>
      <c r="D154" s="2022"/>
      <c r="E154" s="2023"/>
      <c r="F154" s="2010"/>
      <c r="G154" s="2017"/>
      <c r="H154" s="2606"/>
      <c r="I154" s="645"/>
      <c r="J154" s="672" t="s">
        <v>165</v>
      </c>
      <c r="K154" s="2651"/>
    </row>
    <row r="155" spans="1:20" hidden="1" outlineLevel="2" x14ac:dyDescent="0.15">
      <c r="A155" s="630" t="str">
        <f>CONCATENATE(B155," ",C155," core (",H155," chip) ",E155," MHz")&amp;IF(ISBLANK(F155),"**","")</f>
        <v>Xeon E3-1270v3 4 core (1 chip) 3500 MHz</v>
      </c>
      <c r="B155" s="660" t="s">
        <v>921</v>
      </c>
      <c r="C155" s="2024">
        <v>4</v>
      </c>
      <c r="D155" s="52">
        <v>4</v>
      </c>
      <c r="E155" s="639">
        <v>3500</v>
      </c>
      <c r="F155" s="2011">
        <v>212</v>
      </c>
      <c r="G155" s="2015">
        <f>F155/C155</f>
        <v>53</v>
      </c>
      <c r="H155" s="2604">
        <f>C155/D155</f>
        <v>1</v>
      </c>
      <c r="I155" s="646" t="s">
        <v>335</v>
      </c>
      <c r="J155" s="2048">
        <v>80</v>
      </c>
      <c r="K155" s="2650"/>
    </row>
    <row r="156" spans="1:20" s="693" customFormat="1" hidden="1" outlineLevel="2" x14ac:dyDescent="0.15">
      <c r="A156" s="630" t="str">
        <f t="shared" ref="A156:A162" si="23">CONCATENATE(B156," ",C156," core (",H156," chip) ",E156," MHz")</f>
        <v>Xeon E5-2637v2 4 core (1 chip) 3500 MHz</v>
      </c>
      <c r="B156" s="661" t="s">
        <v>915</v>
      </c>
      <c r="C156" s="2025">
        <v>4</v>
      </c>
      <c r="D156" s="50">
        <v>4</v>
      </c>
      <c r="E156" s="639">
        <v>3500</v>
      </c>
      <c r="F156" s="2012">
        <v>211</v>
      </c>
      <c r="G156" s="2015">
        <f t="shared" ref="G156:G162" si="24">IF(F156=0,"",F156/C156)</f>
        <v>52.75</v>
      </c>
      <c r="H156" s="2603">
        <f t="shared" ref="H156:H162" si="25">IF(C156=0,"",C156/D156)</f>
        <v>1</v>
      </c>
      <c r="I156" s="647" t="s">
        <v>335</v>
      </c>
      <c r="J156" s="2048">
        <v>130</v>
      </c>
      <c r="K156" s="2650"/>
      <c r="L156" s="1304"/>
      <c r="M156" s="1304"/>
      <c r="N156" s="1304"/>
      <c r="O156" s="1304"/>
      <c r="P156" s="1305"/>
      <c r="Q156" s="1305"/>
    </row>
    <row r="157" spans="1:20" s="693" customFormat="1" hidden="1" outlineLevel="2" x14ac:dyDescent="0.15">
      <c r="A157" s="630" t="str">
        <f t="shared" si="23"/>
        <v>Xeon E5-2637v2 8 core (2 chip) 3500 MHz</v>
      </c>
      <c r="B157" s="661" t="s">
        <v>915</v>
      </c>
      <c r="C157" s="2025">
        <v>8</v>
      </c>
      <c r="D157" s="50">
        <v>4</v>
      </c>
      <c r="E157" s="639">
        <v>3500</v>
      </c>
      <c r="F157" s="2012">
        <v>412</v>
      </c>
      <c r="G157" s="2015">
        <f t="shared" si="24"/>
        <v>51.5</v>
      </c>
      <c r="H157" s="2603">
        <f t="shared" si="25"/>
        <v>2</v>
      </c>
      <c r="I157" s="647" t="s">
        <v>335</v>
      </c>
      <c r="J157" s="2048">
        <v>130</v>
      </c>
      <c r="K157" s="2650"/>
      <c r="L157" s="1304"/>
      <c r="M157" s="1304"/>
      <c r="N157" s="1304"/>
      <c r="O157" s="1304"/>
      <c r="P157" s="1305"/>
      <c r="Q157" s="1305"/>
    </row>
    <row r="158" spans="1:20" s="693" customFormat="1" hidden="1" outlineLevel="2" x14ac:dyDescent="0.15">
      <c r="A158" s="630" t="str">
        <f t="shared" si="23"/>
        <v>Xeon E5-2643v2 12 core (2 chip) 3500 MHz</v>
      </c>
      <c r="B158" s="661" t="s">
        <v>916</v>
      </c>
      <c r="C158" s="2025">
        <v>12</v>
      </c>
      <c r="D158" s="50">
        <v>6</v>
      </c>
      <c r="E158" s="639">
        <v>3500</v>
      </c>
      <c r="F158" s="2012">
        <v>617</v>
      </c>
      <c r="G158" s="2015">
        <f t="shared" si="24"/>
        <v>51.416666666666664</v>
      </c>
      <c r="H158" s="2603">
        <f t="shared" si="25"/>
        <v>2</v>
      </c>
      <c r="I158" s="647" t="s">
        <v>335</v>
      </c>
      <c r="J158" s="2048">
        <v>130</v>
      </c>
      <c r="K158" s="2650"/>
      <c r="L158" s="1304"/>
      <c r="M158" s="1304"/>
      <c r="N158" s="1304"/>
      <c r="O158" s="1304"/>
      <c r="P158" s="1305"/>
      <c r="Q158" s="1305"/>
    </row>
    <row r="159" spans="1:20" s="693" customFormat="1" hidden="1" outlineLevel="2" x14ac:dyDescent="0.15">
      <c r="A159" s="630" t="str">
        <f>CONCATENATE(B159," ",C159," core (",H159," chip) ",E159," MHz")</f>
        <v>Xeon E5-2667v2 16 core (2 chip) 3300 MHz</v>
      </c>
      <c r="B159" s="661" t="s">
        <v>917</v>
      </c>
      <c r="C159" s="2025">
        <v>16</v>
      </c>
      <c r="D159" s="50">
        <v>8</v>
      </c>
      <c r="E159" s="639">
        <v>3300</v>
      </c>
      <c r="F159" s="2012">
        <v>785</v>
      </c>
      <c r="G159" s="2015">
        <f>IF(F159=0,"",F159/C159)</f>
        <v>49.0625</v>
      </c>
      <c r="H159" s="2603">
        <f>IF(C159=0,"",C159/D159)</f>
        <v>2</v>
      </c>
      <c r="I159" s="647" t="s">
        <v>335</v>
      </c>
      <c r="J159" s="2048">
        <v>130</v>
      </c>
      <c r="K159" s="2650"/>
      <c r="L159" s="1304"/>
      <c r="M159" s="1304"/>
      <c r="N159" s="1304"/>
      <c r="O159" s="1304"/>
      <c r="P159" s="1305"/>
      <c r="Q159" s="1305"/>
    </row>
    <row r="160" spans="1:20" s="693" customFormat="1" hidden="1" outlineLevel="2" x14ac:dyDescent="0.15">
      <c r="A160" s="630" t="str">
        <f t="shared" si="23"/>
        <v>Xeon E5-2670v2 20 core (2 chip) 2500 MHz</v>
      </c>
      <c r="B160" s="661" t="s">
        <v>1757</v>
      </c>
      <c r="C160" s="2025">
        <v>20</v>
      </c>
      <c r="D160" s="50">
        <v>10</v>
      </c>
      <c r="E160" s="639">
        <v>2500</v>
      </c>
      <c r="F160" s="2012">
        <v>791</v>
      </c>
      <c r="G160" s="2015">
        <f t="shared" si="24"/>
        <v>39.549999999999997</v>
      </c>
      <c r="H160" s="2603">
        <f t="shared" si="25"/>
        <v>2</v>
      </c>
      <c r="I160" s="647" t="s">
        <v>335</v>
      </c>
      <c r="J160" s="2048">
        <v>130</v>
      </c>
      <c r="K160" s="2650"/>
      <c r="L160" s="1304"/>
      <c r="M160" s="1304"/>
      <c r="N160" s="1304"/>
      <c r="O160" s="1304"/>
      <c r="P160" s="1305"/>
      <c r="Q160" s="1305"/>
    </row>
    <row r="161" spans="1:17" s="693" customFormat="1" hidden="1" outlineLevel="2" x14ac:dyDescent="0.15">
      <c r="A161" s="630" t="str">
        <f t="shared" si="23"/>
        <v>Xeon E5-2690v2 20 core (2 chip) 3000 MHz</v>
      </c>
      <c r="B161" s="661" t="s">
        <v>918</v>
      </c>
      <c r="C161" s="2025">
        <v>20</v>
      </c>
      <c r="D161" s="50">
        <v>10</v>
      </c>
      <c r="E161" s="639">
        <v>3000</v>
      </c>
      <c r="F161" s="2012">
        <v>871</v>
      </c>
      <c r="G161" s="2015">
        <f t="shared" si="24"/>
        <v>43.55</v>
      </c>
      <c r="H161" s="2603">
        <f t="shared" si="25"/>
        <v>2</v>
      </c>
      <c r="I161" s="647" t="s">
        <v>335</v>
      </c>
      <c r="J161" s="2048">
        <v>130</v>
      </c>
      <c r="K161" s="2650"/>
      <c r="L161" s="1304"/>
      <c r="M161" s="1304"/>
      <c r="N161" s="1304"/>
      <c r="O161" s="1304"/>
      <c r="P161" s="1305"/>
      <c r="Q161" s="1305"/>
    </row>
    <row r="162" spans="1:17" s="693" customFormat="1" hidden="1" outlineLevel="2" x14ac:dyDescent="0.15">
      <c r="A162" s="630" t="str">
        <f t="shared" si="23"/>
        <v>Xeon E5-2680v2 20 core (2 chip) 2800 MHz</v>
      </c>
      <c r="B162" s="661" t="s">
        <v>1178</v>
      </c>
      <c r="C162" s="2025">
        <v>20</v>
      </c>
      <c r="D162" s="50">
        <v>10</v>
      </c>
      <c r="E162" s="639">
        <v>2800</v>
      </c>
      <c r="F162" s="2012">
        <v>830</v>
      </c>
      <c r="G162" s="2015">
        <f t="shared" si="24"/>
        <v>41.5</v>
      </c>
      <c r="H162" s="2603">
        <f t="shared" si="25"/>
        <v>2</v>
      </c>
      <c r="I162" s="647" t="s">
        <v>335</v>
      </c>
      <c r="J162" s="2048">
        <v>130</v>
      </c>
      <c r="K162" s="2650"/>
      <c r="L162" s="1304"/>
      <c r="M162" s="1304"/>
      <c r="N162" s="1304"/>
      <c r="O162" s="1304"/>
      <c r="P162" s="1305"/>
      <c r="Q162" s="1305"/>
    </row>
    <row r="163" spans="1:17" s="693" customFormat="1" hidden="1" outlineLevel="2" x14ac:dyDescent="0.15">
      <c r="A163" s="630" t="str">
        <f>CONCATENATE(B163," ",C163," core (",H163," chip) ",E163," MHz")</f>
        <v>Xeon E5-2695v2 24 core (2 chip) 2400 MHz</v>
      </c>
      <c r="B163" s="661" t="s">
        <v>1307</v>
      </c>
      <c r="C163" s="2025">
        <v>24</v>
      </c>
      <c r="D163" s="50">
        <v>12</v>
      </c>
      <c r="E163" s="639">
        <v>2400</v>
      </c>
      <c r="F163" s="2012">
        <v>894</v>
      </c>
      <c r="G163" s="2015">
        <f>IF(F163=0,"",F163/C163)</f>
        <v>37.25</v>
      </c>
      <c r="H163" s="2603">
        <f>IF(C163=0,"",C163/D163)</f>
        <v>2</v>
      </c>
      <c r="I163" s="647" t="s">
        <v>335</v>
      </c>
      <c r="J163" s="2048">
        <v>130</v>
      </c>
      <c r="K163" s="2650"/>
      <c r="L163" s="1304"/>
      <c r="M163" s="1304"/>
      <c r="N163" s="1304"/>
      <c r="O163" s="1304"/>
      <c r="P163" s="1305"/>
      <c r="Q163" s="1305"/>
    </row>
    <row r="164" spans="1:17" hidden="1" outlineLevel="1" collapsed="1" x14ac:dyDescent="0.15">
      <c r="A164" s="628" t="s">
        <v>909</v>
      </c>
      <c r="B164" s="659" t="str">
        <f>A164</f>
        <v xml:space="preserve"> ==== 2014 MP Server Platforms ====</v>
      </c>
      <c r="C164" s="656"/>
      <c r="D164" s="2022"/>
      <c r="E164" s="2023"/>
      <c r="F164" s="2010"/>
      <c r="G164" s="2017"/>
      <c r="H164" s="2606"/>
      <c r="I164" s="645"/>
      <c r="J164" s="672" t="s">
        <v>165</v>
      </c>
      <c r="K164" s="2651"/>
    </row>
    <row r="165" spans="1:17" hidden="1" outlineLevel="2" x14ac:dyDescent="0.15">
      <c r="A165" s="630" t="str">
        <f>CONCATENATE(B165," ",C165," core (",H165," chip) ",E165," MHz")</f>
        <v>Xeon E7-8893v2 24 core (2 chip) 3400 MHz</v>
      </c>
      <c r="B165" s="660" t="s">
        <v>919</v>
      </c>
      <c r="C165" s="2024">
        <v>24</v>
      </c>
      <c r="D165" s="52">
        <v>12</v>
      </c>
      <c r="E165" s="639">
        <v>3400</v>
      </c>
      <c r="F165" s="2011">
        <v>1150</v>
      </c>
      <c r="G165" s="2015">
        <f>F165/C165</f>
        <v>47.916666666666664</v>
      </c>
      <c r="H165" s="2603">
        <f>C165/D165</f>
        <v>2</v>
      </c>
      <c r="I165" s="646" t="s">
        <v>335</v>
      </c>
      <c r="J165" s="2048">
        <v>155</v>
      </c>
      <c r="K165" s="2650"/>
      <c r="L165" s="1304"/>
      <c r="M165" s="1304"/>
      <c r="N165" s="1304"/>
      <c r="O165" s="1304"/>
      <c r="P165" s="1305"/>
      <c r="Q165" s="1305"/>
    </row>
    <row r="166" spans="1:17" hidden="1" outlineLevel="2" x14ac:dyDescent="0.15">
      <c r="A166" s="630" t="str">
        <f>CONCATENATE(B166," ",C166," core (",H166," chip) ",E166," MHz")</f>
        <v>Xeon E7-2890v2 30 core (2 chip) 2800 MHz</v>
      </c>
      <c r="B166" s="660" t="s">
        <v>906</v>
      </c>
      <c r="C166" s="2024">
        <v>30</v>
      </c>
      <c r="D166" s="52">
        <v>15</v>
      </c>
      <c r="E166" s="639">
        <v>2800</v>
      </c>
      <c r="F166" s="2011">
        <v>1170</v>
      </c>
      <c r="G166" s="2015">
        <f>F166/C166</f>
        <v>39</v>
      </c>
      <c r="H166" s="2603">
        <f>C166/D166</f>
        <v>2</v>
      </c>
      <c r="I166" s="646" t="s">
        <v>335</v>
      </c>
      <c r="J166" s="2048">
        <v>155</v>
      </c>
      <c r="K166" s="2650"/>
      <c r="L166" s="1304"/>
      <c r="M166" s="1304"/>
      <c r="N166" s="1304"/>
      <c r="O166" s="1304"/>
      <c r="P166" s="1305"/>
      <c r="Q166" s="1305"/>
    </row>
    <row r="167" spans="1:17" hidden="1" outlineLevel="2" x14ac:dyDescent="0.15">
      <c r="A167" s="630" t="str">
        <f>CONCATENATE(B167," ",C167," core (",H167," chip) ",E167," MHz")</f>
        <v>Xeon E7-4890v2 60 core (4 chip) 2800 MHz</v>
      </c>
      <c r="B167" s="660" t="s">
        <v>907</v>
      </c>
      <c r="C167" s="2024">
        <v>60</v>
      </c>
      <c r="D167" s="52">
        <v>15</v>
      </c>
      <c r="E167" s="639">
        <v>2800</v>
      </c>
      <c r="F167" s="2011">
        <v>2320</v>
      </c>
      <c r="G167" s="2015">
        <f>F167/C167</f>
        <v>38.666666666666664</v>
      </c>
      <c r="H167" s="2603">
        <f>C167/D167</f>
        <v>4</v>
      </c>
      <c r="I167" s="646" t="s">
        <v>335</v>
      </c>
      <c r="J167" s="2048">
        <v>155</v>
      </c>
      <c r="K167" s="2650"/>
      <c r="L167" s="1304"/>
      <c r="M167" s="1304"/>
      <c r="N167" s="1304"/>
      <c r="O167" s="1304"/>
      <c r="P167" s="1305"/>
      <c r="Q167" s="1305"/>
    </row>
    <row r="168" spans="1:17" hidden="1" outlineLevel="2" x14ac:dyDescent="0.15">
      <c r="A168" s="630" t="str">
        <f>CONCATENATE(B168," ",C168," core (",H168," chip) ",E168," MHz")</f>
        <v>Xeon E7-8891v2 40 core (4 chip) 3200 MHz</v>
      </c>
      <c r="B168" s="660" t="s">
        <v>920</v>
      </c>
      <c r="C168" s="2024">
        <v>40</v>
      </c>
      <c r="D168" s="52">
        <v>10</v>
      </c>
      <c r="E168" s="639">
        <v>3200</v>
      </c>
      <c r="F168" s="2011">
        <v>1750</v>
      </c>
      <c r="G168" s="2015">
        <f>F168/C168</f>
        <v>43.75</v>
      </c>
      <c r="H168" s="2603">
        <f>C168/D168</f>
        <v>4</v>
      </c>
      <c r="I168" s="646" t="s">
        <v>335</v>
      </c>
      <c r="J168" s="2048">
        <v>155</v>
      </c>
      <c r="K168" s="2650"/>
      <c r="L168" s="1304"/>
      <c r="M168" s="1304"/>
      <c r="N168" s="1304"/>
      <c r="O168" s="1304"/>
      <c r="P168" s="1305"/>
      <c r="Q168" s="1305"/>
    </row>
    <row r="169" spans="1:17" hidden="1" outlineLevel="2" x14ac:dyDescent="0.15">
      <c r="A169" s="630" t="str">
        <f>CONCATENATE(B169," ",C169," core (",H169," chip) ",E169," MHz")</f>
        <v>Xeon E7-8890v2 120 core (8 chip) 2800 MHz</v>
      </c>
      <c r="B169" s="660" t="s">
        <v>908</v>
      </c>
      <c r="C169" s="2024">
        <v>120</v>
      </c>
      <c r="D169" s="52">
        <v>15</v>
      </c>
      <c r="E169" s="639">
        <v>2800</v>
      </c>
      <c r="F169" s="2011">
        <v>4570</v>
      </c>
      <c r="G169" s="2015">
        <f>F169/C169</f>
        <v>38.083333333333336</v>
      </c>
      <c r="H169" s="2603">
        <f>C169/D169</f>
        <v>8</v>
      </c>
      <c r="I169" s="646" t="s">
        <v>335</v>
      </c>
      <c r="J169" s="2048">
        <v>155</v>
      </c>
      <c r="K169" s="2650"/>
      <c r="L169" s="1304"/>
      <c r="M169" s="1304"/>
      <c r="N169" s="1304"/>
      <c r="O169" s="1304"/>
      <c r="P169" s="1305"/>
      <c r="Q169" s="1305"/>
    </row>
    <row r="170" spans="1:17" hidden="1" outlineLevel="1" collapsed="1" x14ac:dyDescent="0.15">
      <c r="A170" s="628" t="s">
        <v>784</v>
      </c>
      <c r="B170" s="659" t="str">
        <f>A170</f>
        <v xml:space="preserve"> ==== 2013 DP Server Platforms ====</v>
      </c>
      <c r="C170" s="656"/>
      <c r="D170" s="2022"/>
      <c r="E170" s="2023"/>
      <c r="F170" s="2010"/>
      <c r="G170" s="2017"/>
      <c r="H170" s="2606"/>
      <c r="I170" s="645"/>
      <c r="J170" s="672" t="s">
        <v>165</v>
      </c>
      <c r="K170" s="2651"/>
    </row>
    <row r="171" spans="1:17" s="693" customFormat="1" hidden="1" outlineLevel="2" x14ac:dyDescent="0.15">
      <c r="A171" s="630" t="str">
        <f t="shared" ref="A171:A180" si="26">CONCATENATE(B171," ",C171," core (",H171," chip) ",E171," MHz")</f>
        <v>Xeon E3-1290V2 4 core (1 chip) 3700 MHz</v>
      </c>
      <c r="B171" s="661" t="s">
        <v>813</v>
      </c>
      <c r="C171" s="2025">
        <v>4</v>
      </c>
      <c r="D171" s="50">
        <v>4</v>
      </c>
      <c r="E171" s="639">
        <v>3700</v>
      </c>
      <c r="F171" s="2012">
        <v>197.33</v>
      </c>
      <c r="G171" s="2015">
        <f>IF(F171=0,"",F171/C171)</f>
        <v>49.332500000000003</v>
      </c>
      <c r="H171" s="2603">
        <f>IF(C171=0,"",C171/D171)</f>
        <v>1</v>
      </c>
      <c r="I171" s="647" t="s">
        <v>335</v>
      </c>
      <c r="J171" s="2048">
        <v>87</v>
      </c>
      <c r="K171" s="2650"/>
      <c r="L171" s="1304"/>
      <c r="M171" s="1304"/>
      <c r="N171" s="1304"/>
      <c r="O171" s="1304"/>
      <c r="P171" s="1305"/>
      <c r="Q171" s="1305"/>
    </row>
    <row r="172" spans="1:17" s="693" customFormat="1" hidden="1" outlineLevel="2" x14ac:dyDescent="0.15">
      <c r="A172" s="630" t="str">
        <f t="shared" si="26"/>
        <v>Xeon E3-1280V2 4 core (1 chip) 3600 MHz</v>
      </c>
      <c r="B172" s="661" t="s">
        <v>797</v>
      </c>
      <c r="C172" s="2025">
        <v>4</v>
      </c>
      <c r="D172" s="50">
        <v>4</v>
      </c>
      <c r="E172" s="639">
        <v>3600</v>
      </c>
      <c r="F172" s="2012">
        <v>192</v>
      </c>
      <c r="G172" s="2015">
        <f>IF(F172=0,"",F172/C172)</f>
        <v>48</v>
      </c>
      <c r="H172" s="2603">
        <f>IF(C172=0,"",C172/D172)</f>
        <v>1</v>
      </c>
      <c r="I172" s="647" t="s">
        <v>335</v>
      </c>
      <c r="J172" s="2048">
        <v>69</v>
      </c>
      <c r="K172" s="2650"/>
      <c r="L172" s="1891"/>
      <c r="M172" s="1891"/>
      <c r="N172" s="1891"/>
      <c r="O172" s="1891"/>
      <c r="P172" s="1305"/>
      <c r="Q172" s="1305"/>
    </row>
    <row r="173" spans="1:17" s="693" customFormat="1" hidden="1" outlineLevel="2" x14ac:dyDescent="0.15">
      <c r="A173" s="630" t="str">
        <f t="shared" si="26"/>
        <v>Xeon E3-1270V2 4 core (1 chip) 3500 MHz</v>
      </c>
      <c r="B173" s="661" t="s">
        <v>798</v>
      </c>
      <c r="C173" s="2025">
        <v>4</v>
      </c>
      <c r="D173" s="50">
        <v>4</v>
      </c>
      <c r="E173" s="639">
        <v>3500</v>
      </c>
      <c r="F173" s="2012">
        <v>191</v>
      </c>
      <c r="G173" s="2015">
        <f>IF(F173=0,"",F173/C173)</f>
        <v>47.75</v>
      </c>
      <c r="H173" s="2603">
        <f>IF(C173=0,"",C173/D173)</f>
        <v>1</v>
      </c>
      <c r="I173" s="647" t="s">
        <v>335</v>
      </c>
      <c r="J173" s="2048">
        <v>69</v>
      </c>
      <c r="K173" s="2650"/>
      <c r="L173" s="1891"/>
      <c r="M173" s="1891"/>
      <c r="N173" s="1891"/>
      <c r="O173" s="1891"/>
      <c r="P173" s="1305"/>
      <c r="Q173" s="1305"/>
    </row>
    <row r="174" spans="1:17" s="693" customFormat="1" hidden="1" outlineLevel="2" x14ac:dyDescent="0.15">
      <c r="A174" s="630" t="str">
        <f>CONCATENATE(B174," ",C174," core (",H174," chip) ",E174," MHz")</f>
        <v>Xeon E5-1620V2 4 core (1 chip) 3700 MHz</v>
      </c>
      <c r="B174" s="661" t="s">
        <v>1299</v>
      </c>
      <c r="C174" s="2025">
        <v>4</v>
      </c>
      <c r="D174" s="50">
        <v>4</v>
      </c>
      <c r="E174" s="639">
        <v>3700</v>
      </c>
      <c r="F174" s="2012">
        <v>207</v>
      </c>
      <c r="G174" s="2015">
        <f>IF(F174=0,"",F174/C174)</f>
        <v>51.75</v>
      </c>
      <c r="H174" s="2603">
        <f>IF(C174=0,"",C174/D174)</f>
        <v>1</v>
      </c>
      <c r="I174" s="647" t="s">
        <v>335</v>
      </c>
      <c r="J174" s="2048"/>
      <c r="K174" s="2650"/>
      <c r="L174" s="1891"/>
      <c r="M174" s="1891"/>
      <c r="N174" s="1891"/>
      <c r="O174" s="1891"/>
      <c r="P174" s="1305"/>
      <c r="Q174" s="1305"/>
    </row>
    <row r="175" spans="1:17" s="693" customFormat="1" hidden="1" outlineLevel="2" x14ac:dyDescent="0.15">
      <c r="A175" s="630" t="str">
        <f t="shared" si="26"/>
        <v>Xeon E3-1270V2 20 core (2 chip) 2500 MHz</v>
      </c>
      <c r="B175" s="661" t="s">
        <v>798</v>
      </c>
      <c r="C175" s="2025">
        <v>20</v>
      </c>
      <c r="D175" s="50">
        <v>10</v>
      </c>
      <c r="E175" s="639">
        <v>2500</v>
      </c>
      <c r="F175" s="2012">
        <v>788</v>
      </c>
      <c r="G175" s="2015">
        <f>IF(F175=0,"",F175/C175)</f>
        <v>39.4</v>
      </c>
      <c r="H175" s="2603">
        <f>IF(C175=0,"",C175/D175)</f>
        <v>2</v>
      </c>
      <c r="I175" s="647" t="s">
        <v>335</v>
      </c>
      <c r="J175" s="2048"/>
      <c r="K175" s="2650"/>
      <c r="L175" s="1891"/>
      <c r="M175" s="1891"/>
      <c r="N175" s="1891"/>
      <c r="O175" s="1891"/>
      <c r="P175" s="1305"/>
      <c r="Q175" s="1305"/>
    </row>
    <row r="176" spans="1:17" hidden="1" outlineLevel="2" x14ac:dyDescent="0.15">
      <c r="A176" s="630" t="str">
        <f t="shared" si="26"/>
        <v>Xeon E5-2637 8 core (2 chip) 3000 MHz</v>
      </c>
      <c r="B176" s="660" t="s">
        <v>606</v>
      </c>
      <c r="C176" s="2024">
        <v>8</v>
      </c>
      <c r="D176" s="52">
        <v>4</v>
      </c>
      <c r="E176" s="639">
        <v>3000</v>
      </c>
      <c r="F176" s="2011">
        <v>188</v>
      </c>
      <c r="G176" s="2015">
        <f>F176/C176</f>
        <v>23.5</v>
      </c>
      <c r="H176" s="2603">
        <f>C176/D176</f>
        <v>2</v>
      </c>
      <c r="I176" s="646" t="s">
        <v>335</v>
      </c>
      <c r="J176" s="2048">
        <v>80</v>
      </c>
      <c r="K176" s="2650"/>
      <c r="L176" s="1304"/>
      <c r="M176" s="1304"/>
      <c r="N176" s="1304"/>
      <c r="O176" s="1304"/>
      <c r="P176" s="1305"/>
      <c r="Q176" s="1305"/>
    </row>
    <row r="177" spans="1:17" s="693" customFormat="1" hidden="1" outlineLevel="2" x14ac:dyDescent="0.15">
      <c r="A177" s="630" t="str">
        <f t="shared" si="26"/>
        <v>Xeon E5-2643 4 core (1 chip) 3300 MHz</v>
      </c>
      <c r="B177" s="661" t="s">
        <v>607</v>
      </c>
      <c r="C177" s="2025">
        <v>4</v>
      </c>
      <c r="D177" s="50">
        <v>4</v>
      </c>
      <c r="E177" s="639">
        <v>3300</v>
      </c>
      <c r="F177" s="2012">
        <v>185</v>
      </c>
      <c r="G177" s="2015">
        <f>IF(F177=0,"",F177/C177)</f>
        <v>46.25</v>
      </c>
      <c r="H177" s="2603">
        <f>IF(C177=0,"",C177/D177)</f>
        <v>1</v>
      </c>
      <c r="I177" s="647" t="s">
        <v>335</v>
      </c>
      <c r="J177" s="2048">
        <v>130</v>
      </c>
      <c r="K177" s="2650"/>
      <c r="L177" s="1304"/>
      <c r="M177" s="1304"/>
      <c r="N177" s="1304"/>
      <c r="O177" s="1304"/>
      <c r="P177" s="1305"/>
      <c r="Q177" s="1305"/>
    </row>
    <row r="178" spans="1:17" s="693" customFormat="1" hidden="1" outlineLevel="2" x14ac:dyDescent="0.15">
      <c r="A178" s="630" t="str">
        <f>CONCATENATE(B178," ",C178," core (",H178," chip) ",E178," MHz")</f>
        <v>Xeon E5-2670 16 core (2 chip) 2600 MHz</v>
      </c>
      <c r="B178" s="660" t="s">
        <v>691</v>
      </c>
      <c r="C178" s="2024">
        <v>16</v>
      </c>
      <c r="D178" s="52">
        <v>8</v>
      </c>
      <c r="E178" s="639">
        <v>2600</v>
      </c>
      <c r="F178" s="2011">
        <v>632</v>
      </c>
      <c r="G178" s="2015">
        <f>IF(F178=0,"",F178/C178)</f>
        <v>39.5</v>
      </c>
      <c r="H178" s="2603">
        <f>IF(C178=0,"",C178/D178)</f>
        <v>2</v>
      </c>
      <c r="I178" s="647" t="s">
        <v>335</v>
      </c>
      <c r="J178" s="2048"/>
      <c r="K178" s="2650"/>
      <c r="L178" s="1304"/>
      <c r="M178" s="1304"/>
      <c r="N178" s="1304"/>
      <c r="O178" s="1304"/>
      <c r="P178" s="1305"/>
      <c r="Q178" s="1305"/>
    </row>
    <row r="179" spans="1:17" s="693" customFormat="1" hidden="1" outlineLevel="2" x14ac:dyDescent="0.15">
      <c r="A179" s="630" t="str">
        <f t="shared" si="26"/>
        <v>Xeon E5-2690 16 core (2 chip) 2900 MHz</v>
      </c>
      <c r="B179" s="660" t="s">
        <v>608</v>
      </c>
      <c r="C179" s="2024">
        <v>16</v>
      </c>
      <c r="D179" s="52">
        <v>8</v>
      </c>
      <c r="E179" s="639">
        <v>2900</v>
      </c>
      <c r="F179" s="2011">
        <v>669</v>
      </c>
      <c r="G179" s="2015">
        <f>IF(F179=0,"",F179/C179)</f>
        <v>41.8125</v>
      </c>
      <c r="H179" s="2603">
        <f>IF(C179=0,"",C179/D179)</f>
        <v>2</v>
      </c>
      <c r="I179" s="647" t="s">
        <v>335</v>
      </c>
      <c r="J179" s="2048">
        <v>135</v>
      </c>
      <c r="K179" s="2650"/>
      <c r="L179" s="1304"/>
      <c r="M179" s="1304"/>
      <c r="N179" s="1304"/>
      <c r="O179" s="1304"/>
      <c r="P179" s="1305"/>
      <c r="Q179" s="1305"/>
    </row>
    <row r="180" spans="1:17" hidden="1" outlineLevel="2" x14ac:dyDescent="0.15">
      <c r="A180" s="630" t="str">
        <f t="shared" si="26"/>
        <v>Xeon E5-2690 8 core (1 chip) 2900 MHz</v>
      </c>
      <c r="B180" s="660" t="s">
        <v>608</v>
      </c>
      <c r="C180" s="2024">
        <v>8</v>
      </c>
      <c r="D180" s="52">
        <v>8</v>
      </c>
      <c r="E180" s="639">
        <v>2900</v>
      </c>
      <c r="F180" s="2011">
        <v>331</v>
      </c>
      <c r="G180" s="2015">
        <f>F180/C180</f>
        <v>41.375</v>
      </c>
      <c r="H180" s="2603">
        <f>C180/D180</f>
        <v>1</v>
      </c>
      <c r="I180" s="646" t="s">
        <v>335</v>
      </c>
      <c r="J180" s="2048">
        <v>135</v>
      </c>
      <c r="K180" s="2650"/>
      <c r="L180" s="1304"/>
      <c r="M180" s="1304"/>
      <c r="N180" s="1304"/>
      <c r="O180" s="1304"/>
      <c r="P180" s="1305"/>
      <c r="Q180" s="1305"/>
    </row>
    <row r="181" spans="1:17" s="693" customFormat="1" hidden="1" outlineLevel="2" x14ac:dyDescent="0.15">
      <c r="A181" s="630" t="str">
        <f>CONCATENATE(B181," ",C181," core (",H181," chip) ",E181," MHz")</f>
        <v>Xeon E5-2697v2 24 core (2 chip) 2400 MHz</v>
      </c>
      <c r="B181" s="661" t="s">
        <v>1205</v>
      </c>
      <c r="C181" s="2025">
        <v>24</v>
      </c>
      <c r="D181" s="50">
        <v>12</v>
      </c>
      <c r="E181" s="639">
        <v>2400</v>
      </c>
      <c r="F181" s="2012">
        <v>889</v>
      </c>
      <c r="G181" s="2015">
        <f>IF(F181=0,"",F181/C181)</f>
        <v>37.041666666666664</v>
      </c>
      <c r="H181" s="2603">
        <f>IF(C181=0,"",C181/D181)</f>
        <v>2</v>
      </c>
      <c r="I181" s="647" t="s">
        <v>335</v>
      </c>
      <c r="J181" s="2048"/>
      <c r="K181" s="2650"/>
      <c r="L181" s="1304"/>
      <c r="M181" s="1304"/>
      <c r="N181" s="1304"/>
      <c r="O181" s="1304"/>
      <c r="P181" s="1305"/>
      <c r="Q181" s="1305"/>
    </row>
    <row r="182" spans="1:17" hidden="1" outlineLevel="1" collapsed="1" x14ac:dyDescent="0.15">
      <c r="A182" s="628" t="s">
        <v>605</v>
      </c>
      <c r="B182" s="659" t="str">
        <f>A182</f>
        <v xml:space="preserve"> ==== 2012 DP Server Platforms ====</v>
      </c>
      <c r="C182" s="656"/>
      <c r="D182" s="2022"/>
      <c r="E182" s="2023"/>
      <c r="F182" s="2010"/>
      <c r="G182" s="2017"/>
      <c r="H182" s="2606"/>
      <c r="I182" s="645"/>
      <c r="J182" s="672" t="s">
        <v>165</v>
      </c>
      <c r="K182" s="2651"/>
    </row>
    <row r="183" spans="1:17" s="693" customFormat="1" hidden="1" outlineLevel="2" x14ac:dyDescent="0.15">
      <c r="A183" s="630" t="str">
        <f>CONCATENATE(B183," ",C183," core (",H183," chip) ",E183," MHz")</f>
        <v>Xeon E5-1620 4 core (1 chip) 3600 MHz</v>
      </c>
      <c r="B183" s="661" t="s">
        <v>689</v>
      </c>
      <c r="C183" s="2025">
        <v>4</v>
      </c>
      <c r="D183" s="50">
        <v>4</v>
      </c>
      <c r="E183" s="639">
        <v>3600</v>
      </c>
      <c r="F183" s="2012">
        <v>198</v>
      </c>
      <c r="G183" s="2015">
        <f>IF(F183=0,"",F183/C183)</f>
        <v>49.5</v>
      </c>
      <c r="H183" s="2603">
        <f>IF(C183=0,"",C183/D183)</f>
        <v>1</v>
      </c>
      <c r="I183" s="647" t="s">
        <v>335</v>
      </c>
      <c r="J183" s="2048">
        <v>80</v>
      </c>
      <c r="K183" s="2650"/>
      <c r="L183" s="1304"/>
      <c r="M183" s="1304"/>
      <c r="N183" s="1304"/>
      <c r="O183" s="1304"/>
      <c r="P183" s="1305"/>
      <c r="Q183" s="1305"/>
    </row>
    <row r="184" spans="1:17" s="693" customFormat="1" hidden="1" outlineLevel="2" x14ac:dyDescent="0.15">
      <c r="A184" s="630" t="str">
        <f>CONCATENATE(B184," ",C184," core (",H184," chip) ",E184," MHz")</f>
        <v>Xeon E5-2637 4 core (2 chip) 3000 MHz</v>
      </c>
      <c r="B184" s="661" t="s">
        <v>606</v>
      </c>
      <c r="C184" s="2025">
        <v>4</v>
      </c>
      <c r="D184" s="50">
        <v>2</v>
      </c>
      <c r="E184" s="639">
        <v>3000</v>
      </c>
      <c r="F184" s="2012">
        <v>185</v>
      </c>
      <c r="G184" s="2015">
        <f>IF(F184=0,"",F184/C184)</f>
        <v>46.25</v>
      </c>
      <c r="H184" s="2603">
        <f>IF(C184=0,"",C184/D184)</f>
        <v>2</v>
      </c>
      <c r="I184" s="647" t="s">
        <v>335</v>
      </c>
      <c r="J184" s="2048">
        <v>80</v>
      </c>
      <c r="K184" s="2650"/>
      <c r="L184" s="1304"/>
      <c r="M184" s="1304"/>
      <c r="N184" s="1304"/>
      <c r="O184" s="1304"/>
      <c r="P184" s="1305"/>
      <c r="Q184" s="1305"/>
    </row>
    <row r="185" spans="1:17" hidden="1" outlineLevel="2" x14ac:dyDescent="0.15">
      <c r="A185" s="630" t="str">
        <f>CONCATENATE(B185," ",C185," core (",H185," chip) ",E185," MHz")&amp;IF(ISBLANK(F185),"**","")</f>
        <v>Xeon E5-1620 4 core (1 chip) 3600 MHz</v>
      </c>
      <c r="B185" s="660" t="s">
        <v>689</v>
      </c>
      <c r="C185" s="2024">
        <v>4</v>
      </c>
      <c r="D185" s="52">
        <v>4</v>
      </c>
      <c r="E185" s="639">
        <v>3600</v>
      </c>
      <c r="F185" s="2011">
        <v>198</v>
      </c>
      <c r="G185" s="2015">
        <f t="shared" ref="G185:G205" si="27">F185/C185</f>
        <v>49.5</v>
      </c>
      <c r="H185" s="2603">
        <f t="shared" ref="H185:H205" si="28">C185/D185</f>
        <v>1</v>
      </c>
      <c r="I185" s="646" t="s">
        <v>335</v>
      </c>
      <c r="J185" s="2048">
        <v>130</v>
      </c>
      <c r="K185" s="2650"/>
    </row>
    <row r="186" spans="1:17" s="693" customFormat="1" hidden="1" outlineLevel="2" x14ac:dyDescent="0.15">
      <c r="A186" s="630" t="str">
        <f t="shared" ref="A186:A207" si="29">CONCATENATE(B186," ",C186," core (",H186," chip) ",E186," MHz")</f>
        <v>Xeon E5-2400 8 core (2 chip) 2200 MHz</v>
      </c>
      <c r="B186" s="661" t="s">
        <v>747</v>
      </c>
      <c r="C186" s="2025">
        <v>8</v>
      </c>
      <c r="D186" s="50">
        <v>4</v>
      </c>
      <c r="E186" s="639">
        <v>2200</v>
      </c>
      <c r="F186" s="2012">
        <v>200</v>
      </c>
      <c r="G186" s="2015">
        <f t="shared" si="27"/>
        <v>25</v>
      </c>
      <c r="H186" s="2603">
        <f t="shared" si="28"/>
        <v>2</v>
      </c>
      <c r="I186" s="646" t="s">
        <v>335</v>
      </c>
      <c r="J186" s="2048">
        <v>80</v>
      </c>
      <c r="K186" s="2648"/>
    </row>
    <row r="187" spans="1:17" s="693" customFormat="1" hidden="1" outlineLevel="2" x14ac:dyDescent="0.15">
      <c r="A187" s="630" t="str">
        <f t="shared" si="29"/>
        <v>Xeon E5-2403 4 core (1 chip) 1800 MHz</v>
      </c>
      <c r="B187" s="661" t="s">
        <v>748</v>
      </c>
      <c r="C187" s="2025">
        <v>4</v>
      </c>
      <c r="D187" s="50">
        <v>4</v>
      </c>
      <c r="E187" s="639">
        <v>1800</v>
      </c>
      <c r="F187" s="2012">
        <v>85</v>
      </c>
      <c r="G187" s="2015">
        <f t="shared" si="27"/>
        <v>21.25</v>
      </c>
      <c r="H187" s="2603">
        <f t="shared" si="28"/>
        <v>1</v>
      </c>
      <c r="I187" s="646" t="s">
        <v>335</v>
      </c>
      <c r="J187" s="2048">
        <v>80</v>
      </c>
      <c r="K187" s="2648"/>
    </row>
    <row r="188" spans="1:17" s="693" customFormat="1" hidden="1" outlineLevel="2" x14ac:dyDescent="0.15">
      <c r="A188" s="630" t="str">
        <f t="shared" si="29"/>
        <v>Xeon E5-2403 8 core (2 chip) 1800 MHz</v>
      </c>
      <c r="B188" s="661" t="s">
        <v>748</v>
      </c>
      <c r="C188" s="2025">
        <v>8</v>
      </c>
      <c r="D188" s="50">
        <v>4</v>
      </c>
      <c r="E188" s="639">
        <v>1800</v>
      </c>
      <c r="F188" s="2012">
        <v>167</v>
      </c>
      <c r="G188" s="2015">
        <f t="shared" si="27"/>
        <v>20.875</v>
      </c>
      <c r="H188" s="2603">
        <f t="shared" si="28"/>
        <v>2</v>
      </c>
      <c r="I188" s="646" t="s">
        <v>335</v>
      </c>
      <c r="J188" s="2048">
        <v>80</v>
      </c>
      <c r="K188" s="2648"/>
    </row>
    <row r="189" spans="1:17" s="693" customFormat="1" hidden="1" outlineLevel="2" x14ac:dyDescent="0.15">
      <c r="A189" s="630" t="str">
        <f t="shared" si="29"/>
        <v>Xeon E5-2407 4 core (1 chip) 2200 MHz</v>
      </c>
      <c r="B189" s="661" t="s">
        <v>749</v>
      </c>
      <c r="C189" s="2025">
        <v>4</v>
      </c>
      <c r="D189" s="50">
        <v>4</v>
      </c>
      <c r="E189" s="639">
        <v>2200</v>
      </c>
      <c r="F189" s="2012">
        <v>102</v>
      </c>
      <c r="G189" s="2015">
        <f t="shared" si="27"/>
        <v>25.5</v>
      </c>
      <c r="H189" s="2603">
        <f t="shared" si="28"/>
        <v>1</v>
      </c>
      <c r="I189" s="646" t="s">
        <v>335</v>
      </c>
      <c r="J189" s="2048">
        <v>80</v>
      </c>
      <c r="K189" s="2648"/>
    </row>
    <row r="190" spans="1:17" s="693" customFormat="1" hidden="1" outlineLevel="2" x14ac:dyDescent="0.15">
      <c r="A190" s="630" t="str">
        <f t="shared" si="29"/>
        <v>Xeon E5-2407 8 core (2 chip) 2200 MHz</v>
      </c>
      <c r="B190" s="661" t="s">
        <v>749</v>
      </c>
      <c r="C190" s="2025">
        <v>8</v>
      </c>
      <c r="D190" s="50">
        <v>4</v>
      </c>
      <c r="E190" s="639">
        <v>2200</v>
      </c>
      <c r="F190" s="2012">
        <v>200</v>
      </c>
      <c r="G190" s="2015">
        <f t="shared" si="27"/>
        <v>25</v>
      </c>
      <c r="H190" s="2603">
        <f t="shared" si="28"/>
        <v>2</v>
      </c>
      <c r="I190" s="646" t="s">
        <v>335</v>
      </c>
      <c r="J190" s="2048">
        <v>80</v>
      </c>
      <c r="K190" s="2648"/>
    </row>
    <row r="191" spans="1:17" s="693" customFormat="1" hidden="1" outlineLevel="2" x14ac:dyDescent="0.15">
      <c r="A191" s="630" t="str">
        <f t="shared" si="29"/>
        <v>Xeon E5-2418 8 core (2 chip) 2000 MHz</v>
      </c>
      <c r="B191" s="661" t="s">
        <v>750</v>
      </c>
      <c r="C191" s="2025">
        <v>8</v>
      </c>
      <c r="D191" s="50">
        <v>4</v>
      </c>
      <c r="E191" s="639">
        <v>2000</v>
      </c>
      <c r="F191" s="2012">
        <v>223</v>
      </c>
      <c r="G191" s="2015">
        <f t="shared" si="27"/>
        <v>27.875</v>
      </c>
      <c r="H191" s="2603">
        <f t="shared" si="28"/>
        <v>2</v>
      </c>
      <c r="I191" s="646" t="s">
        <v>335</v>
      </c>
      <c r="J191" s="2048">
        <v>80</v>
      </c>
      <c r="K191" s="2648"/>
    </row>
    <row r="192" spans="1:17" s="693" customFormat="1" hidden="1" outlineLevel="2" x14ac:dyDescent="0.15">
      <c r="A192" s="630" t="str">
        <f t="shared" si="29"/>
        <v>Xeon E5-2420 6 core (1 chip) 1900 MHz</v>
      </c>
      <c r="B192" s="661" t="s">
        <v>751</v>
      </c>
      <c r="C192" s="2025">
        <v>6</v>
      </c>
      <c r="D192" s="50">
        <v>6</v>
      </c>
      <c r="E192" s="639">
        <v>1900</v>
      </c>
      <c r="F192" s="2012">
        <v>181</v>
      </c>
      <c r="G192" s="2015">
        <f t="shared" si="27"/>
        <v>30.166666666666668</v>
      </c>
      <c r="H192" s="2603">
        <f t="shared" si="28"/>
        <v>1</v>
      </c>
      <c r="I192" s="646" t="s">
        <v>335</v>
      </c>
      <c r="J192" s="2048">
        <v>95</v>
      </c>
      <c r="K192" s="2648"/>
    </row>
    <row r="193" spans="1:17" s="693" customFormat="1" hidden="1" outlineLevel="2" x14ac:dyDescent="0.15">
      <c r="A193" s="630" t="str">
        <f t="shared" si="29"/>
        <v>Xeon E5-2420 12 core (2 chip) 1900 MHz</v>
      </c>
      <c r="B193" s="661" t="s">
        <v>751</v>
      </c>
      <c r="C193" s="2025">
        <v>12</v>
      </c>
      <c r="D193" s="50">
        <v>6</v>
      </c>
      <c r="E193" s="639">
        <v>1900</v>
      </c>
      <c r="F193" s="2012">
        <v>354</v>
      </c>
      <c r="G193" s="2015">
        <f t="shared" si="27"/>
        <v>29.5</v>
      </c>
      <c r="H193" s="2603">
        <f t="shared" si="28"/>
        <v>2</v>
      </c>
      <c r="I193" s="646" t="s">
        <v>335</v>
      </c>
      <c r="J193" s="2048">
        <v>95</v>
      </c>
      <c r="K193" s="2648"/>
    </row>
    <row r="194" spans="1:17" s="693" customFormat="1" hidden="1" outlineLevel="2" x14ac:dyDescent="0.15">
      <c r="A194" s="630" t="str">
        <f t="shared" si="29"/>
        <v>Xeon E5-2428 12 core (2 chip) 1800 MHz</v>
      </c>
      <c r="B194" s="661" t="s">
        <v>752</v>
      </c>
      <c r="C194" s="2025">
        <v>12</v>
      </c>
      <c r="D194" s="50">
        <v>6</v>
      </c>
      <c r="E194" s="639">
        <v>1800</v>
      </c>
      <c r="F194" s="2012">
        <v>294</v>
      </c>
      <c r="G194" s="2015">
        <f t="shared" si="27"/>
        <v>24.5</v>
      </c>
      <c r="H194" s="2603">
        <f t="shared" si="28"/>
        <v>2</v>
      </c>
      <c r="I194" s="646" t="s">
        <v>335</v>
      </c>
      <c r="J194" s="2048">
        <v>60</v>
      </c>
      <c r="K194" s="2648"/>
    </row>
    <row r="195" spans="1:17" s="693" customFormat="1" hidden="1" outlineLevel="2" x14ac:dyDescent="0.15">
      <c r="A195" s="630" t="str">
        <f t="shared" si="29"/>
        <v>Xeon E5-2430 6 core (1 chip) 2200 MHz</v>
      </c>
      <c r="B195" s="661" t="s">
        <v>753</v>
      </c>
      <c r="C195" s="2025">
        <v>6</v>
      </c>
      <c r="D195" s="50">
        <v>6</v>
      </c>
      <c r="E195" s="639">
        <v>2200</v>
      </c>
      <c r="F195" s="2012">
        <v>204</v>
      </c>
      <c r="G195" s="2015">
        <f t="shared" si="27"/>
        <v>34</v>
      </c>
      <c r="H195" s="2603">
        <f t="shared" si="28"/>
        <v>1</v>
      </c>
      <c r="I195" s="646" t="s">
        <v>335</v>
      </c>
      <c r="J195" s="2048">
        <v>95</v>
      </c>
      <c r="K195" s="2648"/>
    </row>
    <row r="196" spans="1:17" s="693" customFormat="1" hidden="1" outlineLevel="2" x14ac:dyDescent="0.15">
      <c r="A196" s="630" t="str">
        <f t="shared" si="29"/>
        <v>Xeon E5-2430 12 core (2 chip) 2200 MHz</v>
      </c>
      <c r="B196" s="661" t="s">
        <v>753</v>
      </c>
      <c r="C196" s="2025">
        <v>12</v>
      </c>
      <c r="D196" s="50">
        <v>6</v>
      </c>
      <c r="E196" s="639">
        <v>2200</v>
      </c>
      <c r="F196" s="2012">
        <v>395</v>
      </c>
      <c r="G196" s="2015">
        <f t="shared" si="27"/>
        <v>32.916666666666664</v>
      </c>
      <c r="H196" s="2603">
        <f t="shared" si="28"/>
        <v>2</v>
      </c>
      <c r="I196" s="646" t="s">
        <v>335</v>
      </c>
      <c r="J196" s="2048">
        <v>95</v>
      </c>
      <c r="K196" s="2648"/>
    </row>
    <row r="197" spans="1:17" s="693" customFormat="1" hidden="1" outlineLevel="2" x14ac:dyDescent="0.15">
      <c r="A197" s="630" t="str">
        <f t="shared" si="29"/>
        <v>Xeon E5-2430L 12 core (2 chip) 2000 MHz</v>
      </c>
      <c r="B197" s="661" t="s">
        <v>754</v>
      </c>
      <c r="C197" s="2025">
        <v>12</v>
      </c>
      <c r="D197" s="50">
        <v>6</v>
      </c>
      <c r="E197" s="639">
        <v>2000</v>
      </c>
      <c r="F197" s="2012">
        <v>369</v>
      </c>
      <c r="G197" s="2015">
        <f t="shared" si="27"/>
        <v>30.75</v>
      </c>
      <c r="H197" s="2603">
        <f t="shared" si="28"/>
        <v>2</v>
      </c>
      <c r="I197" s="646" t="s">
        <v>335</v>
      </c>
      <c r="J197" s="2048">
        <v>60</v>
      </c>
      <c r="K197" s="2648"/>
    </row>
    <row r="198" spans="1:17" s="693" customFormat="1" hidden="1" outlineLevel="2" x14ac:dyDescent="0.15">
      <c r="A198" s="630" t="str">
        <f t="shared" si="29"/>
        <v>Xeon E5-2440 6 core (1 chip) 2400 MHz</v>
      </c>
      <c r="B198" s="661" t="s">
        <v>755</v>
      </c>
      <c r="C198" s="2025">
        <v>6</v>
      </c>
      <c r="D198" s="50">
        <v>6</v>
      </c>
      <c r="E198" s="639">
        <v>2400</v>
      </c>
      <c r="F198" s="2012">
        <v>215</v>
      </c>
      <c r="G198" s="2015">
        <f t="shared" si="27"/>
        <v>35.833333333333336</v>
      </c>
      <c r="H198" s="2603">
        <f t="shared" si="28"/>
        <v>1</v>
      </c>
      <c r="I198" s="646" t="s">
        <v>335</v>
      </c>
      <c r="J198" s="2048">
        <v>95</v>
      </c>
      <c r="K198" s="2648"/>
    </row>
    <row r="199" spans="1:17" s="693" customFormat="1" hidden="1" outlineLevel="2" x14ac:dyDescent="0.15">
      <c r="A199" s="630" t="str">
        <f t="shared" si="29"/>
        <v>Xeon E5-2440 12 core (2 chip) 2400 MHz</v>
      </c>
      <c r="B199" s="661" t="s">
        <v>755</v>
      </c>
      <c r="C199" s="2025">
        <v>12</v>
      </c>
      <c r="D199" s="50">
        <v>6</v>
      </c>
      <c r="E199" s="639">
        <v>2400</v>
      </c>
      <c r="F199" s="2012">
        <v>422</v>
      </c>
      <c r="G199" s="2015">
        <f t="shared" si="27"/>
        <v>35.166666666666664</v>
      </c>
      <c r="H199" s="2603">
        <f t="shared" si="28"/>
        <v>2</v>
      </c>
      <c r="I199" s="646" t="s">
        <v>335</v>
      </c>
      <c r="J199" s="2048">
        <v>95</v>
      </c>
      <c r="K199" s="2648"/>
    </row>
    <row r="200" spans="1:17" s="693" customFormat="1" hidden="1" outlineLevel="2" x14ac:dyDescent="0.15">
      <c r="A200" s="630" t="str">
        <f t="shared" si="29"/>
        <v>Xeon E5-2448L 16 core (2 chip) 1800 MHz</v>
      </c>
      <c r="B200" s="661" t="s">
        <v>756</v>
      </c>
      <c r="C200" s="2025">
        <v>16</v>
      </c>
      <c r="D200" s="50">
        <v>8</v>
      </c>
      <c r="E200" s="639">
        <v>1800</v>
      </c>
      <c r="F200" s="2012">
        <v>385</v>
      </c>
      <c r="G200" s="2015">
        <f t="shared" si="27"/>
        <v>24.0625</v>
      </c>
      <c r="H200" s="2603">
        <f t="shared" si="28"/>
        <v>2</v>
      </c>
      <c r="I200" s="646" t="s">
        <v>335</v>
      </c>
      <c r="J200" s="2048">
        <v>70</v>
      </c>
      <c r="K200" s="2648"/>
    </row>
    <row r="201" spans="1:17" s="693" customFormat="1" hidden="1" outlineLevel="2" x14ac:dyDescent="0.15">
      <c r="A201" s="630" t="str">
        <f t="shared" si="29"/>
        <v>Xeon E5-2450 16 core (2 chip) 2100 MHz</v>
      </c>
      <c r="B201" s="661" t="s">
        <v>757</v>
      </c>
      <c r="C201" s="2025">
        <v>16</v>
      </c>
      <c r="D201" s="50">
        <v>8</v>
      </c>
      <c r="E201" s="639">
        <v>2100</v>
      </c>
      <c r="F201" s="2012">
        <v>536</v>
      </c>
      <c r="G201" s="2015">
        <f t="shared" si="27"/>
        <v>33.5</v>
      </c>
      <c r="H201" s="2603">
        <f t="shared" si="28"/>
        <v>2</v>
      </c>
      <c r="I201" s="646" t="s">
        <v>335</v>
      </c>
      <c r="J201" s="2048">
        <v>95</v>
      </c>
      <c r="K201" s="2648"/>
    </row>
    <row r="202" spans="1:17" s="693" customFormat="1" hidden="1" outlineLevel="2" x14ac:dyDescent="0.15">
      <c r="A202" s="630" t="str">
        <f t="shared" si="29"/>
        <v>Xeon E5-2450L 16 core (2 chip) 1800 MHz</v>
      </c>
      <c r="B202" s="661" t="s">
        <v>758</v>
      </c>
      <c r="C202" s="2025">
        <v>16</v>
      </c>
      <c r="D202" s="50">
        <v>8</v>
      </c>
      <c r="E202" s="639">
        <v>1800</v>
      </c>
      <c r="F202" s="2012">
        <v>428</v>
      </c>
      <c r="G202" s="2015">
        <f t="shared" si="27"/>
        <v>26.75</v>
      </c>
      <c r="H202" s="2603">
        <f t="shared" si="28"/>
        <v>2</v>
      </c>
      <c r="I202" s="646" t="s">
        <v>335</v>
      </c>
      <c r="J202" s="2048">
        <v>70</v>
      </c>
      <c r="K202" s="2648"/>
    </row>
    <row r="203" spans="1:17" s="693" customFormat="1" hidden="1" outlineLevel="2" x14ac:dyDescent="0.15">
      <c r="A203" s="630" t="str">
        <f t="shared" si="29"/>
        <v>Xeon E5-2470 16 core (2 chip) 2300 MHz</v>
      </c>
      <c r="B203" s="661" t="s">
        <v>759</v>
      </c>
      <c r="C203" s="2025">
        <v>16</v>
      </c>
      <c r="D203" s="50">
        <v>8</v>
      </c>
      <c r="E203" s="639">
        <v>2300</v>
      </c>
      <c r="F203" s="2012">
        <v>567</v>
      </c>
      <c r="G203" s="2015">
        <f t="shared" si="27"/>
        <v>35.4375</v>
      </c>
      <c r="H203" s="2603">
        <f t="shared" si="28"/>
        <v>2</v>
      </c>
      <c r="I203" s="646" t="s">
        <v>335</v>
      </c>
      <c r="J203" s="2048">
        <v>95</v>
      </c>
      <c r="K203" s="2648"/>
    </row>
    <row r="204" spans="1:17" s="693" customFormat="1" hidden="1" outlineLevel="2" x14ac:dyDescent="0.15">
      <c r="A204" s="630" t="str">
        <f t="shared" si="29"/>
        <v>Xeon E5-2643 4 core (1 chip) 3300 MHz</v>
      </c>
      <c r="B204" s="661" t="s">
        <v>607</v>
      </c>
      <c r="C204" s="2025">
        <v>4</v>
      </c>
      <c r="D204" s="50">
        <v>4</v>
      </c>
      <c r="E204" s="639">
        <v>3300</v>
      </c>
      <c r="F204" s="2012">
        <v>180</v>
      </c>
      <c r="G204" s="2015">
        <f t="shared" si="27"/>
        <v>45</v>
      </c>
      <c r="H204" s="2603">
        <f t="shared" si="28"/>
        <v>1</v>
      </c>
      <c r="I204" s="646" t="s">
        <v>335</v>
      </c>
      <c r="J204" s="2048">
        <v>130</v>
      </c>
      <c r="K204" s="2648"/>
    </row>
    <row r="205" spans="1:17" s="693" customFormat="1" hidden="1" outlineLevel="2" x14ac:dyDescent="0.15">
      <c r="A205" s="630" t="str">
        <f t="shared" si="29"/>
        <v>Xeon E5-2643 8 core (2 chip) 3300 MHz</v>
      </c>
      <c r="B205" s="661" t="s">
        <v>607</v>
      </c>
      <c r="C205" s="2025">
        <v>8</v>
      </c>
      <c r="D205" s="50">
        <v>4</v>
      </c>
      <c r="E205" s="639">
        <v>3300</v>
      </c>
      <c r="F205" s="2012">
        <v>362</v>
      </c>
      <c r="G205" s="2015">
        <f t="shared" si="27"/>
        <v>45.25</v>
      </c>
      <c r="H205" s="2603">
        <f t="shared" si="28"/>
        <v>2</v>
      </c>
      <c r="I205" s="646" t="s">
        <v>335</v>
      </c>
      <c r="J205" s="2048">
        <v>130</v>
      </c>
      <c r="K205" s="2648"/>
    </row>
    <row r="206" spans="1:17" hidden="1" outlineLevel="2" x14ac:dyDescent="0.15">
      <c r="A206" s="630" t="str">
        <f t="shared" si="29"/>
        <v>Xeon E5-2609 8 core (2 chip) 2400 MHz</v>
      </c>
      <c r="B206" s="661" t="s">
        <v>676</v>
      </c>
      <c r="C206" s="2025">
        <v>8</v>
      </c>
      <c r="D206" s="50">
        <v>4</v>
      </c>
      <c r="E206" s="639">
        <v>2400</v>
      </c>
      <c r="F206" s="2012">
        <v>217</v>
      </c>
      <c r="G206" s="2015">
        <f>IF(F206=0,"",F206/C206)</f>
        <v>27.125</v>
      </c>
      <c r="H206" s="2603">
        <f>IF(C206=0,"",C206/D206)</f>
        <v>2</v>
      </c>
      <c r="I206" s="647" t="s">
        <v>335</v>
      </c>
      <c r="J206" s="2048">
        <v>80</v>
      </c>
      <c r="K206" s="2650"/>
      <c r="L206" s="1304"/>
      <c r="M206" s="1304"/>
      <c r="N206" s="1304"/>
      <c r="O206" s="1304"/>
      <c r="P206" s="1305"/>
      <c r="Q206" s="1305"/>
    </row>
    <row r="207" spans="1:17" hidden="1" outlineLevel="2" x14ac:dyDescent="0.15">
      <c r="A207" s="630" t="str">
        <f t="shared" si="29"/>
        <v>Xeon E5-2603 8 core (2 chip) 1600 MHz</v>
      </c>
      <c r="B207" s="661" t="s">
        <v>675</v>
      </c>
      <c r="C207" s="2025">
        <v>8</v>
      </c>
      <c r="D207" s="50">
        <v>4</v>
      </c>
      <c r="E207" s="639">
        <v>1600</v>
      </c>
      <c r="F207" s="2012">
        <v>167</v>
      </c>
      <c r="G207" s="2015">
        <f>IF(F207=0,"",F207/C207)</f>
        <v>20.875</v>
      </c>
      <c r="H207" s="2603">
        <f>IF(C207=0,"",C207/D207)</f>
        <v>2</v>
      </c>
      <c r="I207" s="647" t="s">
        <v>335</v>
      </c>
      <c r="J207" s="2048">
        <v>80</v>
      </c>
      <c r="K207" s="2650"/>
      <c r="L207" s="1304"/>
      <c r="M207" s="1304"/>
      <c r="N207" s="1304"/>
      <c r="O207" s="1304"/>
      <c r="P207" s="1305"/>
      <c r="Q207" s="1305"/>
    </row>
    <row r="208" spans="1:17" hidden="1" outlineLevel="2" x14ac:dyDescent="0.15">
      <c r="A208" s="630" t="str">
        <f>CONCATENATE(B208," ",C208," core (",H208," chip) ",E208," MHz")&amp;IF(ISBLANK(F208),"**","")</f>
        <v>Xeon E5-1660 6 core (1 chip) 3300 MHz</v>
      </c>
      <c r="B208" s="660" t="s">
        <v>687</v>
      </c>
      <c r="C208" s="2024">
        <v>6</v>
      </c>
      <c r="D208" s="52">
        <v>6</v>
      </c>
      <c r="E208" s="639">
        <v>3300</v>
      </c>
      <c r="F208" s="2011">
        <v>282</v>
      </c>
      <c r="G208" s="2015">
        <f>F208/C208</f>
        <v>47</v>
      </c>
      <c r="H208" s="2603">
        <f>C208/D208</f>
        <v>1</v>
      </c>
      <c r="I208" s="646" t="s">
        <v>335</v>
      </c>
      <c r="J208" s="2048">
        <v>130</v>
      </c>
      <c r="K208" s="2650"/>
    </row>
    <row r="209" spans="1:17" hidden="1" outlineLevel="2" x14ac:dyDescent="0.15">
      <c r="A209" s="630" t="str">
        <f>CONCATENATE(B209," ",C209," core (",H209," chip) ",E209," MHz")&amp;IF(ISBLANK(F209),"**","")</f>
        <v>Xeon E5-1650 6 core (1 chip) 3200 MHz</v>
      </c>
      <c r="B209" s="660" t="s">
        <v>688</v>
      </c>
      <c r="C209" s="2024">
        <v>6</v>
      </c>
      <c r="D209" s="52">
        <v>6</v>
      </c>
      <c r="E209" s="639">
        <v>3200</v>
      </c>
      <c r="F209" s="2011">
        <v>269</v>
      </c>
      <c r="G209" s="2015">
        <f>F209/C209</f>
        <v>44.833333333333336</v>
      </c>
      <c r="H209" s="2603">
        <f>C209/D209</f>
        <v>1</v>
      </c>
      <c r="I209" s="646" t="s">
        <v>335</v>
      </c>
      <c r="J209" s="2048">
        <v>130</v>
      </c>
      <c r="K209" s="2650"/>
    </row>
    <row r="210" spans="1:17" hidden="1" outlineLevel="2" x14ac:dyDescent="0.15">
      <c r="A210" s="630" t="str">
        <f>CONCATENATE(B210," ",C210," core (",H210," chip) ",E210," MHz")</f>
        <v>Xeon E5-2667 6 core (1 chip) 2900 MHz</v>
      </c>
      <c r="B210" s="660" t="s">
        <v>678</v>
      </c>
      <c r="C210" s="2024">
        <v>6</v>
      </c>
      <c r="D210" s="52">
        <v>6</v>
      </c>
      <c r="E210" s="639">
        <v>2900</v>
      </c>
      <c r="F210" s="2011">
        <v>251</v>
      </c>
      <c r="G210" s="2015">
        <f>F210/C210</f>
        <v>41.833333333333336</v>
      </c>
      <c r="H210" s="2603">
        <f>C210/D210</f>
        <v>1</v>
      </c>
      <c r="I210" s="646" t="s">
        <v>335</v>
      </c>
      <c r="J210" s="2048">
        <v>130</v>
      </c>
      <c r="K210" s="2650"/>
    </row>
    <row r="211" spans="1:17" s="693" customFormat="1" hidden="1" outlineLevel="2" x14ac:dyDescent="0.15">
      <c r="A211" s="630" t="str">
        <f>CONCATENATE(B211," ",C211," core (",H211," chip) ",E211," MHz")</f>
        <v>Xeon E5-2667 12 core (2 chip) 2900 MHz</v>
      </c>
      <c r="B211" s="661" t="s">
        <v>678</v>
      </c>
      <c r="C211" s="2025">
        <v>12</v>
      </c>
      <c r="D211" s="50">
        <v>6</v>
      </c>
      <c r="E211" s="639">
        <v>2900</v>
      </c>
      <c r="F211" s="2012">
        <v>506</v>
      </c>
      <c r="G211" s="2015">
        <f>IF(F211=0,"",F211/C211)</f>
        <v>42.166666666666664</v>
      </c>
      <c r="H211" s="2603">
        <f>IF(C211=0,"",C211/D211)</f>
        <v>2</v>
      </c>
      <c r="I211" s="647" t="s">
        <v>335</v>
      </c>
      <c r="J211" s="2048">
        <v>130</v>
      </c>
      <c r="K211" s="2648"/>
    </row>
    <row r="212" spans="1:17" hidden="1" outlineLevel="2" x14ac:dyDescent="0.15">
      <c r="A212" s="630" t="str">
        <f>CONCATENATE(B212," ",C212," core (",H212," chip) ",E212," MHz")&amp;IF(ISBLANK(F212),"**","")</f>
        <v>Xeon E5-2640 12 core (2 chip) 2500 MHz</v>
      </c>
      <c r="B212" s="660" t="s">
        <v>693</v>
      </c>
      <c r="C212" s="2024">
        <v>12</v>
      </c>
      <c r="D212" s="52">
        <v>6</v>
      </c>
      <c r="E212" s="639">
        <v>2500</v>
      </c>
      <c r="F212" s="2011">
        <v>443</v>
      </c>
      <c r="G212" s="2015">
        <f>F212/C212</f>
        <v>36.916666666666664</v>
      </c>
      <c r="H212" s="2603">
        <f>C212/D212</f>
        <v>2</v>
      </c>
      <c r="I212" s="646" t="s">
        <v>335</v>
      </c>
      <c r="J212" s="2048">
        <v>95</v>
      </c>
      <c r="K212" s="2650"/>
    </row>
    <row r="213" spans="1:17" hidden="1" outlineLevel="2" collapsed="1" x14ac:dyDescent="0.15">
      <c r="A213" s="630" t="str">
        <f>CONCATENATE(B213," ",C213," core (",H213," chip) ",E213," MHz")&amp;IF(ISBLANK(F213),"**","")</f>
        <v>Xeon E5-2630 12 core (2 chip) 2300 MHz</v>
      </c>
      <c r="B213" s="660" t="s">
        <v>694</v>
      </c>
      <c r="C213" s="2024">
        <v>12</v>
      </c>
      <c r="D213" s="52">
        <v>6</v>
      </c>
      <c r="E213" s="639">
        <v>2300</v>
      </c>
      <c r="F213" s="2011">
        <v>416</v>
      </c>
      <c r="G213" s="2015">
        <f>F213/C213</f>
        <v>34.666666666666664</v>
      </c>
      <c r="H213" s="2603">
        <f>C213/D213</f>
        <v>2</v>
      </c>
      <c r="I213" s="646" t="s">
        <v>335</v>
      </c>
      <c r="J213" s="2048">
        <v>95</v>
      </c>
      <c r="K213" s="2650"/>
    </row>
    <row r="214" spans="1:17" s="693" customFormat="1" hidden="1" outlineLevel="2" x14ac:dyDescent="0.15">
      <c r="A214" s="630" t="str">
        <f>CONCATENATE(B214," ",C214," core (",H214," chip) ",E214," MHz")&amp;IF(ISBLANK(F214),"**","")</f>
        <v>Xeon E5-2620 12 core (2 chip) 2000 MHz</v>
      </c>
      <c r="B214" s="660" t="s">
        <v>695</v>
      </c>
      <c r="C214" s="2024">
        <v>12</v>
      </c>
      <c r="D214" s="52">
        <v>6</v>
      </c>
      <c r="E214" s="639">
        <v>2000</v>
      </c>
      <c r="F214" s="2011">
        <v>375</v>
      </c>
      <c r="G214" s="2015">
        <f>F214/C214</f>
        <v>31.25</v>
      </c>
      <c r="H214" s="2603">
        <f>C214/D214</f>
        <v>2</v>
      </c>
      <c r="I214" s="646" t="s">
        <v>335</v>
      </c>
      <c r="J214" s="2048">
        <v>95</v>
      </c>
      <c r="K214" s="2650"/>
      <c r="L214" s="1304"/>
      <c r="M214" s="1304"/>
      <c r="N214" s="1304"/>
      <c r="O214" s="1304"/>
      <c r="P214" s="1305"/>
      <c r="Q214" s="1305"/>
    </row>
    <row r="215" spans="1:17" hidden="1" outlineLevel="2" x14ac:dyDescent="0.15">
      <c r="A215" s="630" t="str">
        <f>CONCATENATE(B215," ",C215," core (",H215," chip) ",E215," MHz")</f>
        <v>Xeon E5-2630L 12 core (2 chip) 2000 MHz</v>
      </c>
      <c r="B215" s="661" t="s">
        <v>677</v>
      </c>
      <c r="C215" s="2025">
        <v>12</v>
      </c>
      <c r="D215" s="50">
        <v>6</v>
      </c>
      <c r="E215" s="639">
        <v>2000</v>
      </c>
      <c r="F215" s="2012">
        <v>374</v>
      </c>
      <c r="G215" s="2015">
        <f>IF(F215=0,"",F215/C215)</f>
        <v>31.166666666666668</v>
      </c>
      <c r="H215" s="2603">
        <f>IF(C215=0,"",C215/D215)</f>
        <v>2</v>
      </c>
      <c r="I215" s="647" t="s">
        <v>335</v>
      </c>
      <c r="J215" s="2048">
        <v>60</v>
      </c>
      <c r="K215" s="2650"/>
      <c r="L215" s="1304"/>
      <c r="M215" s="1304"/>
      <c r="N215" s="1304"/>
      <c r="O215" s="1304"/>
      <c r="P215" s="1305"/>
      <c r="Q215" s="1305"/>
    </row>
    <row r="216" spans="1:17" hidden="1" outlineLevel="2" x14ac:dyDescent="0.15">
      <c r="A216" s="630" t="str">
        <f>CONCATENATE(B216," ",C216," core (",H216," chip) ",E216," MHz")&amp;IF(ISBLANK(F216),"**","")</f>
        <v>Xeon E5-2687W 16 core (2 chip) 3100 MHz</v>
      </c>
      <c r="B216" s="660" t="s">
        <v>690</v>
      </c>
      <c r="C216" s="2024">
        <v>16</v>
      </c>
      <c r="D216" s="52">
        <v>8</v>
      </c>
      <c r="E216" s="639">
        <v>3100</v>
      </c>
      <c r="F216" s="2011">
        <v>683</v>
      </c>
      <c r="G216" s="2015">
        <f>F216/C216</f>
        <v>42.6875</v>
      </c>
      <c r="H216" s="2603">
        <f>C216/D216</f>
        <v>2</v>
      </c>
      <c r="I216" s="646" t="s">
        <v>335</v>
      </c>
      <c r="J216" s="2048">
        <v>130</v>
      </c>
      <c r="K216" s="2650"/>
      <c r="L216" s="1304"/>
      <c r="M216" s="1304"/>
      <c r="N216" s="1304"/>
      <c r="O216" s="1304"/>
      <c r="P216" s="1305"/>
      <c r="Q216" s="1305"/>
    </row>
    <row r="217" spans="1:17" s="693" customFormat="1" hidden="1" outlineLevel="2" x14ac:dyDescent="0.15">
      <c r="A217" s="630" t="str">
        <f>CONCATENATE(B217," ",C217," core (",H217," chip) ",E217," MHz")</f>
        <v>Xeon E5-2690 16 core (2 chip) 2900 MHz</v>
      </c>
      <c r="B217" s="660" t="s">
        <v>608</v>
      </c>
      <c r="C217" s="2024">
        <v>16</v>
      </c>
      <c r="D217" s="52">
        <v>8</v>
      </c>
      <c r="E217" s="639">
        <v>2900</v>
      </c>
      <c r="F217" s="2011">
        <v>667</v>
      </c>
      <c r="G217" s="2015">
        <f>IF(F217=0,"",F217/C217)</f>
        <v>41.6875</v>
      </c>
      <c r="H217" s="2603">
        <f>IF(C217=0,"",C217/D217)</f>
        <v>2</v>
      </c>
      <c r="I217" s="647" t="s">
        <v>335</v>
      </c>
      <c r="J217" s="2048">
        <v>135</v>
      </c>
      <c r="K217" s="2650"/>
      <c r="L217" s="1304"/>
      <c r="M217" s="1304"/>
      <c r="N217" s="1304"/>
      <c r="O217" s="1304"/>
      <c r="P217" s="1305"/>
      <c r="Q217" s="1305"/>
    </row>
    <row r="218" spans="1:17" hidden="1" outlineLevel="2" x14ac:dyDescent="0.15">
      <c r="A218" s="630" t="str">
        <f>CONCATENATE(B218," ",C218," core (",H218," chip) ",E218," MHz")</f>
        <v>Xeon E5-2690 8 core (1 chip) 2900 MHz</v>
      </c>
      <c r="B218" s="660" t="s">
        <v>608</v>
      </c>
      <c r="C218" s="2024">
        <v>8</v>
      </c>
      <c r="D218" s="52">
        <v>8</v>
      </c>
      <c r="E218" s="639">
        <v>2900</v>
      </c>
      <c r="F218" s="2011">
        <v>331</v>
      </c>
      <c r="G218" s="2015">
        <f t="shared" ref="G218:G228" si="30">F218/C218</f>
        <v>41.375</v>
      </c>
      <c r="H218" s="2603">
        <f t="shared" ref="H218:H228" si="31">C218/D218</f>
        <v>1</v>
      </c>
      <c r="I218" s="646" t="s">
        <v>335</v>
      </c>
      <c r="J218" s="2048">
        <v>135</v>
      </c>
      <c r="K218" s="2650"/>
      <c r="L218" s="1304"/>
      <c r="M218" s="1304"/>
      <c r="N218" s="1304"/>
      <c r="O218" s="1304"/>
      <c r="P218" s="1305"/>
      <c r="Q218" s="1305"/>
    </row>
    <row r="219" spans="1:17" hidden="1" outlineLevel="2" x14ac:dyDescent="0.15">
      <c r="A219" s="630" t="str">
        <f>CONCATENATE(B219," ",C219," core (",H219," chip) ",E219," MHz")</f>
        <v>Xeon E5-2680 16 core (2 chip) 2700 MHz</v>
      </c>
      <c r="B219" s="660" t="s">
        <v>609</v>
      </c>
      <c r="C219" s="2024">
        <v>16</v>
      </c>
      <c r="D219" s="52">
        <v>8</v>
      </c>
      <c r="E219" s="639">
        <v>2700</v>
      </c>
      <c r="F219" s="2011">
        <v>638</v>
      </c>
      <c r="G219" s="2015">
        <f t="shared" si="30"/>
        <v>39.875</v>
      </c>
      <c r="H219" s="2603">
        <f t="shared" si="31"/>
        <v>2</v>
      </c>
      <c r="I219" s="646" t="s">
        <v>335</v>
      </c>
      <c r="J219" s="2048">
        <v>130</v>
      </c>
      <c r="K219" s="2650"/>
      <c r="L219" s="1304"/>
      <c r="M219" s="1304"/>
      <c r="N219" s="1304"/>
      <c r="O219" s="1304"/>
      <c r="P219" s="1305"/>
      <c r="Q219" s="1305"/>
    </row>
    <row r="220" spans="1:17" hidden="1" outlineLevel="2" x14ac:dyDescent="0.15">
      <c r="A220" s="630" t="str">
        <f>CONCATENATE(B220," ",C220," core (",H220," chip) ",E220," MHz")</f>
        <v>Xeon E5-2680 8 core (1 chip) 2700 MHz</v>
      </c>
      <c r="B220" s="660" t="s">
        <v>609</v>
      </c>
      <c r="C220" s="2024">
        <v>8</v>
      </c>
      <c r="D220" s="52">
        <v>8</v>
      </c>
      <c r="E220" s="639">
        <v>2700</v>
      </c>
      <c r="F220" s="2011">
        <v>315</v>
      </c>
      <c r="G220" s="2015">
        <f t="shared" si="30"/>
        <v>39.375</v>
      </c>
      <c r="H220" s="2603">
        <f t="shared" si="31"/>
        <v>1</v>
      </c>
      <c r="I220" s="646" t="s">
        <v>335</v>
      </c>
      <c r="J220" s="2048">
        <v>130</v>
      </c>
      <c r="K220" s="2650"/>
    </row>
    <row r="221" spans="1:17" hidden="1" outlineLevel="2" x14ac:dyDescent="0.15">
      <c r="A221" s="630" t="str">
        <f>CONCATENATE(B221," ",C221," core (",H221," chip) ",E221," MHz")</f>
        <v>Xeon E5-2687W 16 core (2 chip) 3100 MHz</v>
      </c>
      <c r="B221" s="660" t="s">
        <v>690</v>
      </c>
      <c r="C221" s="2024">
        <v>16</v>
      </c>
      <c r="D221" s="52">
        <v>8</v>
      </c>
      <c r="E221" s="639">
        <v>3100</v>
      </c>
      <c r="F221" s="2011">
        <v>683</v>
      </c>
      <c r="G221" s="2015">
        <f t="shared" si="30"/>
        <v>42.6875</v>
      </c>
      <c r="H221" s="2603">
        <f t="shared" si="31"/>
        <v>2</v>
      </c>
      <c r="I221" s="646" t="s">
        <v>335</v>
      </c>
      <c r="J221" s="2048">
        <v>150</v>
      </c>
      <c r="K221" s="2650"/>
    </row>
    <row r="222" spans="1:17" hidden="1" outlineLevel="2" x14ac:dyDescent="0.15">
      <c r="A222" s="630" t="str">
        <f>CONCATENATE(B222," ",C222," core (",H222," chip) ",E222," MHz")&amp;IF(ISBLANK(F222),"**","")</f>
        <v>Xeon E5-2660 16 core (2 chip) 2200 MHz</v>
      </c>
      <c r="B222" s="660" t="s">
        <v>762</v>
      </c>
      <c r="C222" s="2024">
        <v>16</v>
      </c>
      <c r="D222" s="52">
        <v>8</v>
      </c>
      <c r="E222" s="639">
        <v>2200</v>
      </c>
      <c r="F222" s="2011">
        <v>575</v>
      </c>
      <c r="G222" s="2015">
        <f t="shared" si="30"/>
        <v>35.9375</v>
      </c>
      <c r="H222" s="2603">
        <f t="shared" si="31"/>
        <v>2</v>
      </c>
      <c r="I222" s="646" t="s">
        <v>335</v>
      </c>
      <c r="J222" s="2048">
        <v>95</v>
      </c>
      <c r="K222" s="2650"/>
    </row>
    <row r="223" spans="1:17" hidden="1" outlineLevel="2" x14ac:dyDescent="0.15">
      <c r="A223" s="630" t="str">
        <f>CONCATENATE(B223," ",C223," core (",H223," chip) ",E223," MHz")&amp;IF(ISBLANK(F223),"**","")</f>
        <v>Xeon E5-2665 16 core (2 chip) 2400 MHz</v>
      </c>
      <c r="B223" s="660" t="s">
        <v>763</v>
      </c>
      <c r="C223" s="2024">
        <v>16</v>
      </c>
      <c r="D223" s="52">
        <v>8</v>
      </c>
      <c r="E223" s="639">
        <v>2400</v>
      </c>
      <c r="F223" s="2011">
        <v>592</v>
      </c>
      <c r="G223" s="2015">
        <f t="shared" si="30"/>
        <v>37</v>
      </c>
      <c r="H223" s="2603">
        <f t="shared" si="31"/>
        <v>2</v>
      </c>
      <c r="I223" s="646" t="s">
        <v>335</v>
      </c>
      <c r="J223" s="2048">
        <v>115</v>
      </c>
      <c r="K223" s="2650"/>
    </row>
    <row r="224" spans="1:17" hidden="1" outlineLevel="2" x14ac:dyDescent="0.15">
      <c r="A224" s="630" t="str">
        <f>CONCATENATE(B224," ",C224," core (",H224," chip) ",E224," MHz")&amp;IF(ISBLANK(F224),"**","")</f>
        <v>Xeon E5-2670 16 core (2 chip) 2600 MHz</v>
      </c>
      <c r="B224" s="660" t="s">
        <v>691</v>
      </c>
      <c r="C224" s="2024">
        <v>16</v>
      </c>
      <c r="D224" s="52">
        <v>8</v>
      </c>
      <c r="E224" s="639">
        <v>2600</v>
      </c>
      <c r="F224" s="2011">
        <v>618</v>
      </c>
      <c r="G224" s="2015">
        <f t="shared" si="30"/>
        <v>38.625</v>
      </c>
      <c r="H224" s="2603">
        <f t="shared" si="31"/>
        <v>2</v>
      </c>
      <c r="I224" s="646" t="s">
        <v>335</v>
      </c>
      <c r="J224" s="2048">
        <v>115</v>
      </c>
      <c r="K224" s="2650"/>
    </row>
    <row r="225" spans="1:11" hidden="1" outlineLevel="2" collapsed="1" x14ac:dyDescent="0.15">
      <c r="A225" s="630" t="str">
        <f>CONCATENATE(B225," ",C225," core (",H225," chip) ",E225," MHz")</f>
        <v>Xeon E5-2648L 16 core (2 chip) 1800 MHz</v>
      </c>
      <c r="B225" s="660" t="s">
        <v>760</v>
      </c>
      <c r="C225" s="2024">
        <v>16</v>
      </c>
      <c r="D225" s="52">
        <v>8</v>
      </c>
      <c r="E225" s="639">
        <v>1800</v>
      </c>
      <c r="F225" s="2011">
        <v>401</v>
      </c>
      <c r="G225" s="2015">
        <f t="shared" si="30"/>
        <v>25.0625</v>
      </c>
      <c r="H225" s="2603">
        <f t="shared" si="31"/>
        <v>2</v>
      </c>
      <c r="I225" s="646" t="s">
        <v>335</v>
      </c>
      <c r="J225" s="2048">
        <v>70</v>
      </c>
      <c r="K225" s="2650"/>
    </row>
    <row r="226" spans="1:11" hidden="1" outlineLevel="2" collapsed="1" x14ac:dyDescent="0.15">
      <c r="A226" s="630" t="str">
        <f>CONCATENATE(B226," ",C226," core (",H226," chip) ",E226," MHz")</f>
        <v>Xeon E5-2650 16 core (2 chip) 2000 MHz</v>
      </c>
      <c r="B226" s="660" t="s">
        <v>679</v>
      </c>
      <c r="C226" s="2024">
        <v>16</v>
      </c>
      <c r="D226" s="52">
        <v>8</v>
      </c>
      <c r="E226" s="639">
        <v>2000</v>
      </c>
      <c r="F226" s="2011">
        <v>516</v>
      </c>
      <c r="G226" s="2015">
        <f t="shared" si="30"/>
        <v>32.25</v>
      </c>
      <c r="H226" s="2603">
        <f t="shared" si="31"/>
        <v>2</v>
      </c>
      <c r="I226" s="646" t="s">
        <v>335</v>
      </c>
      <c r="J226" s="2048">
        <v>95</v>
      </c>
      <c r="K226" s="2650"/>
    </row>
    <row r="227" spans="1:11" hidden="1" outlineLevel="2" x14ac:dyDescent="0.15">
      <c r="A227" s="630" t="str">
        <f>CONCATENATE(B227," ",C227," core (",H227," chip) ",E227," MHz")&amp;IF(ISBLANK(F227),"**","")</f>
        <v>Xeon E5-2650L 16 core (2 chip) 1800 MHz</v>
      </c>
      <c r="B227" s="660" t="s">
        <v>692</v>
      </c>
      <c r="C227" s="2024">
        <v>16</v>
      </c>
      <c r="D227" s="52">
        <v>8</v>
      </c>
      <c r="E227" s="639">
        <v>1800</v>
      </c>
      <c r="F227" s="2011">
        <v>440</v>
      </c>
      <c r="G227" s="2015">
        <f t="shared" si="30"/>
        <v>27.5</v>
      </c>
      <c r="H227" s="2603">
        <f t="shared" si="31"/>
        <v>2</v>
      </c>
      <c r="I227" s="646" t="s">
        <v>335</v>
      </c>
      <c r="J227" s="2048">
        <v>70</v>
      </c>
      <c r="K227" s="2650"/>
    </row>
    <row r="228" spans="1:11" hidden="1" outlineLevel="2" x14ac:dyDescent="0.15">
      <c r="A228" s="630" t="str">
        <f>CONCATENATE(B228," ",C228," core (",H228," chip) ",E228," MHz")&amp;IF(ISBLANK(F228),"**","")</f>
        <v>Xeon E5-2658 16 core (2 chip) 2100 MHz</v>
      </c>
      <c r="B228" s="660" t="s">
        <v>761</v>
      </c>
      <c r="C228" s="2024">
        <v>16</v>
      </c>
      <c r="D228" s="52">
        <v>8</v>
      </c>
      <c r="E228" s="639">
        <v>2100</v>
      </c>
      <c r="F228" s="2011">
        <v>462</v>
      </c>
      <c r="G228" s="2015">
        <f t="shared" si="30"/>
        <v>28.875</v>
      </c>
      <c r="H228" s="2603">
        <f t="shared" si="31"/>
        <v>2</v>
      </c>
      <c r="I228" s="646" t="s">
        <v>335</v>
      </c>
      <c r="J228" s="2048">
        <v>95</v>
      </c>
      <c r="K228" s="2650"/>
    </row>
    <row r="229" spans="1:11" hidden="1" outlineLevel="1" collapsed="1" x14ac:dyDescent="0.15">
      <c r="A229" s="628" t="s">
        <v>764</v>
      </c>
      <c r="B229" s="659" t="str">
        <f>A229</f>
        <v xml:space="preserve"> ==== 2012 MP Server Platforms ====</v>
      </c>
      <c r="C229" s="656"/>
      <c r="D229" s="2022"/>
      <c r="E229" s="2023"/>
      <c r="F229" s="2010"/>
      <c r="G229" s="2017"/>
      <c r="H229" s="2606"/>
      <c r="I229" s="645"/>
      <c r="J229" s="672" t="s">
        <v>165</v>
      </c>
      <c r="K229" s="2651"/>
    </row>
    <row r="230" spans="1:11" hidden="1" outlineLevel="2" x14ac:dyDescent="0.15">
      <c r="A230" s="630" t="str">
        <f t="shared" ref="A230:A245" si="32">CONCATENATE(B230," ",C230," core (",H230," chip) ",E230," MHz")&amp;IF(ISBLANK(F230),"**","")</f>
        <v>Xeon E7-2850 20 core (2 chip) 2000 MHz</v>
      </c>
      <c r="B230" s="660" t="s">
        <v>799</v>
      </c>
      <c r="C230" s="2024">
        <v>20</v>
      </c>
      <c r="D230" s="52">
        <v>10</v>
      </c>
      <c r="E230" s="639">
        <v>2000</v>
      </c>
      <c r="F230" s="2011">
        <v>462</v>
      </c>
      <c r="G230" s="2015">
        <f t="shared" ref="G230:G245" si="33">F230/C230</f>
        <v>23.1</v>
      </c>
      <c r="H230" s="2603">
        <f t="shared" ref="H230:H245" si="34">C230/D230</f>
        <v>2</v>
      </c>
      <c r="I230" s="646" t="s">
        <v>335</v>
      </c>
      <c r="J230" s="2048">
        <v>130</v>
      </c>
      <c r="K230" s="2650"/>
    </row>
    <row r="231" spans="1:11" hidden="1" outlineLevel="2" x14ac:dyDescent="0.15">
      <c r="A231" s="630" t="str">
        <f t="shared" si="32"/>
        <v>Xeon E7-2860 20 core (2 chip) 2267 MHz</v>
      </c>
      <c r="B231" s="660" t="s">
        <v>800</v>
      </c>
      <c r="C231" s="2024">
        <v>20</v>
      </c>
      <c r="D231" s="52">
        <v>10</v>
      </c>
      <c r="E231" s="639">
        <v>2267</v>
      </c>
      <c r="F231" s="2011">
        <v>519</v>
      </c>
      <c r="G231" s="2015">
        <f t="shared" si="33"/>
        <v>25.95</v>
      </c>
      <c r="H231" s="2603">
        <f t="shared" si="34"/>
        <v>2</v>
      </c>
      <c r="I231" s="646" t="s">
        <v>335</v>
      </c>
      <c r="J231" s="2048">
        <v>130</v>
      </c>
      <c r="K231" s="2650"/>
    </row>
    <row r="232" spans="1:11" hidden="1" outlineLevel="2" x14ac:dyDescent="0.15">
      <c r="A232" s="630" t="str">
        <f t="shared" si="32"/>
        <v>Xeon E5-4603 16 core (4 chip) 2000 MHz</v>
      </c>
      <c r="B232" s="660" t="s">
        <v>765</v>
      </c>
      <c r="C232" s="2024">
        <v>16</v>
      </c>
      <c r="D232" s="52">
        <v>4</v>
      </c>
      <c r="E232" s="639">
        <v>2000</v>
      </c>
      <c r="F232" s="2011">
        <v>440</v>
      </c>
      <c r="G232" s="2015">
        <f t="shared" si="33"/>
        <v>27.5</v>
      </c>
      <c r="H232" s="2603">
        <f t="shared" si="34"/>
        <v>4</v>
      </c>
      <c r="I232" s="646" t="s">
        <v>335</v>
      </c>
      <c r="J232" s="2048">
        <v>95</v>
      </c>
      <c r="K232" s="2650"/>
    </row>
    <row r="233" spans="1:11" hidden="1" outlineLevel="2" x14ac:dyDescent="0.15">
      <c r="A233" s="630" t="str">
        <f t="shared" si="32"/>
        <v>Xeon E5-4607 24 core (4 chip) 2200 MHz</v>
      </c>
      <c r="B233" s="660" t="s">
        <v>766</v>
      </c>
      <c r="C233" s="2024">
        <v>24</v>
      </c>
      <c r="D233" s="52">
        <v>6</v>
      </c>
      <c r="E233" s="639">
        <v>2200</v>
      </c>
      <c r="F233" s="2011">
        <v>686</v>
      </c>
      <c r="G233" s="2015">
        <f t="shared" si="33"/>
        <v>28.583333333333332</v>
      </c>
      <c r="H233" s="2603">
        <f t="shared" si="34"/>
        <v>4</v>
      </c>
      <c r="I233" s="646" t="s">
        <v>335</v>
      </c>
      <c r="J233" s="2048">
        <v>95</v>
      </c>
      <c r="K233" s="2650"/>
    </row>
    <row r="234" spans="1:11" hidden="1" outlineLevel="2" x14ac:dyDescent="0.15">
      <c r="A234" s="630" t="str">
        <f t="shared" si="32"/>
        <v>Xeon E5-4610 24 core (4 chip) 2400 MHz</v>
      </c>
      <c r="B234" s="660" t="s">
        <v>767</v>
      </c>
      <c r="C234" s="2024">
        <v>24</v>
      </c>
      <c r="D234" s="52">
        <v>6</v>
      </c>
      <c r="E234" s="639">
        <v>2400</v>
      </c>
      <c r="F234" s="2011">
        <v>851</v>
      </c>
      <c r="G234" s="2015">
        <f t="shared" si="33"/>
        <v>35.458333333333336</v>
      </c>
      <c r="H234" s="2603">
        <f t="shared" si="34"/>
        <v>4</v>
      </c>
      <c r="I234" s="646" t="s">
        <v>335</v>
      </c>
      <c r="J234" s="2048">
        <v>95</v>
      </c>
      <c r="K234" s="2650"/>
    </row>
    <row r="235" spans="1:11" hidden="1" outlineLevel="2" x14ac:dyDescent="0.15">
      <c r="A235" s="630" t="str">
        <f t="shared" si="32"/>
        <v>Xeon E5-4617 24 core (4 chip) 2900 MHz</v>
      </c>
      <c r="B235" s="660" t="s">
        <v>768</v>
      </c>
      <c r="C235" s="2024">
        <v>24</v>
      </c>
      <c r="D235" s="52">
        <v>6</v>
      </c>
      <c r="E235" s="639">
        <v>2900</v>
      </c>
      <c r="F235" s="2011">
        <v>834</v>
      </c>
      <c r="G235" s="2015">
        <f t="shared" si="33"/>
        <v>34.75</v>
      </c>
      <c r="H235" s="2603">
        <f t="shared" si="34"/>
        <v>4</v>
      </c>
      <c r="I235" s="646" t="s">
        <v>335</v>
      </c>
      <c r="J235" s="2048">
        <v>130</v>
      </c>
      <c r="K235" s="2650"/>
    </row>
    <row r="236" spans="1:11" hidden="1" outlineLevel="2" x14ac:dyDescent="0.15">
      <c r="A236" s="630" t="str">
        <f t="shared" si="32"/>
        <v>Xeon E5-4620 32 core (4 chip) 2200 MHz</v>
      </c>
      <c r="B236" s="660" t="s">
        <v>769</v>
      </c>
      <c r="C236" s="2024">
        <v>32</v>
      </c>
      <c r="D236" s="52">
        <v>8</v>
      </c>
      <c r="E236" s="639">
        <v>2200</v>
      </c>
      <c r="F236" s="2011">
        <v>952</v>
      </c>
      <c r="G236" s="2015">
        <f t="shared" si="33"/>
        <v>29.75</v>
      </c>
      <c r="H236" s="2603">
        <f t="shared" si="34"/>
        <v>4</v>
      </c>
      <c r="I236" s="646" t="s">
        <v>335</v>
      </c>
      <c r="J236" s="2048">
        <v>95</v>
      </c>
      <c r="K236" s="2650"/>
    </row>
    <row r="237" spans="1:11" hidden="1" outlineLevel="2" x14ac:dyDescent="0.15">
      <c r="A237" s="630" t="str">
        <f t="shared" si="32"/>
        <v>Xeon E5-4640 32 core (4 chip) 2400 MHz</v>
      </c>
      <c r="B237" s="660" t="s">
        <v>770</v>
      </c>
      <c r="C237" s="2024">
        <v>32</v>
      </c>
      <c r="D237" s="52">
        <v>8</v>
      </c>
      <c r="E237" s="639">
        <v>2400</v>
      </c>
      <c r="F237" s="2011">
        <v>1060</v>
      </c>
      <c r="G237" s="2015">
        <f t="shared" si="33"/>
        <v>33.125</v>
      </c>
      <c r="H237" s="2603">
        <f t="shared" si="34"/>
        <v>4</v>
      </c>
      <c r="I237" s="646" t="s">
        <v>335</v>
      </c>
      <c r="J237" s="2048">
        <v>95</v>
      </c>
      <c r="K237" s="2650"/>
    </row>
    <row r="238" spans="1:11" hidden="1" outlineLevel="2" x14ac:dyDescent="0.15">
      <c r="A238" s="630" t="str">
        <f t="shared" si="32"/>
        <v>Xeon E5-4650 32 core (4 chip) 2700 MHz</v>
      </c>
      <c r="B238" s="660" t="s">
        <v>771</v>
      </c>
      <c r="C238" s="2024">
        <v>32</v>
      </c>
      <c r="D238" s="52">
        <v>8</v>
      </c>
      <c r="E238" s="639">
        <v>2700</v>
      </c>
      <c r="F238" s="2011">
        <v>1190</v>
      </c>
      <c r="G238" s="2015">
        <f t="shared" si="33"/>
        <v>37.1875</v>
      </c>
      <c r="H238" s="2603">
        <f t="shared" si="34"/>
        <v>4</v>
      </c>
      <c r="I238" s="646" t="s">
        <v>335</v>
      </c>
      <c r="J238" s="2048">
        <v>130</v>
      </c>
      <c r="K238" s="2650"/>
    </row>
    <row r="239" spans="1:11" hidden="1" outlineLevel="2" x14ac:dyDescent="0.15">
      <c r="A239" s="630" t="str">
        <f t="shared" si="32"/>
        <v>Xeon E5-4650 1024 core (128 chip) 2700 MHz</v>
      </c>
      <c r="B239" s="660" t="s">
        <v>771</v>
      </c>
      <c r="C239" s="2024">
        <v>1024</v>
      </c>
      <c r="D239" s="52">
        <v>8</v>
      </c>
      <c r="E239" s="639">
        <v>2700</v>
      </c>
      <c r="F239" s="2011">
        <v>31100</v>
      </c>
      <c r="G239" s="2015">
        <f t="shared" si="33"/>
        <v>30.37109375</v>
      </c>
      <c r="H239" s="2603">
        <f t="shared" si="34"/>
        <v>128</v>
      </c>
      <c r="I239" s="646" t="s">
        <v>335</v>
      </c>
      <c r="J239" s="2048">
        <v>130</v>
      </c>
      <c r="K239" s="2650"/>
    </row>
    <row r="240" spans="1:11" hidden="1" outlineLevel="2" x14ac:dyDescent="0.15">
      <c r="A240" s="630" t="str">
        <f t="shared" si="32"/>
        <v>Xeon E5-4650L 32 core (4 chip) 2600 MHz</v>
      </c>
      <c r="B240" s="660" t="s">
        <v>772</v>
      </c>
      <c r="C240" s="2024">
        <v>32</v>
      </c>
      <c r="D240" s="52">
        <v>8</v>
      </c>
      <c r="E240" s="639">
        <v>2600</v>
      </c>
      <c r="F240" s="2011">
        <v>1150</v>
      </c>
      <c r="G240" s="2015">
        <f t="shared" si="33"/>
        <v>35.9375</v>
      </c>
      <c r="H240" s="2603">
        <f t="shared" si="34"/>
        <v>4</v>
      </c>
      <c r="I240" s="646" t="s">
        <v>335</v>
      </c>
      <c r="J240" s="2048">
        <v>115</v>
      </c>
      <c r="K240" s="2650"/>
    </row>
    <row r="241" spans="1:11" hidden="1" outlineLevel="2" x14ac:dyDescent="0.15">
      <c r="A241" s="630" t="str">
        <f t="shared" si="32"/>
        <v>Xeon E7-4807 24 core (4 chip) 1867 MHz</v>
      </c>
      <c r="B241" s="660" t="s">
        <v>801</v>
      </c>
      <c r="C241" s="2024">
        <v>24</v>
      </c>
      <c r="D241" s="52">
        <v>6</v>
      </c>
      <c r="E241" s="639">
        <v>1867</v>
      </c>
      <c r="F241" s="2011">
        <v>492</v>
      </c>
      <c r="G241" s="2015">
        <f t="shared" si="33"/>
        <v>20.5</v>
      </c>
      <c r="H241" s="2603">
        <f t="shared" si="34"/>
        <v>4</v>
      </c>
      <c r="I241" s="646" t="s">
        <v>335</v>
      </c>
      <c r="J241" s="2048">
        <v>95</v>
      </c>
      <c r="K241" s="2650"/>
    </row>
    <row r="242" spans="1:11" hidden="1" outlineLevel="2" x14ac:dyDescent="0.15">
      <c r="A242" s="630" t="str">
        <f t="shared" si="32"/>
        <v>Xeon E7-8837 32 core (4 chip) 2667 MHz</v>
      </c>
      <c r="B242" s="660" t="s">
        <v>481</v>
      </c>
      <c r="C242" s="2024">
        <v>32</v>
      </c>
      <c r="D242" s="52">
        <v>8</v>
      </c>
      <c r="E242" s="639">
        <v>2667</v>
      </c>
      <c r="F242" s="2011">
        <v>772</v>
      </c>
      <c r="G242" s="2015">
        <f t="shared" si="33"/>
        <v>24.125</v>
      </c>
      <c r="H242" s="2603">
        <f t="shared" si="34"/>
        <v>4</v>
      </c>
      <c r="I242" s="646" t="s">
        <v>335</v>
      </c>
      <c r="J242" s="2048">
        <v>130</v>
      </c>
      <c r="K242" s="2650"/>
    </row>
    <row r="243" spans="1:11" hidden="1" outlineLevel="2" x14ac:dyDescent="0.15">
      <c r="A243" s="630" t="str">
        <f t="shared" si="32"/>
        <v>Xeon E7-4850 40 core (4 chip) 2000 MHz</v>
      </c>
      <c r="B243" s="660" t="s">
        <v>480</v>
      </c>
      <c r="C243" s="2024">
        <v>40</v>
      </c>
      <c r="D243" s="52">
        <v>10</v>
      </c>
      <c r="E243" s="639">
        <v>2000</v>
      </c>
      <c r="F243" s="2011">
        <v>864</v>
      </c>
      <c r="G243" s="2015">
        <f t="shared" si="33"/>
        <v>21.6</v>
      </c>
      <c r="H243" s="2603">
        <f t="shared" si="34"/>
        <v>4</v>
      </c>
      <c r="I243" s="646" t="s">
        <v>335</v>
      </c>
      <c r="J243" s="2048">
        <v>130</v>
      </c>
      <c r="K243" s="2650"/>
    </row>
    <row r="244" spans="1:11" hidden="1" outlineLevel="2" x14ac:dyDescent="0.15">
      <c r="A244" s="630" t="str">
        <f t="shared" si="32"/>
        <v>Xeon E7-4870 20 core (2 chip) 2400 MHz</v>
      </c>
      <c r="B244" s="660" t="s">
        <v>478</v>
      </c>
      <c r="C244" s="2024">
        <v>20</v>
      </c>
      <c r="D244" s="52">
        <v>10</v>
      </c>
      <c r="E244" s="639">
        <v>2400</v>
      </c>
      <c r="F244" s="2011">
        <v>536</v>
      </c>
      <c r="G244" s="2015">
        <f t="shared" si="33"/>
        <v>26.8</v>
      </c>
      <c r="H244" s="2603">
        <f t="shared" si="34"/>
        <v>2</v>
      </c>
      <c r="I244" s="646" t="s">
        <v>335</v>
      </c>
      <c r="J244" s="2048">
        <v>130</v>
      </c>
      <c r="K244" s="2650"/>
    </row>
    <row r="245" spans="1:11" hidden="1" outlineLevel="2" x14ac:dyDescent="0.15">
      <c r="A245" s="630" t="str">
        <f t="shared" si="32"/>
        <v>Xeon E7-4870 40 core (4 chip) 2400 MHz</v>
      </c>
      <c r="B245" s="660" t="s">
        <v>478</v>
      </c>
      <c r="C245" s="2024">
        <v>40</v>
      </c>
      <c r="D245" s="52">
        <v>10</v>
      </c>
      <c r="E245" s="639">
        <v>2400</v>
      </c>
      <c r="F245" s="2011">
        <v>1100</v>
      </c>
      <c r="G245" s="2015">
        <f t="shared" si="33"/>
        <v>27.5</v>
      </c>
      <c r="H245" s="2603">
        <f t="shared" si="34"/>
        <v>4</v>
      </c>
      <c r="I245" s="646" t="s">
        <v>335</v>
      </c>
      <c r="J245" s="2048">
        <v>130</v>
      </c>
      <c r="K245" s="2650"/>
    </row>
    <row r="246" spans="1:11" hidden="1" outlineLevel="1" collapsed="1" x14ac:dyDescent="0.15">
      <c r="A246" s="628" t="s">
        <v>463</v>
      </c>
      <c r="B246" s="659" t="str">
        <f>A246</f>
        <v xml:space="preserve"> ==== 2011 DP Server Platforms ====</v>
      </c>
      <c r="C246" s="656"/>
      <c r="D246" s="2022"/>
      <c r="E246" s="2023"/>
      <c r="F246" s="2010"/>
      <c r="G246" s="2017"/>
      <c r="H246" s="2606"/>
      <c r="I246" s="645"/>
      <c r="J246" s="672" t="s">
        <v>165</v>
      </c>
      <c r="K246" s="2651"/>
    </row>
    <row r="247" spans="1:11" hidden="1" outlineLevel="2" x14ac:dyDescent="0.15">
      <c r="A247" s="630" t="str">
        <f>CONCATENATE(B247," ",C247," core (",H247," chip) ",E247," MHz")</f>
        <v>Xeon E3-1280 4 core (1 chip) 3500 MHz</v>
      </c>
      <c r="B247" s="660" t="s">
        <v>476</v>
      </c>
      <c r="C247" s="2024">
        <v>4</v>
      </c>
      <c r="D247" s="52">
        <v>4</v>
      </c>
      <c r="E247" s="639">
        <v>3500</v>
      </c>
      <c r="F247" s="2011">
        <v>160</v>
      </c>
      <c r="G247" s="2015">
        <f>F247/C247</f>
        <v>40</v>
      </c>
      <c r="H247" s="2604">
        <f>C247/D247</f>
        <v>1</v>
      </c>
      <c r="I247" s="646" t="s">
        <v>335</v>
      </c>
      <c r="J247" s="673">
        <v>95</v>
      </c>
      <c r="K247" s="2651"/>
    </row>
    <row r="248" spans="1:11" hidden="1" outlineLevel="2" x14ac:dyDescent="0.15">
      <c r="A248" s="630" t="str">
        <f t="shared" ref="A248:A258" si="35">CONCATENATE(B248," ",C248," core (",H248," chip) ",E248," MHz")</f>
        <v>Xeon E3-1270 4 core (1 chip) 3400 MHz</v>
      </c>
      <c r="B248" s="660" t="s">
        <v>511</v>
      </c>
      <c r="C248" s="2024">
        <v>4</v>
      </c>
      <c r="D248" s="52">
        <v>4</v>
      </c>
      <c r="E248" s="639">
        <v>3400</v>
      </c>
      <c r="F248" s="2011">
        <v>156</v>
      </c>
      <c r="G248" s="2015">
        <f t="shared" ref="G248:G258" si="36">F248/C248</f>
        <v>39</v>
      </c>
      <c r="H248" s="2604">
        <f t="shared" ref="H248:H258" si="37">C248/D248</f>
        <v>1</v>
      </c>
      <c r="I248" s="646" t="s">
        <v>335</v>
      </c>
      <c r="J248" s="673">
        <v>80</v>
      </c>
      <c r="K248" s="2651"/>
    </row>
    <row r="249" spans="1:11" hidden="1" outlineLevel="2" x14ac:dyDescent="0.15">
      <c r="A249" s="630" t="str">
        <f t="shared" si="35"/>
        <v>Xeon E3-1240 4 core (1 chip) 3333 MHz</v>
      </c>
      <c r="B249" s="660" t="s">
        <v>512</v>
      </c>
      <c r="C249" s="2024">
        <v>4</v>
      </c>
      <c r="D249" s="52">
        <v>4</v>
      </c>
      <c r="E249" s="639">
        <v>3333</v>
      </c>
      <c r="F249" s="2011">
        <v>154</v>
      </c>
      <c r="G249" s="2015">
        <f t="shared" si="36"/>
        <v>38.5</v>
      </c>
      <c r="H249" s="2604">
        <f t="shared" si="37"/>
        <v>1</v>
      </c>
      <c r="I249" s="646" t="s">
        <v>335</v>
      </c>
      <c r="J249" s="673">
        <v>80</v>
      </c>
      <c r="K249" s="2651"/>
    </row>
    <row r="250" spans="1:11" hidden="1" outlineLevel="2" x14ac:dyDescent="0.15">
      <c r="A250" s="630" t="str">
        <f t="shared" si="35"/>
        <v>Xeon E3-1230 4 core (1 chip) 3200 MHz</v>
      </c>
      <c r="B250" s="660" t="s">
        <v>513</v>
      </c>
      <c r="C250" s="2024">
        <v>4</v>
      </c>
      <c r="D250" s="52">
        <v>4</v>
      </c>
      <c r="E250" s="639">
        <v>3200</v>
      </c>
      <c r="F250" s="2011">
        <v>152</v>
      </c>
      <c r="G250" s="2015">
        <f t="shared" si="36"/>
        <v>38</v>
      </c>
      <c r="H250" s="2604">
        <f t="shared" si="37"/>
        <v>1</v>
      </c>
      <c r="I250" s="646" t="s">
        <v>335</v>
      </c>
      <c r="J250" s="673">
        <v>80</v>
      </c>
      <c r="K250" s="2651"/>
    </row>
    <row r="251" spans="1:11" hidden="1" outlineLevel="2" x14ac:dyDescent="0.15">
      <c r="A251" s="630" t="str">
        <f>CONCATENATE(B251," ",C251," core (",H251," chip) ",E251," MHz")</f>
        <v>Xeon E3-1220 4 core (1 chip) 3100 MHz</v>
      </c>
      <c r="B251" s="660" t="s">
        <v>514</v>
      </c>
      <c r="C251" s="2024">
        <v>4</v>
      </c>
      <c r="D251" s="52">
        <v>4</v>
      </c>
      <c r="E251" s="639">
        <v>3100</v>
      </c>
      <c r="F251" s="2011">
        <v>126</v>
      </c>
      <c r="G251" s="2015">
        <f>F251/C251</f>
        <v>31.5</v>
      </c>
      <c r="H251" s="2604">
        <f>C251/D251</f>
        <v>1</v>
      </c>
      <c r="I251" s="646" t="s">
        <v>335</v>
      </c>
      <c r="J251" s="673">
        <v>20</v>
      </c>
      <c r="K251" s="2651"/>
    </row>
    <row r="252" spans="1:11" hidden="1" outlineLevel="2" x14ac:dyDescent="0.15">
      <c r="A252" s="630" t="str">
        <f t="shared" si="35"/>
        <v>Xeon E7-2870 20 core (2 chip) 2400 MHz</v>
      </c>
      <c r="B252" s="660" t="s">
        <v>477</v>
      </c>
      <c r="C252" s="2024">
        <v>20</v>
      </c>
      <c r="D252" s="52">
        <v>10</v>
      </c>
      <c r="E252" s="639">
        <v>2400</v>
      </c>
      <c r="F252" s="2011">
        <v>508</v>
      </c>
      <c r="G252" s="2015">
        <f t="shared" si="36"/>
        <v>25.4</v>
      </c>
      <c r="H252" s="2604">
        <f t="shared" si="37"/>
        <v>2</v>
      </c>
      <c r="I252" s="646" t="s">
        <v>335</v>
      </c>
      <c r="J252" s="673">
        <v>130</v>
      </c>
      <c r="K252" s="2651"/>
    </row>
    <row r="253" spans="1:11" hidden="1" outlineLevel="2" x14ac:dyDescent="0.15">
      <c r="A253" s="630" t="str">
        <f t="shared" si="35"/>
        <v>Xeon E7-4870 40 core (4 chip) 2400 MHz</v>
      </c>
      <c r="B253" s="660" t="s">
        <v>478</v>
      </c>
      <c r="C253" s="2024">
        <v>40</v>
      </c>
      <c r="D253" s="52">
        <v>10</v>
      </c>
      <c r="E253" s="639">
        <v>2400</v>
      </c>
      <c r="F253" s="2011">
        <v>1010</v>
      </c>
      <c r="G253" s="2015">
        <f t="shared" si="36"/>
        <v>25.25</v>
      </c>
      <c r="H253" s="2604">
        <f t="shared" si="37"/>
        <v>4</v>
      </c>
      <c r="I253" s="646" t="s">
        <v>335</v>
      </c>
      <c r="J253" s="673">
        <v>130</v>
      </c>
      <c r="K253" s="2651"/>
    </row>
    <row r="254" spans="1:11" hidden="1" outlineLevel="2" x14ac:dyDescent="0.15">
      <c r="A254" s="630" t="str">
        <f t="shared" si="35"/>
        <v>Xeon E7-4860 40 core (4 chip) 2267 MHz</v>
      </c>
      <c r="B254" s="660" t="s">
        <v>479</v>
      </c>
      <c r="C254" s="2024">
        <v>40</v>
      </c>
      <c r="D254" s="52">
        <v>10</v>
      </c>
      <c r="E254" s="639">
        <v>2267</v>
      </c>
      <c r="F254" s="2011">
        <v>950</v>
      </c>
      <c r="G254" s="2015">
        <f t="shared" si="36"/>
        <v>23.75</v>
      </c>
      <c r="H254" s="2604">
        <f t="shared" si="37"/>
        <v>4</v>
      </c>
      <c r="I254" s="646" t="s">
        <v>335</v>
      </c>
      <c r="J254" s="673">
        <v>130</v>
      </c>
      <c r="K254" s="2651"/>
    </row>
    <row r="255" spans="1:11" hidden="1" outlineLevel="2" x14ac:dyDescent="0.15">
      <c r="A255" s="630" t="str">
        <f t="shared" si="35"/>
        <v>Xeon E7-4850 40 core (4 chip) 2000 MHz</v>
      </c>
      <c r="B255" s="660" t="s">
        <v>480</v>
      </c>
      <c r="C255" s="2024">
        <v>40</v>
      </c>
      <c r="D255" s="52">
        <v>10</v>
      </c>
      <c r="E255" s="639">
        <v>2000</v>
      </c>
      <c r="F255" s="2011">
        <v>851</v>
      </c>
      <c r="G255" s="2015">
        <f t="shared" si="36"/>
        <v>21.274999999999999</v>
      </c>
      <c r="H255" s="2604">
        <f t="shared" si="37"/>
        <v>4</v>
      </c>
      <c r="I255" s="646" t="s">
        <v>335</v>
      </c>
      <c r="J255" s="673">
        <v>130</v>
      </c>
      <c r="K255" s="2651"/>
    </row>
    <row r="256" spans="1:11" hidden="1" outlineLevel="2" x14ac:dyDescent="0.15">
      <c r="A256" s="630" t="str">
        <f t="shared" si="35"/>
        <v>Xeon E7-8837 32 core (4 chip) 2667 MHz</v>
      </c>
      <c r="B256" s="660" t="s">
        <v>481</v>
      </c>
      <c r="C256" s="2024">
        <v>32</v>
      </c>
      <c r="D256" s="52">
        <v>8</v>
      </c>
      <c r="E256" s="639">
        <v>2667</v>
      </c>
      <c r="F256" s="2011">
        <v>743</v>
      </c>
      <c r="G256" s="2015">
        <f t="shared" si="36"/>
        <v>23.21875</v>
      </c>
      <c r="H256" s="2604">
        <f t="shared" si="37"/>
        <v>4</v>
      </c>
      <c r="I256" s="646" t="s">
        <v>335</v>
      </c>
      <c r="J256" s="673">
        <v>130</v>
      </c>
      <c r="K256" s="2651"/>
    </row>
    <row r="257" spans="1:11" hidden="1" outlineLevel="2" x14ac:dyDescent="0.15">
      <c r="A257" s="630" t="str">
        <f t="shared" si="35"/>
        <v>Xeon E7-4830 32 core (4 chip) 2133 MHz</v>
      </c>
      <c r="B257" s="660" t="s">
        <v>482</v>
      </c>
      <c r="C257" s="2024">
        <v>32</v>
      </c>
      <c r="D257" s="52">
        <v>8</v>
      </c>
      <c r="E257" s="639">
        <v>2133</v>
      </c>
      <c r="F257" s="2011">
        <v>736</v>
      </c>
      <c r="G257" s="2015">
        <f t="shared" si="36"/>
        <v>23</v>
      </c>
      <c r="H257" s="2604">
        <f t="shared" si="37"/>
        <v>4</v>
      </c>
      <c r="I257" s="646" t="s">
        <v>335</v>
      </c>
      <c r="J257" s="673">
        <v>105</v>
      </c>
      <c r="K257" s="2651"/>
    </row>
    <row r="258" spans="1:11" hidden="1" outlineLevel="2" x14ac:dyDescent="0.15">
      <c r="A258" s="630" t="str">
        <f t="shared" si="35"/>
        <v>Xeon E7-4820 32 core (4 chip) 2000 MHz</v>
      </c>
      <c r="B258" s="660" t="s">
        <v>483</v>
      </c>
      <c r="C258" s="2024">
        <v>32</v>
      </c>
      <c r="D258" s="52">
        <v>8</v>
      </c>
      <c r="E258" s="639">
        <v>2000</v>
      </c>
      <c r="F258" s="2011">
        <v>684</v>
      </c>
      <c r="G258" s="2015">
        <f t="shared" si="36"/>
        <v>21.375</v>
      </c>
      <c r="H258" s="2604">
        <f t="shared" si="37"/>
        <v>4</v>
      </c>
      <c r="I258" s="646" t="s">
        <v>335</v>
      </c>
      <c r="J258" s="673">
        <v>105</v>
      </c>
      <c r="K258" s="2651"/>
    </row>
    <row r="259" spans="1:11" hidden="1" outlineLevel="2" x14ac:dyDescent="0.15">
      <c r="A259" s="629" t="str">
        <f>CONCATENATE(B259," ",C259," core (",H259," chip) ",E259," MHz")</f>
        <v>Xeon X5687 8 core (2 chip) 3600 MHz</v>
      </c>
      <c r="B259" s="660" t="s">
        <v>464</v>
      </c>
      <c r="C259" s="2024">
        <v>8</v>
      </c>
      <c r="D259" s="52">
        <v>4</v>
      </c>
      <c r="E259" s="639">
        <v>3600</v>
      </c>
      <c r="F259" s="2011">
        <v>307</v>
      </c>
      <c r="G259" s="2015">
        <f>F259/C259</f>
        <v>38.375</v>
      </c>
      <c r="H259" s="2604">
        <f>C259/D259</f>
        <v>2</v>
      </c>
      <c r="I259" s="646" t="s">
        <v>335</v>
      </c>
      <c r="J259" s="673">
        <v>130</v>
      </c>
      <c r="K259" s="2651"/>
    </row>
    <row r="260" spans="1:11" hidden="1" outlineLevel="2" x14ac:dyDescent="0.15">
      <c r="A260" s="630" t="str">
        <f>CONCATENATE(B260," ",C260," core (",H260," chip) ",E260," MHz")</f>
        <v>Xeon X5687 4 core (1 chip) 3600 MHz</v>
      </c>
      <c r="B260" s="660" t="s">
        <v>464</v>
      </c>
      <c r="C260" s="2024">
        <v>4</v>
      </c>
      <c r="D260" s="52">
        <v>4</v>
      </c>
      <c r="E260" s="639">
        <v>3600</v>
      </c>
      <c r="F260" s="2011">
        <v>153.5</v>
      </c>
      <c r="G260" s="2015">
        <f>F260/C260</f>
        <v>38.375</v>
      </c>
      <c r="H260" s="2604">
        <f>C260/D260</f>
        <v>1</v>
      </c>
      <c r="I260" s="646" t="s">
        <v>335</v>
      </c>
      <c r="J260" s="673">
        <v>130</v>
      </c>
      <c r="K260" s="2651"/>
    </row>
    <row r="261" spans="1:11" hidden="1" outlineLevel="2" x14ac:dyDescent="0.15">
      <c r="A261" s="630" t="str">
        <f>CONCATENATE(B261," ",C261," core (",H261," chip) ",E261," MHz")</f>
        <v>Xeon X5672 8 core (2 chip) 3200 MHz</v>
      </c>
      <c r="B261" s="660" t="s">
        <v>571</v>
      </c>
      <c r="C261" s="2024">
        <v>8</v>
      </c>
      <c r="D261" s="52">
        <v>4</v>
      </c>
      <c r="E261" s="639">
        <v>3200</v>
      </c>
      <c r="F261" s="2011">
        <v>289</v>
      </c>
      <c r="G261" s="2015">
        <f>F261/C261</f>
        <v>36.125</v>
      </c>
      <c r="H261" s="2604">
        <f>C261/D261</f>
        <v>2</v>
      </c>
      <c r="I261" s="646" t="s">
        <v>335</v>
      </c>
      <c r="J261" s="673">
        <v>95</v>
      </c>
      <c r="K261" s="2651"/>
    </row>
    <row r="262" spans="1:11" hidden="1" outlineLevel="2" x14ac:dyDescent="0.15">
      <c r="A262" s="630" t="str">
        <f>CONCATENATE(B262," ",C262," core (",H262," chip) ",E262," MHz")</f>
        <v>Xeon X5672 4 core (1 chip) 3200 MHz</v>
      </c>
      <c r="B262" s="660" t="s">
        <v>571</v>
      </c>
      <c r="C262" s="2024">
        <v>4</v>
      </c>
      <c r="D262" s="52">
        <v>4</v>
      </c>
      <c r="E262" s="639">
        <v>3200</v>
      </c>
      <c r="F262" s="2011">
        <v>144.5</v>
      </c>
      <c r="G262" s="2015">
        <f>F262/C262</f>
        <v>36.125</v>
      </c>
      <c r="H262" s="2604">
        <f>C262/D262</f>
        <v>1</v>
      </c>
      <c r="I262" s="646" t="s">
        <v>335</v>
      </c>
      <c r="J262" s="673">
        <v>95</v>
      </c>
      <c r="K262" s="2651"/>
    </row>
    <row r="263" spans="1:11" hidden="1" outlineLevel="1" collapsed="1" x14ac:dyDescent="0.15">
      <c r="A263" s="628" t="s">
        <v>176</v>
      </c>
      <c r="B263" s="659" t="str">
        <f>A263</f>
        <v xml:space="preserve"> ==== 2010 DP Server Platforms ====</v>
      </c>
      <c r="C263" s="656"/>
      <c r="D263" s="2022"/>
      <c r="E263" s="2023"/>
      <c r="F263" s="2010"/>
      <c r="G263" s="2017"/>
      <c r="H263" s="2606"/>
      <c r="I263" s="645"/>
      <c r="J263" s="672" t="s">
        <v>165</v>
      </c>
      <c r="K263" s="2651"/>
    </row>
    <row r="264" spans="1:11" hidden="1" outlineLevel="2" x14ac:dyDescent="0.15">
      <c r="A264" s="629" t="str">
        <f>CONCATENATE(B264," ",C264," core (",H264," chip) ",E264," MHz")</f>
        <v>Xeon X5690 12 core (2 chip) 3466 MHz</v>
      </c>
      <c r="B264" s="660" t="s">
        <v>263</v>
      </c>
      <c r="C264" s="2024">
        <v>12</v>
      </c>
      <c r="D264" s="52">
        <v>6</v>
      </c>
      <c r="E264" s="639">
        <v>3466</v>
      </c>
      <c r="F264" s="2011">
        <v>386</v>
      </c>
      <c r="G264" s="2015">
        <f>F264/C264</f>
        <v>32.166666666666664</v>
      </c>
      <c r="H264" s="2604">
        <f>C264/D264</f>
        <v>2</v>
      </c>
      <c r="I264" s="646" t="s">
        <v>335</v>
      </c>
      <c r="J264" s="673">
        <v>130</v>
      </c>
      <c r="K264" s="2651"/>
    </row>
    <row r="265" spans="1:11" hidden="1" outlineLevel="2" x14ac:dyDescent="0.15">
      <c r="A265" s="629" t="str">
        <f t="shared" ref="A265:A281" si="38">CONCATENATE(B265," ",C265," core (",H265," chip) ",E265," MHz")</f>
        <v>Xeon X5677 8 core (2 chip) 3467 MHz</v>
      </c>
      <c r="B265" s="660" t="s">
        <v>137</v>
      </c>
      <c r="C265" s="2024">
        <v>8</v>
      </c>
      <c r="D265" s="52">
        <v>4</v>
      </c>
      <c r="E265" s="639">
        <v>3467</v>
      </c>
      <c r="F265" s="2011">
        <v>283</v>
      </c>
      <c r="G265" s="2015">
        <f t="shared" ref="G265:G281" si="39">F265/C265</f>
        <v>35.375</v>
      </c>
      <c r="H265" s="2604">
        <f t="shared" ref="H265:H281" si="40">C265/D265</f>
        <v>2</v>
      </c>
      <c r="I265" s="646" t="s">
        <v>335</v>
      </c>
      <c r="J265" s="673">
        <v>130</v>
      </c>
      <c r="K265" s="2651"/>
    </row>
    <row r="266" spans="1:11" hidden="1" outlineLevel="2" x14ac:dyDescent="0.15">
      <c r="A266" s="629" t="str">
        <f t="shared" si="38"/>
        <v>Xeon X5677 4 core (1 chip) 3467 MHz</v>
      </c>
      <c r="B266" s="660" t="s">
        <v>137</v>
      </c>
      <c r="C266" s="2024">
        <v>4</v>
      </c>
      <c r="D266" s="52">
        <v>4</v>
      </c>
      <c r="E266" s="639">
        <v>3467</v>
      </c>
      <c r="F266" s="2011">
        <v>141.5</v>
      </c>
      <c r="G266" s="2015">
        <f t="shared" si="39"/>
        <v>35.375</v>
      </c>
      <c r="H266" s="2604">
        <f t="shared" si="40"/>
        <v>1</v>
      </c>
      <c r="I266" s="646" t="s">
        <v>335</v>
      </c>
      <c r="J266" s="673">
        <v>130</v>
      </c>
      <c r="K266" s="2651"/>
    </row>
    <row r="267" spans="1:11" hidden="1" outlineLevel="2" x14ac:dyDescent="0.15">
      <c r="A267" s="629" t="str">
        <f t="shared" si="38"/>
        <v>Xeon X5667 8 core (2 chip) 3067 MHz</v>
      </c>
      <c r="B267" s="660" t="s">
        <v>138</v>
      </c>
      <c r="C267" s="2024">
        <v>8</v>
      </c>
      <c r="D267" s="52">
        <v>4</v>
      </c>
      <c r="E267" s="639">
        <v>3067</v>
      </c>
      <c r="F267" s="2011">
        <v>267</v>
      </c>
      <c r="G267" s="2015">
        <f t="shared" si="39"/>
        <v>33.375</v>
      </c>
      <c r="H267" s="2604">
        <f t="shared" si="40"/>
        <v>2</v>
      </c>
      <c r="I267" s="646" t="s">
        <v>335</v>
      </c>
      <c r="J267" s="673">
        <v>95</v>
      </c>
      <c r="K267" s="2651"/>
    </row>
    <row r="268" spans="1:11" hidden="1" outlineLevel="2" x14ac:dyDescent="0.15">
      <c r="A268" s="629" t="str">
        <f t="shared" si="38"/>
        <v>Xeon X3480 4 core (1 chip) 3067 MHz</v>
      </c>
      <c r="B268" s="660" t="s">
        <v>244</v>
      </c>
      <c r="C268" s="2024">
        <v>4</v>
      </c>
      <c r="D268" s="52">
        <v>4</v>
      </c>
      <c r="E268" s="639">
        <v>3067</v>
      </c>
      <c r="F268" s="2011">
        <v>123</v>
      </c>
      <c r="G268" s="2015">
        <f t="shared" si="39"/>
        <v>30.75</v>
      </c>
      <c r="H268" s="2604">
        <f t="shared" si="40"/>
        <v>1</v>
      </c>
      <c r="I268" s="646" t="s">
        <v>335</v>
      </c>
      <c r="J268" s="673">
        <v>95</v>
      </c>
      <c r="K268" s="2651"/>
    </row>
    <row r="269" spans="1:11" hidden="1" outlineLevel="2" x14ac:dyDescent="0.15">
      <c r="A269" s="631" t="str">
        <f t="shared" si="38"/>
        <v>Xeon E5640 8 core (2 chip) 2667 MHz</v>
      </c>
      <c r="B269" s="660" t="s">
        <v>166</v>
      </c>
      <c r="C269" s="2024">
        <v>8</v>
      </c>
      <c r="D269" s="52">
        <v>4</v>
      </c>
      <c r="E269" s="639">
        <v>2667</v>
      </c>
      <c r="F269" s="2011">
        <v>224</v>
      </c>
      <c r="G269" s="2015">
        <f t="shared" si="39"/>
        <v>28</v>
      </c>
      <c r="H269" s="2604">
        <f t="shared" si="40"/>
        <v>2</v>
      </c>
      <c r="I269" s="646" t="s">
        <v>335</v>
      </c>
      <c r="J269" s="676">
        <v>80</v>
      </c>
      <c r="K269" s="2651"/>
    </row>
    <row r="270" spans="1:11" hidden="1" outlineLevel="2" x14ac:dyDescent="0.15">
      <c r="A270" s="631" t="str">
        <f t="shared" si="38"/>
        <v>Xeon E5640 4 core (1 chip) 2667 MHz</v>
      </c>
      <c r="B270" s="660" t="s">
        <v>166</v>
      </c>
      <c r="C270" s="2024">
        <v>4</v>
      </c>
      <c r="D270" s="52">
        <v>4</v>
      </c>
      <c r="E270" s="639">
        <v>2667</v>
      </c>
      <c r="F270" s="2011">
        <v>112</v>
      </c>
      <c r="G270" s="2015">
        <f t="shared" si="39"/>
        <v>28</v>
      </c>
      <c r="H270" s="2604">
        <f t="shared" si="40"/>
        <v>1</v>
      </c>
      <c r="I270" s="646" t="s">
        <v>335</v>
      </c>
      <c r="J270" s="676">
        <v>80</v>
      </c>
      <c r="K270" s="2651"/>
    </row>
    <row r="271" spans="1:11" hidden="1" outlineLevel="2" x14ac:dyDescent="0.15">
      <c r="A271" s="631" t="str">
        <f t="shared" si="38"/>
        <v>Xeon E5620 4 core (1 chip) 2400 MHz</v>
      </c>
      <c r="B271" s="660" t="s">
        <v>243</v>
      </c>
      <c r="C271" s="2024">
        <v>4</v>
      </c>
      <c r="D271" s="52">
        <v>4</v>
      </c>
      <c r="E271" s="639">
        <v>2400</v>
      </c>
      <c r="F271" s="2011">
        <v>106</v>
      </c>
      <c r="G271" s="2015">
        <f t="shared" si="39"/>
        <v>26.5</v>
      </c>
      <c r="H271" s="2604">
        <f t="shared" si="40"/>
        <v>1</v>
      </c>
      <c r="I271" s="646" t="s">
        <v>335</v>
      </c>
      <c r="J271" s="676">
        <v>80</v>
      </c>
      <c r="K271" s="2651"/>
    </row>
    <row r="272" spans="1:11" s="317" customFormat="1" hidden="1" outlineLevel="2" x14ac:dyDescent="0.15">
      <c r="A272" s="629" t="str">
        <f t="shared" si="38"/>
        <v>Xeon X5690 12 core (2 chip) 3466 MHz</v>
      </c>
      <c r="B272" s="660" t="s">
        <v>263</v>
      </c>
      <c r="C272" s="2024">
        <v>12</v>
      </c>
      <c r="D272" s="52">
        <v>6</v>
      </c>
      <c r="E272" s="639">
        <v>3466</v>
      </c>
      <c r="F272" s="2011">
        <v>385</v>
      </c>
      <c r="G272" s="2015">
        <f t="shared" si="39"/>
        <v>32.083333333333336</v>
      </c>
      <c r="H272" s="2604">
        <f t="shared" si="40"/>
        <v>2</v>
      </c>
      <c r="I272" s="646" t="s">
        <v>335</v>
      </c>
      <c r="J272" s="673">
        <v>130</v>
      </c>
      <c r="K272" s="2653"/>
    </row>
    <row r="273" spans="1:11" s="317" customFormat="1" hidden="1" outlineLevel="2" x14ac:dyDescent="0.15">
      <c r="A273" s="629" t="str">
        <f t="shared" si="38"/>
        <v>Xeon X5680 12 core (2 chip) 3333 MHz</v>
      </c>
      <c r="B273" s="660" t="s">
        <v>141</v>
      </c>
      <c r="C273" s="2024">
        <v>12</v>
      </c>
      <c r="D273" s="52">
        <v>6</v>
      </c>
      <c r="E273" s="639">
        <v>3333</v>
      </c>
      <c r="F273" s="2011">
        <v>355</v>
      </c>
      <c r="G273" s="2015">
        <f t="shared" si="39"/>
        <v>29.583333333333332</v>
      </c>
      <c r="H273" s="2604">
        <f t="shared" si="40"/>
        <v>2</v>
      </c>
      <c r="I273" s="646" t="s">
        <v>335</v>
      </c>
      <c r="J273" s="673">
        <v>130</v>
      </c>
      <c r="K273" s="2653"/>
    </row>
    <row r="274" spans="1:11" s="317" customFormat="1" hidden="1" outlineLevel="2" x14ac:dyDescent="0.15">
      <c r="A274" s="629" t="str">
        <f t="shared" si="38"/>
        <v>Xeon X5680 6 core (1 chip) 3333 MHz</v>
      </c>
      <c r="B274" s="660" t="s">
        <v>141</v>
      </c>
      <c r="C274" s="2024">
        <v>6</v>
      </c>
      <c r="D274" s="52">
        <v>6</v>
      </c>
      <c r="E274" s="639">
        <v>3333</v>
      </c>
      <c r="F274" s="2011">
        <v>178</v>
      </c>
      <c r="G274" s="2015">
        <f t="shared" si="39"/>
        <v>29.666666666666668</v>
      </c>
      <c r="H274" s="2604">
        <f t="shared" si="40"/>
        <v>1</v>
      </c>
      <c r="I274" s="646" t="s">
        <v>335</v>
      </c>
      <c r="J274" s="673">
        <v>95</v>
      </c>
      <c r="K274" s="2653"/>
    </row>
    <row r="275" spans="1:11" hidden="1" outlineLevel="2" x14ac:dyDescent="0.15">
      <c r="A275" s="629" t="str">
        <f t="shared" si="38"/>
        <v>Xeon X5675 12 core (2 chip) 3067 MHz</v>
      </c>
      <c r="B275" s="660" t="s">
        <v>588</v>
      </c>
      <c r="C275" s="2024">
        <v>12</v>
      </c>
      <c r="D275" s="52">
        <v>6</v>
      </c>
      <c r="E275" s="639">
        <v>3067</v>
      </c>
      <c r="F275" s="2011">
        <v>367</v>
      </c>
      <c r="G275" s="2015">
        <f t="shared" si="39"/>
        <v>30.583333333333332</v>
      </c>
      <c r="H275" s="2604">
        <f t="shared" si="40"/>
        <v>2</v>
      </c>
      <c r="I275" s="646" t="s">
        <v>335</v>
      </c>
      <c r="J275" s="673">
        <v>95</v>
      </c>
      <c r="K275" s="2651"/>
    </row>
    <row r="276" spans="1:11" hidden="1" outlineLevel="2" x14ac:dyDescent="0.15">
      <c r="A276" s="629" t="str">
        <f>CONCATENATE(B276," ",C276," core (",H276," chip) ",E276," MHz")</f>
        <v>Xeon X5675 6 core (1 chip) 3067 MHz</v>
      </c>
      <c r="B276" s="660" t="s">
        <v>588</v>
      </c>
      <c r="C276" s="2024">
        <v>6</v>
      </c>
      <c r="D276" s="52">
        <v>6</v>
      </c>
      <c r="E276" s="639">
        <v>3067</v>
      </c>
      <c r="F276" s="2011">
        <v>185</v>
      </c>
      <c r="G276" s="2015">
        <f>F276/C276</f>
        <v>30.833333333333332</v>
      </c>
      <c r="H276" s="2604">
        <f>C276/D276</f>
        <v>1</v>
      </c>
      <c r="I276" s="646" t="s">
        <v>335</v>
      </c>
      <c r="J276" s="673">
        <v>95</v>
      </c>
      <c r="K276" s="2651"/>
    </row>
    <row r="277" spans="1:11" hidden="1" outlineLevel="2" x14ac:dyDescent="0.15">
      <c r="A277" s="629" t="str">
        <f t="shared" si="38"/>
        <v>Xeon X5670 12 core (2 chip) 2933 MHz</v>
      </c>
      <c r="B277" s="660" t="s">
        <v>142</v>
      </c>
      <c r="C277" s="2024">
        <v>12</v>
      </c>
      <c r="D277" s="52">
        <v>6</v>
      </c>
      <c r="E277" s="639">
        <v>2933</v>
      </c>
      <c r="F277" s="2011">
        <v>340</v>
      </c>
      <c r="G277" s="2015">
        <f t="shared" si="39"/>
        <v>28.333333333333332</v>
      </c>
      <c r="H277" s="2604">
        <f t="shared" si="40"/>
        <v>2</v>
      </c>
      <c r="I277" s="646" t="s">
        <v>335</v>
      </c>
      <c r="J277" s="673">
        <v>95</v>
      </c>
      <c r="K277" s="2651"/>
    </row>
    <row r="278" spans="1:11" hidden="1" outlineLevel="2" x14ac:dyDescent="0.15">
      <c r="A278" s="629" t="str">
        <f t="shared" si="38"/>
        <v>Xeon X5660 12 core (2 chip) 2800 MHz</v>
      </c>
      <c r="B278" s="660" t="s">
        <v>143</v>
      </c>
      <c r="C278" s="2024">
        <v>12</v>
      </c>
      <c r="D278" s="52">
        <v>6</v>
      </c>
      <c r="E278" s="639">
        <v>2800</v>
      </c>
      <c r="F278" s="2011">
        <v>327</v>
      </c>
      <c r="G278" s="2015">
        <f t="shared" si="39"/>
        <v>27.25</v>
      </c>
      <c r="H278" s="2604">
        <f t="shared" si="40"/>
        <v>2</v>
      </c>
      <c r="I278" s="646" t="s">
        <v>335</v>
      </c>
      <c r="J278" s="673">
        <v>95</v>
      </c>
      <c r="K278" s="2651"/>
    </row>
    <row r="279" spans="1:11" hidden="1" outlineLevel="2" x14ac:dyDescent="0.15">
      <c r="A279" s="629" t="str">
        <f t="shared" si="38"/>
        <v>Xeon X5650 12 core (2 chip) 2667 MHz</v>
      </c>
      <c r="B279" s="660" t="s">
        <v>140</v>
      </c>
      <c r="C279" s="2024">
        <v>12</v>
      </c>
      <c r="D279" s="52">
        <v>6</v>
      </c>
      <c r="E279" s="639">
        <v>2667</v>
      </c>
      <c r="F279" s="2011">
        <v>318</v>
      </c>
      <c r="G279" s="2015">
        <f t="shared" si="39"/>
        <v>26.5</v>
      </c>
      <c r="H279" s="2604">
        <f t="shared" si="40"/>
        <v>2</v>
      </c>
      <c r="I279" s="646" t="s">
        <v>335</v>
      </c>
      <c r="J279" s="673">
        <v>95</v>
      </c>
      <c r="K279" s="2651"/>
    </row>
    <row r="280" spans="1:11" hidden="1" outlineLevel="2" x14ac:dyDescent="0.15">
      <c r="A280" s="629" t="str">
        <f t="shared" si="38"/>
        <v>Xeon L5640 12 core (2 chip) 2267 MHz</v>
      </c>
      <c r="B280" s="660" t="s">
        <v>139</v>
      </c>
      <c r="C280" s="2024">
        <v>12</v>
      </c>
      <c r="D280" s="52">
        <v>6</v>
      </c>
      <c r="E280" s="639">
        <v>2267</v>
      </c>
      <c r="F280" s="2011">
        <v>261</v>
      </c>
      <c r="G280" s="2015">
        <f t="shared" si="39"/>
        <v>21.75</v>
      </c>
      <c r="H280" s="2604">
        <f t="shared" si="40"/>
        <v>2</v>
      </c>
      <c r="I280" s="646" t="s">
        <v>335</v>
      </c>
      <c r="J280" s="673">
        <v>60</v>
      </c>
      <c r="K280" s="2651"/>
    </row>
    <row r="281" spans="1:11" hidden="1" outlineLevel="2" x14ac:dyDescent="0.15">
      <c r="A281" s="629" t="str">
        <f t="shared" si="38"/>
        <v>Xeon L5640 6 core (1 chip) 2267 MHz</v>
      </c>
      <c r="B281" s="660" t="s">
        <v>139</v>
      </c>
      <c r="C281" s="2024">
        <v>6</v>
      </c>
      <c r="D281" s="52">
        <v>6</v>
      </c>
      <c r="E281" s="639">
        <v>2267</v>
      </c>
      <c r="F281" s="2011">
        <v>130.5</v>
      </c>
      <c r="G281" s="2015">
        <f t="shared" si="39"/>
        <v>21.75</v>
      </c>
      <c r="H281" s="2604">
        <f t="shared" si="40"/>
        <v>1</v>
      </c>
      <c r="I281" s="646" t="s">
        <v>335</v>
      </c>
      <c r="J281" s="673">
        <v>60</v>
      </c>
      <c r="K281" s="2651"/>
    </row>
    <row r="282" spans="1:11" hidden="1" outlineLevel="1" collapsed="1" x14ac:dyDescent="0.15">
      <c r="A282" s="628" t="s">
        <v>177</v>
      </c>
      <c r="B282" s="659" t="str">
        <f>A282</f>
        <v xml:space="preserve"> ==== 2010 MP Server Platforms ====</v>
      </c>
      <c r="C282" s="2022"/>
      <c r="D282" s="2022"/>
      <c r="E282" s="2023"/>
      <c r="F282" s="2010"/>
      <c r="G282" s="2017"/>
      <c r="H282" s="2606"/>
      <c r="I282" s="645"/>
      <c r="J282" s="650" t="s">
        <v>165</v>
      </c>
      <c r="K282" s="2651"/>
    </row>
    <row r="283" spans="1:11" hidden="1" outlineLevel="2" x14ac:dyDescent="0.15">
      <c r="A283" s="630" t="str">
        <f t="shared" ref="A283:A291" si="41">CONCATENATE(B283," ",C283," core (",H283," chip) ",E283," MHz")</f>
        <v>Xeon E7560 E 64 core (8 chip) 2266 MHz</v>
      </c>
      <c r="B283" s="660" t="s">
        <v>185</v>
      </c>
      <c r="C283" s="2024">
        <v>64</v>
      </c>
      <c r="D283" s="55">
        <v>8</v>
      </c>
      <c r="E283" s="639">
        <v>2266</v>
      </c>
      <c r="F283" s="2011">
        <v>1400</v>
      </c>
      <c r="G283" s="2015">
        <f t="shared" ref="G283:G291" si="42">F283/C283</f>
        <v>21.875</v>
      </c>
      <c r="H283" s="2604">
        <f t="shared" ref="H283:H291" si="43">C283/D283</f>
        <v>8</v>
      </c>
      <c r="I283" s="646" t="s">
        <v>335</v>
      </c>
      <c r="J283" s="651">
        <v>130</v>
      </c>
      <c r="K283" s="2651"/>
    </row>
    <row r="284" spans="1:11" hidden="1" outlineLevel="2" x14ac:dyDescent="0.15">
      <c r="A284" s="630" t="str">
        <f t="shared" si="41"/>
        <v>Xeon E7560 32 core (4 chip) 2267 MHz</v>
      </c>
      <c r="B284" s="660" t="s">
        <v>184</v>
      </c>
      <c r="C284" s="2024">
        <v>32</v>
      </c>
      <c r="D284" s="55">
        <v>8</v>
      </c>
      <c r="E284" s="639">
        <v>2267</v>
      </c>
      <c r="F284" s="2011">
        <v>710</v>
      </c>
      <c r="G284" s="2015">
        <f t="shared" si="42"/>
        <v>22.1875</v>
      </c>
      <c r="H284" s="2604">
        <f t="shared" si="43"/>
        <v>4</v>
      </c>
      <c r="I284" s="646" t="s">
        <v>335</v>
      </c>
      <c r="J284" s="651">
        <v>130</v>
      </c>
      <c r="K284" s="2651"/>
    </row>
    <row r="285" spans="1:11" hidden="1" outlineLevel="2" x14ac:dyDescent="0.15">
      <c r="A285" s="630" t="str">
        <f t="shared" si="41"/>
        <v>Xeon E7550 32 core (4 chip) 2000 MHz</v>
      </c>
      <c r="B285" s="660" t="s">
        <v>182</v>
      </c>
      <c r="C285" s="2024">
        <v>32</v>
      </c>
      <c r="D285" s="55">
        <v>8</v>
      </c>
      <c r="E285" s="639">
        <v>2000</v>
      </c>
      <c r="F285" s="2011">
        <v>640</v>
      </c>
      <c r="G285" s="2015">
        <f t="shared" si="42"/>
        <v>20</v>
      </c>
      <c r="H285" s="2604">
        <f t="shared" si="43"/>
        <v>4</v>
      </c>
      <c r="I285" s="646" t="s">
        <v>335</v>
      </c>
      <c r="J285" s="651">
        <v>130</v>
      </c>
      <c r="K285" s="2651"/>
    </row>
    <row r="286" spans="1:11" hidden="1" outlineLevel="2" x14ac:dyDescent="0.15">
      <c r="A286" s="630" t="str">
        <f t="shared" si="41"/>
        <v>Xeon L7555 32 core (4 chip) 1867 MHz</v>
      </c>
      <c r="B286" s="660" t="s">
        <v>183</v>
      </c>
      <c r="C286" s="2024">
        <v>32</v>
      </c>
      <c r="D286" s="55">
        <v>8</v>
      </c>
      <c r="E286" s="639">
        <v>1867</v>
      </c>
      <c r="F286" s="2011">
        <v>604</v>
      </c>
      <c r="G286" s="2015">
        <f t="shared" si="42"/>
        <v>18.875</v>
      </c>
      <c r="H286" s="2604">
        <f t="shared" si="43"/>
        <v>4</v>
      </c>
      <c r="I286" s="646" t="s">
        <v>335</v>
      </c>
      <c r="J286" s="651">
        <v>95</v>
      </c>
      <c r="K286" s="2651"/>
    </row>
    <row r="287" spans="1:11" hidden="1" outlineLevel="2" x14ac:dyDescent="0.15">
      <c r="A287" s="631" t="str">
        <f>CONCATENATE(B287," ",C287," core (",H287," chip) ",E287," MHz")</f>
        <v>Xeon X6550 16 core (2 chip) 2000 MHz</v>
      </c>
      <c r="B287" s="660" t="s">
        <v>572</v>
      </c>
      <c r="C287" s="2024">
        <v>16</v>
      </c>
      <c r="D287" s="52">
        <v>8</v>
      </c>
      <c r="E287" s="639">
        <v>2000</v>
      </c>
      <c r="F287" s="2011">
        <v>321</v>
      </c>
      <c r="G287" s="2015">
        <f>F287/C287</f>
        <v>20.0625</v>
      </c>
      <c r="H287" s="2604">
        <f>C287/D287</f>
        <v>2</v>
      </c>
      <c r="I287" s="646" t="s">
        <v>335</v>
      </c>
      <c r="J287" s="676">
        <v>80</v>
      </c>
      <c r="K287" s="2651"/>
    </row>
    <row r="288" spans="1:11" hidden="1" outlineLevel="2" x14ac:dyDescent="0.15">
      <c r="A288" s="630" t="str">
        <f t="shared" si="41"/>
        <v>Xeon E7540 24 core (4 chip) 2000 MHz</v>
      </c>
      <c r="B288" s="660" t="s">
        <v>180</v>
      </c>
      <c r="C288" s="2024">
        <v>24</v>
      </c>
      <c r="D288" s="55">
        <v>6</v>
      </c>
      <c r="E288" s="639">
        <v>2000</v>
      </c>
      <c r="F288" s="2011">
        <v>493</v>
      </c>
      <c r="G288" s="2015">
        <f t="shared" si="42"/>
        <v>20.541666666666668</v>
      </c>
      <c r="H288" s="2604">
        <f t="shared" si="43"/>
        <v>4</v>
      </c>
      <c r="I288" s="646" t="s">
        <v>335</v>
      </c>
      <c r="J288" s="651">
        <v>105</v>
      </c>
      <c r="K288" s="2651"/>
    </row>
    <row r="289" spans="1:11" hidden="1" outlineLevel="2" x14ac:dyDescent="0.15">
      <c r="A289" s="630" t="str">
        <f t="shared" si="41"/>
        <v>Xeon L7545 24 core (4 chip) 1867 MHz</v>
      </c>
      <c r="B289" s="660" t="s">
        <v>181</v>
      </c>
      <c r="C289" s="2024">
        <v>24</v>
      </c>
      <c r="D289" s="55">
        <v>6</v>
      </c>
      <c r="E289" s="639">
        <v>1867</v>
      </c>
      <c r="F289" s="2011">
        <v>466</v>
      </c>
      <c r="G289" s="2015">
        <f t="shared" si="42"/>
        <v>19.416666666666668</v>
      </c>
      <c r="H289" s="2604">
        <f t="shared" si="43"/>
        <v>4</v>
      </c>
      <c r="I289" s="646" t="s">
        <v>335</v>
      </c>
      <c r="J289" s="651">
        <v>95</v>
      </c>
      <c r="K289" s="2651"/>
    </row>
    <row r="290" spans="1:11" hidden="1" outlineLevel="2" x14ac:dyDescent="0.15">
      <c r="A290" s="630" t="str">
        <f t="shared" si="41"/>
        <v>Xeon E7530 24 core (4 chip) 1866 MHz</v>
      </c>
      <c r="B290" s="660" t="s">
        <v>179</v>
      </c>
      <c r="C290" s="2024">
        <v>24</v>
      </c>
      <c r="D290" s="55">
        <v>6</v>
      </c>
      <c r="E290" s="639">
        <v>1866</v>
      </c>
      <c r="F290" s="2011">
        <v>447</v>
      </c>
      <c r="G290" s="2015">
        <f t="shared" si="42"/>
        <v>18.625</v>
      </c>
      <c r="H290" s="2604">
        <f t="shared" si="43"/>
        <v>4</v>
      </c>
      <c r="I290" s="646" t="s">
        <v>335</v>
      </c>
      <c r="J290" s="651">
        <v>105</v>
      </c>
      <c r="K290" s="2651"/>
    </row>
    <row r="291" spans="1:11" hidden="1" outlineLevel="2" x14ac:dyDescent="0.15">
      <c r="A291" s="630" t="str">
        <f t="shared" si="41"/>
        <v>Xeon E7520 16 core (4 chip) 1867 MHz</v>
      </c>
      <c r="B291" s="660" t="s">
        <v>178</v>
      </c>
      <c r="C291" s="2024">
        <v>16</v>
      </c>
      <c r="D291" s="55">
        <v>4</v>
      </c>
      <c r="E291" s="639">
        <v>1867</v>
      </c>
      <c r="F291" s="2011">
        <v>314</v>
      </c>
      <c r="G291" s="2015">
        <f t="shared" si="42"/>
        <v>19.625</v>
      </c>
      <c r="H291" s="2604">
        <f t="shared" si="43"/>
        <v>4</v>
      </c>
      <c r="I291" s="646" t="s">
        <v>335</v>
      </c>
      <c r="J291" s="651">
        <v>95</v>
      </c>
      <c r="K291" s="2651"/>
    </row>
    <row r="292" spans="1:11" hidden="1" outlineLevel="2" x14ac:dyDescent="0.15">
      <c r="A292" s="630" t="str">
        <f>CONCATENATE(B292," ",C292," core (",H292," chip) ",E292," MHz")</f>
        <v>Intel Xeon MP 1 core (1 chip) 2000 MHz</v>
      </c>
      <c r="B292" s="660" t="s">
        <v>435</v>
      </c>
      <c r="C292" s="2024">
        <v>1</v>
      </c>
      <c r="D292" s="51">
        <v>1</v>
      </c>
      <c r="E292" s="639">
        <v>2000</v>
      </c>
      <c r="F292" s="2011">
        <v>4.666666666666667</v>
      </c>
      <c r="G292" s="2015">
        <f t="shared" ref="G292:G305" si="44">F292/C292</f>
        <v>4.666666666666667</v>
      </c>
      <c r="H292" s="2607">
        <f t="shared" ref="H292:H305" si="45">C292/D292</f>
        <v>1</v>
      </c>
      <c r="I292" s="646" t="s">
        <v>335</v>
      </c>
      <c r="J292" s="673"/>
      <c r="K292" s="2651"/>
    </row>
    <row r="293" spans="1:11" hidden="1" outlineLevel="2" x14ac:dyDescent="0.15">
      <c r="A293" s="630" t="str">
        <f t="shared" ref="A293:A305" si="46">CONCATENATE(B293," ",C293," core (",H293," chip) ",E293," MHz")</f>
        <v>Intel Xeon MP 2 core (2 chip) 2000 MHz</v>
      </c>
      <c r="B293" s="660" t="s">
        <v>435</v>
      </c>
      <c r="C293" s="2024">
        <v>2</v>
      </c>
      <c r="D293" s="51">
        <v>1</v>
      </c>
      <c r="E293" s="639">
        <v>2000</v>
      </c>
      <c r="F293" s="2011">
        <v>8.7142857142857135</v>
      </c>
      <c r="G293" s="2015">
        <f t="shared" si="44"/>
        <v>4.3571428571428568</v>
      </c>
      <c r="H293" s="2607">
        <f t="shared" si="45"/>
        <v>2</v>
      </c>
      <c r="I293" s="646" t="s">
        <v>335</v>
      </c>
      <c r="J293" s="673"/>
      <c r="K293" s="2651"/>
    </row>
    <row r="294" spans="1:11" hidden="1" outlineLevel="2" x14ac:dyDescent="0.15">
      <c r="A294" s="630" t="str">
        <f t="shared" si="46"/>
        <v>Intel Xeon MP 4 core (4 chip) 2000 MHz</v>
      </c>
      <c r="B294" s="660" t="s">
        <v>435</v>
      </c>
      <c r="C294" s="2024">
        <v>4</v>
      </c>
      <c r="D294" s="51">
        <v>1</v>
      </c>
      <c r="E294" s="639">
        <v>2000</v>
      </c>
      <c r="F294" s="2011">
        <v>16.523809523809526</v>
      </c>
      <c r="G294" s="2015">
        <f t="shared" si="44"/>
        <v>4.1309523809523814</v>
      </c>
      <c r="H294" s="2607">
        <f t="shared" si="45"/>
        <v>4</v>
      </c>
      <c r="I294" s="646" t="s">
        <v>335</v>
      </c>
      <c r="J294" s="673"/>
      <c r="K294" s="2651"/>
    </row>
    <row r="295" spans="1:11" hidden="1" outlineLevel="2" x14ac:dyDescent="0.15">
      <c r="A295" s="630" t="str">
        <f t="shared" si="46"/>
        <v>Intel Xeon MP 6 core (6 chip) 2000 MHz</v>
      </c>
      <c r="B295" s="660" t="s">
        <v>435</v>
      </c>
      <c r="C295" s="2024">
        <v>6</v>
      </c>
      <c r="D295" s="51">
        <v>1</v>
      </c>
      <c r="E295" s="639">
        <v>2000</v>
      </c>
      <c r="F295" s="2011">
        <v>20.095238095238095</v>
      </c>
      <c r="G295" s="2015">
        <f t="shared" si="44"/>
        <v>3.3492063492063493</v>
      </c>
      <c r="H295" s="2607">
        <f t="shared" si="45"/>
        <v>6</v>
      </c>
      <c r="I295" s="646" t="s">
        <v>335</v>
      </c>
      <c r="J295" s="673"/>
      <c r="K295" s="2651"/>
    </row>
    <row r="296" spans="1:11" hidden="1" outlineLevel="2" x14ac:dyDescent="0.15">
      <c r="A296" s="630" t="str">
        <f t="shared" si="46"/>
        <v>Intel Xeon MP 8 core (8 chip) 2000 MHz</v>
      </c>
      <c r="B296" s="660" t="s">
        <v>435</v>
      </c>
      <c r="C296" s="2024">
        <v>8</v>
      </c>
      <c r="D296" s="51">
        <v>1</v>
      </c>
      <c r="E296" s="639">
        <v>2000</v>
      </c>
      <c r="F296" s="2011">
        <v>23.61904761904762</v>
      </c>
      <c r="G296" s="2015">
        <f t="shared" si="44"/>
        <v>2.9523809523809526</v>
      </c>
      <c r="H296" s="2607">
        <f t="shared" si="45"/>
        <v>8</v>
      </c>
      <c r="I296" s="646" t="s">
        <v>335</v>
      </c>
      <c r="J296" s="673"/>
      <c r="K296" s="2651"/>
    </row>
    <row r="297" spans="1:11" hidden="1" outlineLevel="2" x14ac:dyDescent="0.15">
      <c r="A297" s="630" t="str">
        <f t="shared" si="46"/>
        <v>Intel Xeon 2 core (1 chip) 2667 MHz</v>
      </c>
      <c r="B297" s="660" t="s">
        <v>436</v>
      </c>
      <c r="C297" s="2024">
        <v>2</v>
      </c>
      <c r="D297" s="52">
        <v>2</v>
      </c>
      <c r="E297" s="639">
        <v>2667</v>
      </c>
      <c r="F297" s="2011">
        <v>12.761904761904761</v>
      </c>
      <c r="G297" s="2015">
        <f t="shared" si="44"/>
        <v>6.3809523809523805</v>
      </c>
      <c r="H297" s="2607">
        <f t="shared" si="45"/>
        <v>1</v>
      </c>
      <c r="I297" s="646" t="s">
        <v>335</v>
      </c>
      <c r="J297" s="673"/>
      <c r="K297" s="2651"/>
    </row>
    <row r="298" spans="1:11" hidden="1" outlineLevel="2" x14ac:dyDescent="0.15">
      <c r="A298" s="630" t="str">
        <f t="shared" si="46"/>
        <v>Intel Xeon 1 core (1 chip) 2800 MHz</v>
      </c>
      <c r="B298" s="660" t="s">
        <v>436</v>
      </c>
      <c r="C298" s="2024">
        <v>1</v>
      </c>
      <c r="D298" s="51">
        <v>1</v>
      </c>
      <c r="E298" s="639">
        <v>2800</v>
      </c>
      <c r="F298" s="2011">
        <v>8.428571428571427</v>
      </c>
      <c r="G298" s="2015">
        <f t="shared" si="44"/>
        <v>8.428571428571427</v>
      </c>
      <c r="H298" s="2607">
        <f t="shared" si="45"/>
        <v>1</v>
      </c>
      <c r="I298" s="646" t="s">
        <v>335</v>
      </c>
      <c r="J298" s="673"/>
      <c r="K298" s="2651"/>
    </row>
    <row r="299" spans="1:11" hidden="1" outlineLevel="2" x14ac:dyDescent="0.15">
      <c r="A299" s="630" t="str">
        <f t="shared" si="46"/>
        <v>Intel PentiumD 2 core (1 chip) 2800 MHz</v>
      </c>
      <c r="B299" s="660" t="s">
        <v>437</v>
      </c>
      <c r="C299" s="2024">
        <v>2</v>
      </c>
      <c r="D299" s="51">
        <v>2</v>
      </c>
      <c r="E299" s="639">
        <v>2800</v>
      </c>
      <c r="F299" s="2011">
        <v>17.100000000000001</v>
      </c>
      <c r="G299" s="2015">
        <f t="shared" si="44"/>
        <v>8.5500000000000007</v>
      </c>
      <c r="H299" s="2607">
        <f t="shared" si="45"/>
        <v>1</v>
      </c>
      <c r="I299" s="646" t="s">
        <v>335</v>
      </c>
      <c r="J299" s="673"/>
      <c r="K299" s="2651"/>
    </row>
    <row r="300" spans="1:11" hidden="1" outlineLevel="2" x14ac:dyDescent="0.15">
      <c r="A300" s="630" t="str">
        <f t="shared" si="46"/>
        <v>Intel Xeon 2 core (2 chip) 2800 MHz</v>
      </c>
      <c r="B300" s="660" t="s">
        <v>436</v>
      </c>
      <c r="C300" s="2024">
        <v>2</v>
      </c>
      <c r="D300" s="51">
        <v>1</v>
      </c>
      <c r="E300" s="639">
        <v>2800</v>
      </c>
      <c r="F300" s="2011">
        <v>14.952380952380951</v>
      </c>
      <c r="G300" s="2015">
        <f t="shared" si="44"/>
        <v>7.4761904761904754</v>
      </c>
      <c r="H300" s="2607">
        <f t="shared" si="45"/>
        <v>2</v>
      </c>
      <c r="I300" s="646" t="s">
        <v>335</v>
      </c>
      <c r="J300" s="673"/>
      <c r="K300" s="2651"/>
    </row>
    <row r="301" spans="1:11" hidden="1" outlineLevel="2" x14ac:dyDescent="0.15">
      <c r="A301" s="630" t="str">
        <f t="shared" si="46"/>
        <v>Intel Xeon 2 core (1 chip) 2800 MHz</v>
      </c>
      <c r="B301" s="660" t="s">
        <v>436</v>
      </c>
      <c r="C301" s="2024">
        <v>2</v>
      </c>
      <c r="D301" s="51">
        <v>2</v>
      </c>
      <c r="E301" s="639">
        <v>2800</v>
      </c>
      <c r="F301" s="2011">
        <v>17.100000000000001</v>
      </c>
      <c r="G301" s="2015">
        <f t="shared" si="44"/>
        <v>8.5500000000000007</v>
      </c>
      <c r="H301" s="2607">
        <f t="shared" si="45"/>
        <v>1</v>
      </c>
      <c r="I301" s="646" t="s">
        <v>335</v>
      </c>
      <c r="J301" s="673"/>
      <c r="K301" s="2651"/>
    </row>
    <row r="302" spans="1:11" hidden="1" outlineLevel="2" x14ac:dyDescent="0.15">
      <c r="A302" s="630" t="str">
        <f t="shared" si="46"/>
        <v>Intel Xeon 4 core (2 chip) 2800 MHz</v>
      </c>
      <c r="B302" s="660" t="s">
        <v>436</v>
      </c>
      <c r="C302" s="2024">
        <v>4</v>
      </c>
      <c r="D302" s="51">
        <v>2</v>
      </c>
      <c r="E302" s="639">
        <v>2800</v>
      </c>
      <c r="F302" s="2011">
        <v>28.19047619047619</v>
      </c>
      <c r="G302" s="2015">
        <f t="shared" si="44"/>
        <v>7.0476190476190474</v>
      </c>
      <c r="H302" s="2607">
        <f t="shared" si="45"/>
        <v>2</v>
      </c>
      <c r="I302" s="646" t="s">
        <v>335</v>
      </c>
      <c r="J302" s="673"/>
      <c r="K302" s="2651"/>
    </row>
    <row r="303" spans="1:11" hidden="1" outlineLevel="2" x14ac:dyDescent="0.15">
      <c r="A303" s="630" t="str">
        <f t="shared" si="46"/>
        <v>Intel PentiumD 2 core (1 chip) 3000 MHz</v>
      </c>
      <c r="B303" s="660" t="s">
        <v>437</v>
      </c>
      <c r="C303" s="2024">
        <v>2</v>
      </c>
      <c r="D303" s="51">
        <v>2</v>
      </c>
      <c r="E303" s="639">
        <v>3000</v>
      </c>
      <c r="F303" s="2011">
        <v>18</v>
      </c>
      <c r="G303" s="2015">
        <f t="shared" si="44"/>
        <v>9</v>
      </c>
      <c r="H303" s="2607">
        <f t="shared" si="45"/>
        <v>1</v>
      </c>
      <c r="I303" s="646" t="s">
        <v>335</v>
      </c>
      <c r="J303" s="673"/>
      <c r="K303" s="2651"/>
    </row>
    <row r="304" spans="1:11" hidden="1" outlineLevel="2" x14ac:dyDescent="0.15">
      <c r="A304" s="630" t="str">
        <f t="shared" si="46"/>
        <v>Intel Xeon 1 core (1 chip) 3200 MHz</v>
      </c>
      <c r="B304" s="660" t="s">
        <v>436</v>
      </c>
      <c r="C304" s="2024">
        <v>1</v>
      </c>
      <c r="D304" s="52">
        <v>1</v>
      </c>
      <c r="E304" s="639">
        <v>3200</v>
      </c>
      <c r="F304" s="2011">
        <v>9.3809523809523796</v>
      </c>
      <c r="G304" s="2015">
        <f t="shared" si="44"/>
        <v>9.3809523809523796</v>
      </c>
      <c r="H304" s="2607">
        <f t="shared" si="45"/>
        <v>1</v>
      </c>
      <c r="I304" s="646" t="s">
        <v>335</v>
      </c>
      <c r="J304" s="673"/>
      <c r="K304" s="2651"/>
    </row>
    <row r="305" spans="1:11" hidden="1" outlineLevel="2" x14ac:dyDescent="0.15">
      <c r="A305" s="630" t="str">
        <f t="shared" si="46"/>
        <v>Intel Xeon 2 core (2 chip) 3200 MHz</v>
      </c>
      <c r="B305" s="660" t="s">
        <v>436</v>
      </c>
      <c r="C305" s="2024">
        <v>2</v>
      </c>
      <c r="D305" s="52">
        <v>1</v>
      </c>
      <c r="E305" s="639">
        <v>3200</v>
      </c>
      <c r="F305" s="2011">
        <v>17.666666666666668</v>
      </c>
      <c r="G305" s="2015">
        <f t="shared" si="44"/>
        <v>8.8333333333333339</v>
      </c>
      <c r="H305" s="2607">
        <f t="shared" si="45"/>
        <v>2</v>
      </c>
      <c r="I305" s="646" t="s">
        <v>335</v>
      </c>
      <c r="J305" s="673"/>
      <c r="K305" s="2651"/>
    </row>
    <row r="306" spans="1:11" hidden="1" outlineLevel="1" collapsed="1" x14ac:dyDescent="0.15">
      <c r="A306" s="627" t="s">
        <v>0</v>
      </c>
      <c r="B306" s="662" t="str">
        <f>A306</f>
        <v xml:space="preserve"> ==== AMD Windows Server Candidates ======</v>
      </c>
      <c r="C306" s="657"/>
      <c r="D306" s="2027"/>
      <c r="E306" s="2028"/>
      <c r="F306" s="2013"/>
      <c r="G306" s="2018"/>
      <c r="H306" s="2605"/>
      <c r="I306" s="644"/>
      <c r="J306" s="673"/>
      <c r="K306" s="2651"/>
    </row>
    <row r="307" spans="1:11" hidden="1" outlineLevel="1" x14ac:dyDescent="0.15">
      <c r="A307" s="628" t="s">
        <v>879</v>
      </c>
      <c r="B307" s="659" t="str">
        <f>A307</f>
        <v xml:space="preserve"> ==== 2013 Server Platforms ====</v>
      </c>
      <c r="C307" s="656"/>
      <c r="D307" s="2022"/>
      <c r="E307" s="2023"/>
      <c r="F307" s="2010"/>
      <c r="G307" s="2017"/>
      <c r="H307" s="2606"/>
      <c r="I307" s="645"/>
      <c r="J307" s="673"/>
      <c r="K307" s="2651"/>
    </row>
    <row r="308" spans="1:11" hidden="1" outlineLevel="2" x14ac:dyDescent="0.15">
      <c r="A308" s="632" t="str">
        <f>CONCATENATE(B308," ",C308," core (",H308," chip) ",E308," MHz")</f>
        <v>AMD Opteron 6338P 24 core (2 chip) 2300 MHz</v>
      </c>
      <c r="B308" s="2029" t="s">
        <v>884</v>
      </c>
      <c r="C308" s="2031">
        <v>24</v>
      </c>
      <c r="D308" s="52">
        <v>12</v>
      </c>
      <c r="E308" s="639">
        <v>2300</v>
      </c>
      <c r="F308" s="2011">
        <v>357</v>
      </c>
      <c r="G308" s="2015">
        <f>F308/C308</f>
        <v>14.875</v>
      </c>
      <c r="H308" s="2604">
        <f>C308/D308</f>
        <v>2</v>
      </c>
      <c r="I308" s="646" t="s">
        <v>283</v>
      </c>
      <c r="J308" s="673"/>
      <c r="K308" s="2651"/>
    </row>
    <row r="309" spans="1:11" hidden="1" outlineLevel="2" x14ac:dyDescent="0.15">
      <c r="A309" s="632" t="str">
        <f>CONCATENATE(B309," ",C309," core (",H309," chip) ",E309," MHz")</f>
        <v>AMD Opteron 6338P 48 core (4 chip) 2300 MHz</v>
      </c>
      <c r="B309" s="2029" t="s">
        <v>884</v>
      </c>
      <c r="C309" s="2031">
        <v>48</v>
      </c>
      <c r="D309" s="52">
        <v>12</v>
      </c>
      <c r="E309" s="639">
        <v>2300</v>
      </c>
      <c r="F309" s="2011">
        <v>708</v>
      </c>
      <c r="G309" s="2015">
        <f>F309/C309</f>
        <v>14.75</v>
      </c>
      <c r="H309" s="2604">
        <f>C309/D309</f>
        <v>4</v>
      </c>
      <c r="I309" s="646" t="s">
        <v>283</v>
      </c>
      <c r="J309" s="673"/>
      <c r="K309" s="2651"/>
    </row>
    <row r="310" spans="1:11" hidden="1" outlineLevel="2" x14ac:dyDescent="0.15">
      <c r="A310" s="632" t="str">
        <f>CONCATENATE(B310," ",C310," core (",H310," chip) ",E310," MHz")</f>
        <v>AMD Opteron 6370P 32 core (2 chip) 2000 MHz</v>
      </c>
      <c r="B310" s="2029" t="s">
        <v>883</v>
      </c>
      <c r="C310" s="2031">
        <v>32</v>
      </c>
      <c r="D310" s="52">
        <v>16</v>
      </c>
      <c r="E310" s="639">
        <v>2000</v>
      </c>
      <c r="F310" s="2011">
        <v>410</v>
      </c>
      <c r="G310" s="2015">
        <f>F310/C310</f>
        <v>12.8125</v>
      </c>
      <c r="H310" s="2604">
        <f>C310/D310</f>
        <v>2</v>
      </c>
      <c r="I310" s="646" t="s">
        <v>283</v>
      </c>
      <c r="J310" s="673"/>
      <c r="K310" s="2651"/>
    </row>
    <row r="311" spans="1:11" hidden="1" outlineLevel="2" x14ac:dyDescent="0.15">
      <c r="A311" s="632" t="str">
        <f>CONCATENATE(B311," ",C311," core (",H311," chip) ",E311," MHz")</f>
        <v>AMD Opteron 6370P 64 core (4 chip) 2000 MHz</v>
      </c>
      <c r="B311" s="2029" t="s">
        <v>883</v>
      </c>
      <c r="C311" s="2031">
        <v>64</v>
      </c>
      <c r="D311" s="52">
        <v>16</v>
      </c>
      <c r="E311" s="639">
        <v>2000</v>
      </c>
      <c r="F311" s="2011">
        <v>817</v>
      </c>
      <c r="G311" s="2015">
        <f>F311/C311</f>
        <v>12.765625</v>
      </c>
      <c r="H311" s="2604">
        <f>C311/D311</f>
        <v>4</v>
      </c>
      <c r="I311" s="646" t="s">
        <v>283</v>
      </c>
      <c r="J311" s="673"/>
      <c r="K311" s="2651"/>
    </row>
    <row r="312" spans="1:11" hidden="1" outlineLevel="1" collapsed="1" x14ac:dyDescent="0.15">
      <c r="A312" s="628" t="s">
        <v>879</v>
      </c>
      <c r="B312" s="659" t="str">
        <f>A312</f>
        <v xml:space="preserve"> ==== 2013 Server Platforms ====</v>
      </c>
      <c r="C312" s="656"/>
      <c r="D312" s="2022"/>
      <c r="E312" s="2023"/>
      <c r="F312" s="2010"/>
      <c r="G312" s="2017"/>
      <c r="H312" s="2606"/>
      <c r="I312" s="645"/>
      <c r="J312" s="673"/>
      <c r="K312" s="2651"/>
    </row>
    <row r="313" spans="1:11" hidden="1" outlineLevel="2" x14ac:dyDescent="0.15">
      <c r="A313" s="632" t="str">
        <f t="shared" ref="A313:A320" si="47">CONCATENATE(B313," ",C313," core (",H313," chip) ",E313," MHz")</f>
        <v>AMD Opteron 6309 4 core (1 chip) 3500 MHz</v>
      </c>
      <c r="B313" s="2029" t="s">
        <v>890</v>
      </c>
      <c r="C313" s="2031">
        <v>4</v>
      </c>
      <c r="D313" s="52">
        <v>4</v>
      </c>
      <c r="E313" s="639">
        <v>3500</v>
      </c>
      <c r="F313" s="2011">
        <v>88.6</v>
      </c>
      <c r="G313" s="2015">
        <f t="shared" ref="G313:G320" si="48">F313/C313</f>
        <v>22.15</v>
      </c>
      <c r="H313" s="2604">
        <f t="shared" ref="H313:H320" si="49">C313/D313</f>
        <v>1</v>
      </c>
      <c r="I313" s="646" t="s">
        <v>283</v>
      </c>
      <c r="J313" s="673"/>
      <c r="K313" s="2651"/>
    </row>
    <row r="314" spans="1:11" hidden="1" outlineLevel="2" x14ac:dyDescent="0.15">
      <c r="A314" s="632" t="str">
        <f t="shared" si="47"/>
        <v>AMD Opteron 6308 8 core (2 chip) 3500 MHz</v>
      </c>
      <c r="B314" s="2029" t="s">
        <v>888</v>
      </c>
      <c r="C314" s="2031">
        <v>8</v>
      </c>
      <c r="D314" s="52">
        <v>4</v>
      </c>
      <c r="E314" s="639">
        <v>3500</v>
      </c>
      <c r="F314" s="2011">
        <v>178</v>
      </c>
      <c r="G314" s="2015">
        <f t="shared" si="48"/>
        <v>22.25</v>
      </c>
      <c r="H314" s="2604">
        <f t="shared" si="49"/>
        <v>2</v>
      </c>
      <c r="I314" s="646" t="s">
        <v>283</v>
      </c>
      <c r="J314" s="673"/>
      <c r="K314" s="2651"/>
    </row>
    <row r="315" spans="1:11" hidden="1" outlineLevel="2" x14ac:dyDescent="0.15">
      <c r="A315" s="632" t="str">
        <f t="shared" si="47"/>
        <v>AMD Opteron 6308 16 core (4 chip) 3500 MHz</v>
      </c>
      <c r="B315" s="2029" t="s">
        <v>888</v>
      </c>
      <c r="C315" s="2031">
        <v>16</v>
      </c>
      <c r="D315" s="52">
        <v>4</v>
      </c>
      <c r="E315" s="639">
        <v>3500</v>
      </c>
      <c r="F315" s="2011">
        <v>355</v>
      </c>
      <c r="G315" s="2015">
        <f t="shared" si="48"/>
        <v>22.1875</v>
      </c>
      <c r="H315" s="2604">
        <f t="shared" si="49"/>
        <v>4</v>
      </c>
      <c r="I315" s="646" t="s">
        <v>283</v>
      </c>
      <c r="J315" s="673"/>
      <c r="K315" s="2651"/>
    </row>
    <row r="316" spans="1:11" hidden="1" outlineLevel="2" x14ac:dyDescent="0.15">
      <c r="A316" s="632" t="str">
        <f t="shared" si="47"/>
        <v>AMD Opteron 4340 12 core (2 chip) 3400 MHz</v>
      </c>
      <c r="B316" s="2029" t="s">
        <v>889</v>
      </c>
      <c r="C316" s="2031">
        <v>12</v>
      </c>
      <c r="D316" s="52">
        <v>6</v>
      </c>
      <c r="E316" s="639">
        <v>3400</v>
      </c>
      <c r="F316" s="2011">
        <v>245</v>
      </c>
      <c r="G316" s="2015">
        <f t="shared" si="48"/>
        <v>20.416666666666668</v>
      </c>
      <c r="H316" s="2604">
        <f t="shared" si="49"/>
        <v>2</v>
      </c>
      <c r="I316" s="646" t="s">
        <v>283</v>
      </c>
      <c r="J316" s="673"/>
      <c r="K316" s="2651"/>
    </row>
    <row r="317" spans="1:11" hidden="1" outlineLevel="2" x14ac:dyDescent="0.15">
      <c r="A317" s="632" t="str">
        <f t="shared" si="47"/>
        <v>AMD Opteron 6328 32 core (4 chip) 3200 MHz</v>
      </c>
      <c r="B317" s="2029" t="s">
        <v>887</v>
      </c>
      <c r="C317" s="2031">
        <v>32</v>
      </c>
      <c r="D317" s="52">
        <v>8</v>
      </c>
      <c r="E317" s="639">
        <v>3200</v>
      </c>
      <c r="F317" s="2011">
        <v>650</v>
      </c>
      <c r="G317" s="2015">
        <f t="shared" si="48"/>
        <v>20.3125</v>
      </c>
      <c r="H317" s="2604">
        <f t="shared" si="49"/>
        <v>4</v>
      </c>
      <c r="I317" s="646" t="s">
        <v>283</v>
      </c>
      <c r="J317" s="673"/>
      <c r="K317" s="2651"/>
    </row>
    <row r="318" spans="1:11" hidden="1" outlineLevel="2" x14ac:dyDescent="0.15">
      <c r="A318" s="632" t="str">
        <f t="shared" si="47"/>
        <v>AMD Opteron 6348 24 core (2 chip) 2800 MHz</v>
      </c>
      <c r="B318" s="2029" t="s">
        <v>886</v>
      </c>
      <c r="C318" s="2031">
        <v>24</v>
      </c>
      <c r="D318" s="52">
        <v>12</v>
      </c>
      <c r="E318" s="639">
        <v>2800</v>
      </c>
      <c r="F318" s="2011">
        <v>427</v>
      </c>
      <c r="G318" s="2015">
        <f t="shared" si="48"/>
        <v>17.791666666666668</v>
      </c>
      <c r="H318" s="2604">
        <f t="shared" si="49"/>
        <v>2</v>
      </c>
      <c r="I318" s="646" t="s">
        <v>283</v>
      </c>
      <c r="J318" s="673"/>
      <c r="K318" s="2651"/>
    </row>
    <row r="319" spans="1:11" hidden="1" outlineLevel="2" x14ac:dyDescent="0.15">
      <c r="A319" s="632" t="str">
        <f t="shared" si="47"/>
        <v>AMD Opteron 6348 48 core (4 chip) 2800 MHz</v>
      </c>
      <c r="B319" s="2029" t="s">
        <v>886</v>
      </c>
      <c r="C319" s="2031">
        <v>48</v>
      </c>
      <c r="D319" s="52">
        <v>12</v>
      </c>
      <c r="E319" s="639">
        <v>2800</v>
      </c>
      <c r="F319" s="2011">
        <v>835</v>
      </c>
      <c r="G319" s="2015">
        <f t="shared" si="48"/>
        <v>17.395833333333332</v>
      </c>
      <c r="H319" s="2604">
        <f t="shared" si="49"/>
        <v>4</v>
      </c>
      <c r="I319" s="646" t="s">
        <v>283</v>
      </c>
      <c r="J319" s="673"/>
      <c r="K319" s="2651"/>
    </row>
    <row r="320" spans="1:11" hidden="1" outlineLevel="2" x14ac:dyDescent="0.15">
      <c r="A320" s="632" t="str">
        <f t="shared" si="47"/>
        <v>AMD Opteron 6386 SE 64 core (4 chip) 2800 MHz</v>
      </c>
      <c r="B320" s="2029" t="s">
        <v>885</v>
      </c>
      <c r="C320" s="2031">
        <v>64</v>
      </c>
      <c r="D320" s="52">
        <v>16</v>
      </c>
      <c r="E320" s="639">
        <v>2800</v>
      </c>
      <c r="F320" s="2011">
        <v>1070</v>
      </c>
      <c r="G320" s="2015">
        <f t="shared" si="48"/>
        <v>16.71875</v>
      </c>
      <c r="H320" s="2604">
        <f t="shared" si="49"/>
        <v>4</v>
      </c>
      <c r="I320" s="646" t="s">
        <v>283</v>
      </c>
      <c r="J320" s="673"/>
      <c r="K320" s="2651"/>
    </row>
    <row r="321" spans="1:11" hidden="1" outlineLevel="1" collapsed="1" x14ac:dyDescent="0.15">
      <c r="A321" s="628" t="s">
        <v>880</v>
      </c>
      <c r="B321" s="659" t="str">
        <f>A321</f>
        <v xml:space="preserve"> ==== 2012 Server Platforms ====</v>
      </c>
      <c r="C321" s="656"/>
      <c r="D321" s="2022"/>
      <c r="E321" s="2023"/>
      <c r="F321" s="2010"/>
      <c r="G321" s="2017"/>
      <c r="H321" s="2606"/>
      <c r="I321" s="645"/>
      <c r="J321" s="673"/>
      <c r="K321" s="2651"/>
    </row>
    <row r="322" spans="1:11" hidden="1" outlineLevel="2" x14ac:dyDescent="0.15">
      <c r="A322" s="632" t="str">
        <f t="shared" ref="A322:A328" si="50">CONCATENATE(B322," ",C322," core (",H322," chip) ",E322," MHz")</f>
        <v>AMD Phenom II X4 B97 4 core (1 chip) 3200 MHz</v>
      </c>
      <c r="B322" s="2029" t="s">
        <v>896</v>
      </c>
      <c r="C322" s="2031">
        <v>4</v>
      </c>
      <c r="D322" s="52">
        <v>4</v>
      </c>
      <c r="E322" s="639">
        <v>3200</v>
      </c>
      <c r="F322" s="2011">
        <v>81</v>
      </c>
      <c r="G322" s="2015">
        <f t="shared" ref="G322:G328" si="51">F322/C322</f>
        <v>20.25</v>
      </c>
      <c r="H322" s="2604">
        <f t="shared" ref="H322:H328" si="52">C322/D322</f>
        <v>1</v>
      </c>
      <c r="I322" s="646" t="s">
        <v>283</v>
      </c>
      <c r="J322" s="673"/>
      <c r="K322" s="2651"/>
    </row>
    <row r="323" spans="1:11" hidden="1" outlineLevel="2" x14ac:dyDescent="0.15">
      <c r="A323" s="632" t="str">
        <f t="shared" si="50"/>
        <v>AMD Opteron 4240 12 core (2 chip) 3400 MHz</v>
      </c>
      <c r="B323" s="2029" t="s">
        <v>894</v>
      </c>
      <c r="C323" s="2031">
        <v>12</v>
      </c>
      <c r="D323" s="52">
        <v>6</v>
      </c>
      <c r="E323" s="639">
        <v>3400</v>
      </c>
      <c r="F323" s="2011">
        <v>228</v>
      </c>
      <c r="G323" s="2015">
        <f t="shared" si="51"/>
        <v>19</v>
      </c>
      <c r="H323" s="2604">
        <f t="shared" si="52"/>
        <v>2</v>
      </c>
      <c r="I323" s="646" t="s">
        <v>283</v>
      </c>
      <c r="J323" s="673"/>
      <c r="K323" s="2651"/>
    </row>
    <row r="324" spans="1:11" hidden="1" outlineLevel="2" x14ac:dyDescent="0.15">
      <c r="A324" s="632" t="str">
        <f t="shared" si="50"/>
        <v>AMD Opteron 6328 16 core (2 chip) 3200 MHz</v>
      </c>
      <c r="B324" s="2029" t="s">
        <v>887</v>
      </c>
      <c r="C324" s="2031">
        <v>16</v>
      </c>
      <c r="D324" s="52">
        <v>8</v>
      </c>
      <c r="E324" s="639">
        <v>3200</v>
      </c>
      <c r="F324" s="2011">
        <v>327</v>
      </c>
      <c r="G324" s="2015">
        <f t="shared" si="51"/>
        <v>20.4375</v>
      </c>
      <c r="H324" s="2604">
        <f t="shared" si="52"/>
        <v>2</v>
      </c>
      <c r="I324" s="646" t="s">
        <v>283</v>
      </c>
      <c r="J324" s="673"/>
      <c r="K324" s="2651"/>
    </row>
    <row r="325" spans="1:11" hidden="1" outlineLevel="2" x14ac:dyDescent="0.15">
      <c r="A325" s="632" t="str">
        <f t="shared" si="50"/>
        <v>AMD Opteron 6220 32 core (4 chip) 3000 MHz</v>
      </c>
      <c r="B325" s="2029" t="s">
        <v>893</v>
      </c>
      <c r="C325" s="2031">
        <v>32</v>
      </c>
      <c r="D325" s="52">
        <v>8</v>
      </c>
      <c r="E325" s="639">
        <v>3000</v>
      </c>
      <c r="F325" s="2011">
        <v>554</v>
      </c>
      <c r="G325" s="2015">
        <f t="shared" si="51"/>
        <v>17.3125</v>
      </c>
      <c r="H325" s="2604">
        <f t="shared" si="52"/>
        <v>4</v>
      </c>
      <c r="I325" s="646" t="s">
        <v>283</v>
      </c>
      <c r="J325" s="673"/>
      <c r="K325" s="2651"/>
    </row>
    <row r="326" spans="1:11" hidden="1" outlineLevel="2" x14ac:dyDescent="0.15">
      <c r="A326" s="632" t="str">
        <f t="shared" si="50"/>
        <v>AMD Opteron 6344 24 core (2 chip) 2600 MHz</v>
      </c>
      <c r="B326" s="2029" t="s">
        <v>892</v>
      </c>
      <c r="C326" s="2031">
        <v>24</v>
      </c>
      <c r="D326" s="52">
        <v>12</v>
      </c>
      <c r="E326" s="639">
        <v>2600</v>
      </c>
      <c r="F326" s="2011">
        <v>395</v>
      </c>
      <c r="G326" s="2015">
        <f t="shared" si="51"/>
        <v>16.458333333333332</v>
      </c>
      <c r="H326" s="2604">
        <f t="shared" si="52"/>
        <v>2</v>
      </c>
      <c r="I326" s="646" t="s">
        <v>283</v>
      </c>
      <c r="J326" s="673"/>
      <c r="K326" s="2651"/>
    </row>
    <row r="327" spans="1:11" hidden="1" outlineLevel="2" x14ac:dyDescent="0.15">
      <c r="A327" s="632" t="str">
        <f t="shared" si="50"/>
        <v>AMD Opteron 6344 48 core (4 chip) 2600 MHz</v>
      </c>
      <c r="B327" s="2029" t="s">
        <v>892</v>
      </c>
      <c r="C327" s="2031">
        <v>48</v>
      </c>
      <c r="D327" s="52">
        <v>12</v>
      </c>
      <c r="E327" s="639">
        <v>2600</v>
      </c>
      <c r="F327" s="2011">
        <v>785</v>
      </c>
      <c r="G327" s="2015">
        <f t="shared" si="51"/>
        <v>16.354166666666668</v>
      </c>
      <c r="H327" s="2604">
        <f t="shared" si="52"/>
        <v>4</v>
      </c>
      <c r="I327" s="646" t="s">
        <v>283</v>
      </c>
      <c r="J327" s="673"/>
      <c r="K327" s="2651"/>
    </row>
    <row r="328" spans="1:11" hidden="1" outlineLevel="2" x14ac:dyDescent="0.15">
      <c r="A328" s="632" t="str">
        <f t="shared" si="50"/>
        <v>AMD Opteron 6380 64 core (4 chip) 2500 MHz</v>
      </c>
      <c r="B328" s="2029" t="s">
        <v>891</v>
      </c>
      <c r="C328" s="2031">
        <v>64</v>
      </c>
      <c r="D328" s="52">
        <v>16</v>
      </c>
      <c r="E328" s="639">
        <v>2500</v>
      </c>
      <c r="F328" s="2011">
        <v>975</v>
      </c>
      <c r="G328" s="2015">
        <f t="shared" si="51"/>
        <v>15.234375</v>
      </c>
      <c r="H328" s="2604">
        <f t="shared" si="52"/>
        <v>4</v>
      </c>
      <c r="I328" s="646" t="s">
        <v>283</v>
      </c>
      <c r="J328" s="673"/>
      <c r="K328" s="2651"/>
    </row>
    <row r="329" spans="1:11" hidden="1" outlineLevel="1" collapsed="1" x14ac:dyDescent="0.15">
      <c r="A329" s="628" t="s">
        <v>881</v>
      </c>
      <c r="B329" s="659" t="str">
        <f>A329</f>
        <v xml:space="preserve"> ==== 2011 Server Platforms ====</v>
      </c>
      <c r="C329" s="656"/>
      <c r="D329" s="2022"/>
      <c r="E329" s="2023"/>
      <c r="F329" s="2010"/>
      <c r="G329" s="2017"/>
      <c r="H329" s="2606"/>
      <c r="I329" s="645"/>
      <c r="J329" s="673"/>
      <c r="K329" s="2651"/>
    </row>
    <row r="330" spans="1:11" hidden="1" outlineLevel="2" x14ac:dyDescent="0.15">
      <c r="A330" s="632" t="str">
        <f t="shared" ref="A330:A337" si="53">CONCATENATE(B330," ",C330," core (",H330," chip) ",E330," MHz")</f>
        <v>AMD Phenom II X4 975 4 core (1 chip) 3600 MHz</v>
      </c>
      <c r="B330" s="2029" t="s">
        <v>897</v>
      </c>
      <c r="C330" s="2031">
        <v>4</v>
      </c>
      <c r="D330" s="52">
        <v>4</v>
      </c>
      <c r="E330" s="639">
        <v>3600</v>
      </c>
      <c r="F330" s="2011">
        <v>82.2</v>
      </c>
      <c r="G330" s="2015">
        <f t="shared" ref="G330:G337" si="54">F330/C330</f>
        <v>20.55</v>
      </c>
      <c r="H330" s="2604">
        <f t="shared" ref="H330:H337" si="55">C330/D330</f>
        <v>1</v>
      </c>
      <c r="I330" s="646" t="s">
        <v>283</v>
      </c>
      <c r="J330" s="673"/>
      <c r="K330" s="2651"/>
    </row>
    <row r="331" spans="1:11" hidden="1" outlineLevel="2" x14ac:dyDescent="0.15">
      <c r="A331" s="632" t="str">
        <f t="shared" si="53"/>
        <v>AMD Opteron 6204 8 core (2 chip) 3300 MHz</v>
      </c>
      <c r="B331" s="2029" t="s">
        <v>895</v>
      </c>
      <c r="C331" s="2031">
        <v>8</v>
      </c>
      <c r="D331" s="52">
        <v>4</v>
      </c>
      <c r="E331" s="639">
        <v>3300</v>
      </c>
      <c r="F331" s="2011">
        <v>160</v>
      </c>
      <c r="G331" s="2015">
        <f t="shared" si="54"/>
        <v>20</v>
      </c>
      <c r="H331" s="2604">
        <f t="shared" si="55"/>
        <v>2</v>
      </c>
      <c r="I331" s="646" t="s">
        <v>283</v>
      </c>
      <c r="J331" s="673"/>
      <c r="K331" s="2651"/>
    </row>
    <row r="332" spans="1:11" hidden="1" outlineLevel="2" x14ac:dyDescent="0.15">
      <c r="A332" s="632" t="str">
        <f t="shared" si="53"/>
        <v>AMD Opteron 4184 12 core (2 chip) 2800 MHz</v>
      </c>
      <c r="B332" s="2029" t="s">
        <v>898</v>
      </c>
      <c r="C332" s="2031">
        <v>12</v>
      </c>
      <c r="D332" s="52">
        <v>6</v>
      </c>
      <c r="E332" s="639">
        <v>2800</v>
      </c>
      <c r="F332" s="2011">
        <v>205</v>
      </c>
      <c r="G332" s="2015">
        <f t="shared" si="54"/>
        <v>17.083333333333332</v>
      </c>
      <c r="H332" s="2604">
        <f t="shared" si="55"/>
        <v>2</v>
      </c>
      <c r="I332" s="646" t="s">
        <v>283</v>
      </c>
      <c r="J332" s="673"/>
      <c r="K332" s="2651"/>
    </row>
    <row r="333" spans="1:11" hidden="1" outlineLevel="2" x14ac:dyDescent="0.15">
      <c r="A333" s="632" t="str">
        <f t="shared" si="53"/>
        <v>AMD Opteron 6204 16 core (2 chip) 3300 MHz</v>
      </c>
      <c r="B333" s="2029" t="s">
        <v>895</v>
      </c>
      <c r="C333" s="2031">
        <v>16</v>
      </c>
      <c r="D333" s="52">
        <v>8</v>
      </c>
      <c r="E333" s="639">
        <v>3300</v>
      </c>
      <c r="F333" s="2011">
        <v>310</v>
      </c>
      <c r="G333" s="2015">
        <f t="shared" si="54"/>
        <v>19.375</v>
      </c>
      <c r="H333" s="2604">
        <f t="shared" si="55"/>
        <v>2</v>
      </c>
      <c r="I333" s="646" t="s">
        <v>283</v>
      </c>
      <c r="J333" s="673"/>
      <c r="K333" s="2651"/>
    </row>
    <row r="334" spans="1:11" hidden="1" outlineLevel="2" x14ac:dyDescent="0.15">
      <c r="A334" s="632" t="str">
        <f t="shared" si="53"/>
        <v>AMD Opteron 6140 32 core (4 chip) 2600 MHz</v>
      </c>
      <c r="B334" s="2029" t="s">
        <v>900</v>
      </c>
      <c r="C334" s="2031">
        <v>32</v>
      </c>
      <c r="D334" s="52">
        <v>8</v>
      </c>
      <c r="E334" s="639">
        <v>2600</v>
      </c>
      <c r="F334" s="2011">
        <v>536</v>
      </c>
      <c r="G334" s="2015">
        <f t="shared" si="54"/>
        <v>16.75</v>
      </c>
      <c r="H334" s="2604">
        <f t="shared" si="55"/>
        <v>4</v>
      </c>
      <c r="I334" s="646" t="s">
        <v>283</v>
      </c>
      <c r="J334" s="673"/>
      <c r="K334" s="2651"/>
    </row>
    <row r="335" spans="1:11" hidden="1" outlineLevel="2" x14ac:dyDescent="0.15">
      <c r="A335" s="632" t="str">
        <f t="shared" si="53"/>
        <v>AMD Opteron 6180 SE 24 core (2 chip) 2500 MHz</v>
      </c>
      <c r="B335" s="2029" t="s">
        <v>899</v>
      </c>
      <c r="C335" s="2031">
        <v>24</v>
      </c>
      <c r="D335" s="52">
        <v>12</v>
      </c>
      <c r="E335" s="639">
        <v>2500</v>
      </c>
      <c r="F335" s="2011">
        <v>371</v>
      </c>
      <c r="G335" s="2015">
        <f t="shared" si="54"/>
        <v>15.458333333333334</v>
      </c>
      <c r="H335" s="2604">
        <f t="shared" si="55"/>
        <v>2</v>
      </c>
      <c r="I335" s="646" t="s">
        <v>283</v>
      </c>
      <c r="J335" s="673"/>
      <c r="K335" s="2651"/>
    </row>
    <row r="336" spans="1:11" hidden="1" outlineLevel="2" x14ac:dyDescent="0.15">
      <c r="A336" s="632" t="str">
        <f t="shared" si="53"/>
        <v>AMD Opteron 6238 48 core (4 chip) 2600 MHz</v>
      </c>
      <c r="B336" s="2029" t="s">
        <v>901</v>
      </c>
      <c r="C336" s="2031">
        <v>48</v>
      </c>
      <c r="D336" s="52">
        <v>12</v>
      </c>
      <c r="E336" s="639">
        <v>2600</v>
      </c>
      <c r="F336" s="2011">
        <v>728</v>
      </c>
      <c r="G336" s="2015">
        <f t="shared" si="54"/>
        <v>15.166666666666666</v>
      </c>
      <c r="H336" s="2604">
        <f t="shared" si="55"/>
        <v>4</v>
      </c>
      <c r="I336" s="646" t="s">
        <v>283</v>
      </c>
      <c r="J336" s="673"/>
      <c r="K336" s="2651"/>
    </row>
    <row r="337" spans="1:11" hidden="1" outlineLevel="2" x14ac:dyDescent="0.15">
      <c r="A337" s="632" t="str">
        <f t="shared" si="53"/>
        <v>AMD Opteron 6282 SE 64 core (4 chip) 2600 MHz</v>
      </c>
      <c r="B337" s="2029" t="s">
        <v>902</v>
      </c>
      <c r="C337" s="2031">
        <v>64</v>
      </c>
      <c r="D337" s="52">
        <v>16</v>
      </c>
      <c r="E337" s="639">
        <v>2600</v>
      </c>
      <c r="F337" s="2011">
        <v>923</v>
      </c>
      <c r="G337" s="2015">
        <f t="shared" si="54"/>
        <v>14.421875</v>
      </c>
      <c r="H337" s="2604">
        <f t="shared" si="55"/>
        <v>4</v>
      </c>
      <c r="I337" s="646" t="s">
        <v>283</v>
      </c>
      <c r="J337" s="673"/>
      <c r="K337" s="2651"/>
    </row>
    <row r="338" spans="1:11" hidden="1" outlineLevel="1" collapsed="1" x14ac:dyDescent="0.15">
      <c r="A338" s="628" t="s">
        <v>158</v>
      </c>
      <c r="B338" s="659" t="str">
        <f>A338</f>
        <v xml:space="preserve"> ==== 2010 Server Platforms ====</v>
      </c>
      <c r="C338" s="656"/>
      <c r="D338" s="2022"/>
      <c r="E338" s="2023"/>
      <c r="F338" s="2010"/>
      <c r="G338" s="2017"/>
      <c r="H338" s="2606"/>
      <c r="I338" s="645"/>
      <c r="J338" s="673"/>
      <c r="K338" s="2651"/>
    </row>
    <row r="339" spans="1:11" hidden="1" outlineLevel="2" x14ac:dyDescent="0.15">
      <c r="A339" s="632" t="str">
        <f>CONCATENATE(B339," ",C339," core (",H339," chip) ",E339," MHz")</f>
        <v>AMD Opt 6174 24 core (2 chip) 2200 MHz</v>
      </c>
      <c r="B339" s="2029" t="s">
        <v>189</v>
      </c>
      <c r="C339" s="2031">
        <v>24</v>
      </c>
      <c r="D339" s="52">
        <v>12</v>
      </c>
      <c r="E339" s="639">
        <v>2200</v>
      </c>
      <c r="F339" s="2011">
        <v>303</v>
      </c>
      <c r="G339" s="2015">
        <f>F339/C339</f>
        <v>12.625</v>
      </c>
      <c r="H339" s="2604">
        <f>C339/D339</f>
        <v>2</v>
      </c>
      <c r="I339" s="646" t="s">
        <v>283</v>
      </c>
      <c r="J339" s="673"/>
      <c r="K339" s="2651"/>
    </row>
    <row r="340" spans="1:11" hidden="1" outlineLevel="2" x14ac:dyDescent="0.15">
      <c r="A340" s="632" t="str">
        <f>CONCATENATE(B340," ",C340," core (",H340," chip) ",E340," MHz")</f>
        <v>AMD Opt 6176SE 24 core (2 chip) 2300 MHz</v>
      </c>
      <c r="B340" s="2029" t="s">
        <v>190</v>
      </c>
      <c r="C340" s="2031">
        <v>24</v>
      </c>
      <c r="D340" s="52">
        <v>12</v>
      </c>
      <c r="E340" s="639">
        <v>2300</v>
      </c>
      <c r="F340" s="2011">
        <v>353</v>
      </c>
      <c r="G340" s="2015">
        <f>F340/C340</f>
        <v>14.708333333333334</v>
      </c>
      <c r="H340" s="2604">
        <f>C340/D340</f>
        <v>2</v>
      </c>
      <c r="I340" s="646" t="s">
        <v>283</v>
      </c>
      <c r="J340" s="673"/>
      <c r="K340" s="2651"/>
    </row>
    <row r="341" spans="1:11" hidden="1" outlineLevel="2" x14ac:dyDescent="0.15">
      <c r="A341" s="632" t="str">
        <f>CONCATENATE(B341," ",C341," core (",H341," chip) ",E341," MHz")</f>
        <v>AMD Opt 6136 48 core (4 chip) 2200 MHz</v>
      </c>
      <c r="B341" s="2029" t="s">
        <v>882</v>
      </c>
      <c r="C341" s="2031">
        <v>48</v>
      </c>
      <c r="D341" s="52">
        <v>12</v>
      </c>
      <c r="E341" s="639">
        <v>2200</v>
      </c>
      <c r="F341" s="2011">
        <v>675</v>
      </c>
      <c r="G341" s="2015">
        <f>F341/C341</f>
        <v>14.0625</v>
      </c>
      <c r="H341" s="2604">
        <f>C341/D341</f>
        <v>4</v>
      </c>
      <c r="I341" s="646" t="s">
        <v>283</v>
      </c>
      <c r="J341" s="673"/>
      <c r="K341" s="2651"/>
    </row>
    <row r="342" spans="1:11" hidden="1" outlineLevel="2" x14ac:dyDescent="0.15">
      <c r="A342" s="632" t="str">
        <f>CONCATENATE(B342," ",C342," core (",H342," chip) ",E342," MHz")</f>
        <v>AMD Opt 6174 48 core (4 chip) 2200 MHz</v>
      </c>
      <c r="B342" s="2029" t="s">
        <v>189</v>
      </c>
      <c r="C342" s="2031">
        <v>48</v>
      </c>
      <c r="D342" s="52">
        <v>12</v>
      </c>
      <c r="E342" s="639">
        <v>2200</v>
      </c>
      <c r="F342" s="2011">
        <v>675</v>
      </c>
      <c r="G342" s="2015">
        <f>F342/C342</f>
        <v>14.0625</v>
      </c>
      <c r="H342" s="2604">
        <f>C342/D342</f>
        <v>4</v>
      </c>
      <c r="I342" s="646" t="s">
        <v>283</v>
      </c>
      <c r="J342" s="673"/>
      <c r="K342" s="2651"/>
    </row>
    <row r="343" spans="1:11" hidden="1" outlineLevel="2" x14ac:dyDescent="0.15">
      <c r="A343" s="632" t="str">
        <f t="shared" ref="A343:A353" si="56">CONCATENATE(B343," ",C343," core (",H343," chip) ",E343," MHz")</f>
        <v>AMD 1 core (1 chip) 2800 MHz</v>
      </c>
      <c r="B343" s="2029" t="s">
        <v>283</v>
      </c>
      <c r="C343" s="2031">
        <v>1</v>
      </c>
      <c r="D343" s="51">
        <v>1</v>
      </c>
      <c r="E343" s="639">
        <v>2800</v>
      </c>
      <c r="F343" s="2011">
        <v>10.595238095238095</v>
      </c>
      <c r="G343" s="2015">
        <f t="shared" ref="G343:G353" si="57">F343/C343</f>
        <v>10.595238095238095</v>
      </c>
      <c r="H343" s="2607">
        <f t="shared" ref="H343:H353" si="58">C343/D343</f>
        <v>1</v>
      </c>
      <c r="I343" s="646" t="s">
        <v>283</v>
      </c>
      <c r="J343" s="673"/>
      <c r="K343" s="2651"/>
    </row>
    <row r="344" spans="1:11" hidden="1" outlineLevel="2" x14ac:dyDescent="0.15">
      <c r="A344" s="632" t="str">
        <f t="shared" si="56"/>
        <v>AMD 2 core (2 chip) 2800 MHz</v>
      </c>
      <c r="B344" s="2029" t="s">
        <v>283</v>
      </c>
      <c r="C344" s="2031">
        <v>2</v>
      </c>
      <c r="D344" s="51">
        <v>1</v>
      </c>
      <c r="E344" s="639">
        <v>2800</v>
      </c>
      <c r="F344" s="2011">
        <v>21.19047619047619</v>
      </c>
      <c r="G344" s="2015">
        <f t="shared" si="57"/>
        <v>10.595238095238095</v>
      </c>
      <c r="H344" s="2607">
        <f t="shared" si="58"/>
        <v>2</v>
      </c>
      <c r="I344" s="646" t="s">
        <v>283</v>
      </c>
      <c r="J344" s="673"/>
      <c r="K344" s="2651"/>
    </row>
    <row r="345" spans="1:11" hidden="1" outlineLevel="2" x14ac:dyDescent="0.15">
      <c r="A345" s="632" t="str">
        <f t="shared" si="56"/>
        <v>AMD 4 core (4 chip) 2800 MHz</v>
      </c>
      <c r="B345" s="2029" t="s">
        <v>283</v>
      </c>
      <c r="C345" s="2031">
        <v>4</v>
      </c>
      <c r="D345" s="51">
        <v>1</v>
      </c>
      <c r="E345" s="639">
        <v>2800</v>
      </c>
      <c r="F345" s="2011">
        <v>40.333333333333336</v>
      </c>
      <c r="G345" s="2015">
        <f t="shared" si="57"/>
        <v>10.083333333333334</v>
      </c>
      <c r="H345" s="2607">
        <f t="shared" si="58"/>
        <v>4</v>
      </c>
      <c r="I345" s="646" t="s">
        <v>283</v>
      </c>
      <c r="J345" s="673"/>
      <c r="K345" s="2651"/>
    </row>
    <row r="346" spans="1:11" hidden="1" outlineLevel="2" x14ac:dyDescent="0.15">
      <c r="A346" s="632" t="str">
        <f t="shared" si="56"/>
        <v>AMD 2 core (1 chip) 2600 MHz</v>
      </c>
      <c r="B346" s="2029" t="s">
        <v>283</v>
      </c>
      <c r="C346" s="2031">
        <v>2</v>
      </c>
      <c r="D346" s="51">
        <v>2</v>
      </c>
      <c r="E346" s="639">
        <v>2600</v>
      </c>
      <c r="F346" s="2011">
        <v>19.380952380952383</v>
      </c>
      <c r="G346" s="2015">
        <f t="shared" si="57"/>
        <v>9.6904761904761916</v>
      </c>
      <c r="H346" s="2607">
        <f t="shared" si="58"/>
        <v>1</v>
      </c>
      <c r="I346" s="646" t="s">
        <v>283</v>
      </c>
      <c r="J346" s="673"/>
      <c r="K346" s="2651"/>
    </row>
    <row r="347" spans="1:11" hidden="1" outlineLevel="2" x14ac:dyDescent="0.15">
      <c r="A347" s="632" t="str">
        <f t="shared" si="56"/>
        <v>AMD 4 core (2 chip) 2600 MHz</v>
      </c>
      <c r="B347" s="2029" t="s">
        <v>283</v>
      </c>
      <c r="C347" s="2031">
        <v>4</v>
      </c>
      <c r="D347" s="51">
        <v>2</v>
      </c>
      <c r="E347" s="639">
        <v>2600</v>
      </c>
      <c r="F347" s="2011">
        <v>38.523809523809526</v>
      </c>
      <c r="G347" s="2015">
        <f t="shared" si="57"/>
        <v>9.6309523809523814</v>
      </c>
      <c r="H347" s="2607">
        <f t="shared" si="58"/>
        <v>2</v>
      </c>
      <c r="I347" s="646" t="s">
        <v>283</v>
      </c>
      <c r="J347" s="673"/>
      <c r="K347" s="2651"/>
    </row>
    <row r="348" spans="1:11" hidden="1" outlineLevel="2" x14ac:dyDescent="0.15">
      <c r="A348" s="632" t="str">
        <f t="shared" si="56"/>
        <v>AMD 1 core (1 chip) 2600 MHz</v>
      </c>
      <c r="B348" s="2029" t="s">
        <v>283</v>
      </c>
      <c r="C348" s="2031">
        <v>1</v>
      </c>
      <c r="D348" s="51">
        <v>1</v>
      </c>
      <c r="E348" s="639">
        <v>2600</v>
      </c>
      <c r="F348" s="2011">
        <v>9.5476190476190474</v>
      </c>
      <c r="G348" s="2015">
        <f t="shared" si="57"/>
        <v>9.5476190476190474</v>
      </c>
      <c r="H348" s="2607">
        <f t="shared" si="58"/>
        <v>1</v>
      </c>
      <c r="I348" s="646" t="s">
        <v>283</v>
      </c>
      <c r="J348" s="673"/>
      <c r="K348" s="2651"/>
    </row>
    <row r="349" spans="1:11" hidden="1" outlineLevel="2" x14ac:dyDescent="0.15">
      <c r="A349" s="632" t="str">
        <f t="shared" si="56"/>
        <v>AMD 2 core (2 chip) 2600 MHz</v>
      </c>
      <c r="B349" s="2029" t="s">
        <v>283</v>
      </c>
      <c r="C349" s="2031">
        <v>2</v>
      </c>
      <c r="D349" s="51">
        <v>1</v>
      </c>
      <c r="E349" s="639">
        <v>2600</v>
      </c>
      <c r="F349" s="2011">
        <v>19.095238095238095</v>
      </c>
      <c r="G349" s="2015">
        <f t="shared" si="57"/>
        <v>9.5476190476190474</v>
      </c>
      <c r="H349" s="2607">
        <f t="shared" si="58"/>
        <v>2</v>
      </c>
      <c r="I349" s="646" t="s">
        <v>283</v>
      </c>
      <c r="J349" s="673"/>
      <c r="K349" s="2651"/>
    </row>
    <row r="350" spans="1:11" hidden="1" outlineLevel="2" x14ac:dyDescent="0.15">
      <c r="A350" s="632" t="str">
        <f t="shared" si="56"/>
        <v>AMD 4 core (4 chip) 2600 MHz</v>
      </c>
      <c r="B350" s="2029" t="s">
        <v>283</v>
      </c>
      <c r="C350" s="2031">
        <v>4</v>
      </c>
      <c r="D350" s="51">
        <v>1</v>
      </c>
      <c r="E350" s="639">
        <v>2600</v>
      </c>
      <c r="F350" s="2011">
        <v>36.904761904761905</v>
      </c>
      <c r="G350" s="2015">
        <f t="shared" si="57"/>
        <v>9.2261904761904763</v>
      </c>
      <c r="H350" s="2607">
        <f t="shared" si="58"/>
        <v>4</v>
      </c>
      <c r="I350" s="646" t="s">
        <v>283</v>
      </c>
      <c r="J350" s="673"/>
      <c r="K350" s="2651"/>
    </row>
    <row r="351" spans="1:11" hidden="1" outlineLevel="2" x14ac:dyDescent="0.15">
      <c r="A351" s="632" t="str">
        <f t="shared" si="56"/>
        <v>AMD 4 core (2 chip) 2400 MHz</v>
      </c>
      <c r="B351" s="2029" t="s">
        <v>283</v>
      </c>
      <c r="C351" s="2031">
        <v>4</v>
      </c>
      <c r="D351" s="51">
        <v>2</v>
      </c>
      <c r="E351" s="639">
        <v>2400</v>
      </c>
      <c r="F351" s="2011">
        <v>35.761904761904759</v>
      </c>
      <c r="G351" s="2015">
        <f t="shared" si="57"/>
        <v>8.9404761904761898</v>
      </c>
      <c r="H351" s="2607">
        <f t="shared" si="58"/>
        <v>2</v>
      </c>
      <c r="I351" s="646" t="s">
        <v>283</v>
      </c>
      <c r="J351" s="673"/>
      <c r="K351" s="2651"/>
    </row>
    <row r="352" spans="1:11" hidden="1" outlineLevel="2" x14ac:dyDescent="0.15">
      <c r="A352" s="632" t="str">
        <f t="shared" si="56"/>
        <v>AMD 2 core (1 chip) 2400 MHz</v>
      </c>
      <c r="B352" s="2029" t="s">
        <v>283</v>
      </c>
      <c r="C352" s="2031">
        <v>2</v>
      </c>
      <c r="D352" s="51">
        <v>2</v>
      </c>
      <c r="E352" s="639">
        <v>2400</v>
      </c>
      <c r="F352" s="2011">
        <v>17.714285714285715</v>
      </c>
      <c r="G352" s="2015">
        <f t="shared" si="57"/>
        <v>8.8571428571428577</v>
      </c>
      <c r="H352" s="2607">
        <f t="shared" si="58"/>
        <v>1</v>
      </c>
      <c r="I352" s="646" t="s">
        <v>283</v>
      </c>
      <c r="J352" s="673"/>
      <c r="K352" s="2651"/>
    </row>
    <row r="353" spans="1:22" hidden="1" outlineLevel="2" x14ac:dyDescent="0.15">
      <c r="A353" s="632" t="str">
        <f t="shared" si="56"/>
        <v>AMD 8 core (4 chip) 2400 MHz</v>
      </c>
      <c r="B353" s="2029" t="s">
        <v>283</v>
      </c>
      <c r="C353" s="2031">
        <v>8</v>
      </c>
      <c r="D353" s="51">
        <v>2</v>
      </c>
      <c r="E353" s="639">
        <v>2400</v>
      </c>
      <c r="F353" s="2011">
        <v>68.571428571428569</v>
      </c>
      <c r="G353" s="2015">
        <f t="shared" si="57"/>
        <v>8.5714285714285712</v>
      </c>
      <c r="H353" s="2607">
        <f t="shared" si="58"/>
        <v>4</v>
      </c>
      <c r="I353" s="646" t="s">
        <v>283</v>
      </c>
      <c r="J353" s="673"/>
      <c r="K353" s="2651"/>
    </row>
    <row r="354" spans="1:22" hidden="1" outlineLevel="1" collapsed="1" x14ac:dyDescent="0.15">
      <c r="A354" s="627" t="s">
        <v>1781</v>
      </c>
      <c r="B354" s="662" t="str">
        <f>A354</f>
        <v xml:space="preserve"> ==== Amazon EC2 host platforms ======</v>
      </c>
      <c r="C354" s="657"/>
      <c r="D354" s="2027"/>
      <c r="E354" s="2028"/>
      <c r="F354" s="2013"/>
      <c r="G354" s="2018"/>
      <c r="H354" s="2605"/>
      <c r="I354" s="644"/>
      <c r="J354" s="673"/>
      <c r="K354" s="2651"/>
    </row>
    <row r="355" spans="1:22" hidden="1" outlineLevel="2" x14ac:dyDescent="0.15">
      <c r="A355" s="630" t="str">
        <f>CONCATENATE(B355," ",C355," core (",H355," chip) ",E355," MHz")&amp;IF(ISBLANK(F355),"**","")</f>
        <v>Xeon E5-2676v3 24 core (2 chip) 2400 MHz</v>
      </c>
      <c r="B355" s="661" t="s">
        <v>1756</v>
      </c>
      <c r="C355" s="2024">
        <v>24</v>
      </c>
      <c r="D355" s="52">
        <v>12</v>
      </c>
      <c r="E355" s="639">
        <v>2400</v>
      </c>
      <c r="F355" s="2192">
        <v>1015</v>
      </c>
      <c r="G355" s="2193">
        <f>F355/C355</f>
        <v>42.291666666666664</v>
      </c>
      <c r="H355" s="2603">
        <f>C355/D355</f>
        <v>2</v>
      </c>
      <c r="I355" s="646" t="s">
        <v>335</v>
      </c>
      <c r="J355" s="2048">
        <v>120</v>
      </c>
      <c r="K355" s="2647"/>
      <c r="L355" s="1149"/>
      <c r="M355" s="1149"/>
      <c r="N355" s="1149"/>
      <c r="O355" s="1149"/>
      <c r="P355" s="2196"/>
      <c r="Q355" s="2196"/>
      <c r="R355" s="2196"/>
      <c r="S355" s="2196"/>
      <c r="T355" s="1149"/>
    </row>
    <row r="356" spans="1:22" s="693" customFormat="1" hidden="1" outlineLevel="2" x14ac:dyDescent="0.15">
      <c r="A356" s="630" t="str">
        <f t="shared" ref="A356:A361" si="59">CONCATENATE(B356," ",C356," core (",H356," chip) ",E356," MHz")</f>
        <v>Xeon E5-2686v4 36 core (2 chip) 2300 MHz</v>
      </c>
      <c r="B356" s="661" t="s">
        <v>1777</v>
      </c>
      <c r="C356" s="2025">
        <v>36</v>
      </c>
      <c r="D356" s="50">
        <v>18</v>
      </c>
      <c r="E356" s="639">
        <v>2300</v>
      </c>
      <c r="F356" s="2012">
        <v>1577</v>
      </c>
      <c r="G356" s="2015">
        <f>IF(F356=0,"",F356/C356)</f>
        <v>43.805555555555557</v>
      </c>
      <c r="H356" s="2603">
        <f>IF(C356=0,"",C356/D356)</f>
        <v>2</v>
      </c>
      <c r="I356" s="647" t="s">
        <v>335</v>
      </c>
      <c r="J356" s="2048">
        <v>130</v>
      </c>
      <c r="K356" s="2650"/>
      <c r="L356" s="1304"/>
      <c r="M356" s="1304"/>
      <c r="N356" s="1304"/>
      <c r="O356" s="1304"/>
      <c r="P356" s="1305"/>
      <c r="Q356" s="1305"/>
    </row>
    <row r="357" spans="1:22" s="693" customFormat="1" hidden="1" outlineLevel="2" x14ac:dyDescent="0.15">
      <c r="A357" s="630" t="str">
        <f t="shared" si="59"/>
        <v>Xeon E5-2666v3 20 core (2 chip) 2900 MHz</v>
      </c>
      <c r="B357" s="661" t="s">
        <v>1778</v>
      </c>
      <c r="C357" s="2025">
        <v>20</v>
      </c>
      <c r="D357" s="50">
        <v>10</v>
      </c>
      <c r="E357" s="639">
        <v>2900</v>
      </c>
      <c r="F357" s="2012">
        <v>952</v>
      </c>
      <c r="G357" s="2015">
        <f>IF(F357=0,"",F357/C357)</f>
        <v>47.6</v>
      </c>
      <c r="H357" s="2603">
        <f>IF(C357=0,"",C357/D357)</f>
        <v>2</v>
      </c>
      <c r="I357" s="647" t="s">
        <v>335</v>
      </c>
      <c r="J357" s="2048">
        <v>130</v>
      </c>
      <c r="K357" s="2650"/>
      <c r="L357" s="1304"/>
      <c r="M357" s="1304"/>
      <c r="N357" s="1304"/>
      <c r="O357" s="1304"/>
      <c r="P357" s="1305"/>
      <c r="Q357" s="1305"/>
    </row>
    <row r="358" spans="1:22" s="693" customFormat="1" hidden="1" outlineLevel="2" x14ac:dyDescent="0.15">
      <c r="A358" s="630" t="str">
        <f t="shared" si="59"/>
        <v>Xeon E5-2680v2 20 core (2 chip) 2800 MHz</v>
      </c>
      <c r="B358" s="661" t="s">
        <v>1178</v>
      </c>
      <c r="C358" s="2025">
        <v>20</v>
      </c>
      <c r="D358" s="50">
        <v>10</v>
      </c>
      <c r="E358" s="639">
        <v>2800</v>
      </c>
      <c r="F358" s="2012">
        <v>831</v>
      </c>
      <c r="G358" s="2015">
        <f>IF(F358=0,"",F358/C358)</f>
        <v>41.55</v>
      </c>
      <c r="H358" s="2603">
        <f>IF(C358=0,"",C358/D358)</f>
        <v>2</v>
      </c>
      <c r="I358" s="647" t="s">
        <v>335</v>
      </c>
      <c r="J358" s="2048">
        <v>130</v>
      </c>
      <c r="K358" s="2650"/>
      <c r="L358" s="1304"/>
      <c r="M358" s="1304"/>
      <c r="N358" s="1304"/>
      <c r="O358" s="1304"/>
      <c r="P358" s="1305"/>
      <c r="Q358" s="1305"/>
    </row>
    <row r="359" spans="1:22" s="693" customFormat="1" hidden="1" outlineLevel="2" x14ac:dyDescent="0.15">
      <c r="A359" s="630" t="str">
        <f t="shared" si="59"/>
        <v>Xeon E5-2670 16 core (2 chip) 2600 MHz</v>
      </c>
      <c r="B359" s="661" t="s">
        <v>691</v>
      </c>
      <c r="C359" s="2025">
        <v>16</v>
      </c>
      <c r="D359" s="50">
        <v>8</v>
      </c>
      <c r="E359" s="639">
        <v>2600</v>
      </c>
      <c r="F359" s="2012">
        <v>632</v>
      </c>
      <c r="G359" s="2015">
        <f>IF(F359=0,"",F359/C359)</f>
        <v>39.5</v>
      </c>
      <c r="H359" s="2603">
        <f>IF(C359=0,"",C359/D359)</f>
        <v>2</v>
      </c>
      <c r="I359" s="647" t="s">
        <v>335</v>
      </c>
      <c r="J359" s="2048">
        <v>130</v>
      </c>
      <c r="K359" s="2650"/>
      <c r="L359" s="1304"/>
      <c r="M359" s="1304"/>
      <c r="N359" s="1304"/>
      <c r="O359" s="1304"/>
      <c r="P359" s="1305"/>
      <c r="Q359" s="1305"/>
    </row>
    <row r="360" spans="1:22" s="693" customFormat="1" hidden="1" outlineLevel="2" x14ac:dyDescent="0.15">
      <c r="A360" s="630" t="str">
        <f t="shared" si="59"/>
        <v>Xeon E5-2670v2 20 core (2 chip) 2500 MHz</v>
      </c>
      <c r="B360" s="661" t="s">
        <v>1757</v>
      </c>
      <c r="C360" s="2025">
        <v>20</v>
      </c>
      <c r="D360" s="50">
        <v>10</v>
      </c>
      <c r="E360" s="639">
        <v>2500</v>
      </c>
      <c r="F360" s="2012">
        <v>791</v>
      </c>
      <c r="G360" s="2015">
        <f>IF(F360=0,"",F360/C360)</f>
        <v>39.549999999999997</v>
      </c>
      <c r="H360" s="2603">
        <f>IF(C360=0,"",C360/D360)</f>
        <v>2</v>
      </c>
      <c r="I360" s="647" t="s">
        <v>335</v>
      </c>
      <c r="J360" s="2048">
        <v>130</v>
      </c>
      <c r="K360" s="2650"/>
      <c r="L360" s="1304"/>
      <c r="M360" s="1304"/>
      <c r="N360" s="1304"/>
      <c r="O360" s="1304"/>
      <c r="P360" s="1305"/>
      <c r="Q360" s="1305"/>
    </row>
    <row r="361" spans="1:22" s="693" customFormat="1" hidden="1" outlineLevel="2" x14ac:dyDescent="0.15">
      <c r="A361" s="630" t="str">
        <f t="shared" si="59"/>
        <v>Xeon E5-8880v3 72 core (3.6 chip) 2400 MHz</v>
      </c>
      <c r="B361" s="661" t="s">
        <v>1779</v>
      </c>
      <c r="C361" s="2025">
        <v>72</v>
      </c>
      <c r="D361" s="50">
        <v>20</v>
      </c>
      <c r="E361" s="639">
        <v>2400</v>
      </c>
      <c r="F361" s="2012">
        <v>2650</v>
      </c>
      <c r="G361" s="2015">
        <f>F361/C361</f>
        <v>36.805555555555557</v>
      </c>
      <c r="H361" s="2603">
        <f>C361/D361</f>
        <v>3.6</v>
      </c>
      <c r="I361" s="646" t="s">
        <v>335</v>
      </c>
      <c r="J361" s="2048">
        <v>145</v>
      </c>
      <c r="K361" s="2648"/>
      <c r="P361" s="31"/>
      <c r="Q361" s="31"/>
    </row>
    <row r="362" spans="1:22" hidden="1" outlineLevel="1" collapsed="1" x14ac:dyDescent="0.15">
      <c r="A362" s="627" t="s">
        <v>1780</v>
      </c>
      <c r="B362" s="662" t="str">
        <f>A362</f>
        <v xml:space="preserve"> ==== Microsoft Azure host platforms ======</v>
      </c>
      <c r="C362" s="657"/>
      <c r="D362" s="2027"/>
      <c r="E362" s="2028"/>
      <c r="F362" s="2013"/>
      <c r="G362" s="2018"/>
      <c r="H362" s="2605"/>
      <c r="I362" s="644"/>
      <c r="J362" s="673"/>
      <c r="K362" s="2651"/>
    </row>
    <row r="363" spans="1:22" hidden="1" outlineLevel="2" x14ac:dyDescent="0.15">
      <c r="A363" s="630" t="str">
        <f>CONCATENATE(B363," ",C363," core (",H363," chip) ",E363," MHz")&amp;IF(ISBLANK(F363),"**","")</f>
        <v>Xeon E5-2673v4 40 core (2 chip) 2300 MHz</v>
      </c>
      <c r="B363" s="661" t="s">
        <v>1755</v>
      </c>
      <c r="C363" s="2024">
        <v>40</v>
      </c>
      <c r="D363" s="52">
        <v>20</v>
      </c>
      <c r="E363" s="639">
        <v>2300</v>
      </c>
      <c r="F363" s="2192">
        <v>1651</v>
      </c>
      <c r="G363" s="2015">
        <f>F363/C363</f>
        <v>41.274999999999999</v>
      </c>
      <c r="H363" s="2603">
        <f>C363/D363</f>
        <v>2</v>
      </c>
      <c r="I363" s="646" t="s">
        <v>335</v>
      </c>
      <c r="J363" s="2048">
        <v>120</v>
      </c>
      <c r="K363" s="2647"/>
      <c r="L363" s="1149"/>
      <c r="M363" s="1149"/>
      <c r="N363" s="1149"/>
      <c r="O363" s="1149"/>
      <c r="P363" s="2196"/>
      <c r="Q363" s="2196"/>
      <c r="R363" s="2196"/>
      <c r="S363" s="2196"/>
      <c r="T363" s="1149"/>
    </row>
    <row r="364" spans="1:22" hidden="1" outlineLevel="2" x14ac:dyDescent="0.15">
      <c r="A364" s="630" t="str">
        <f>CONCATENATE(B364," ",C364," core (",H364," chip) ",E364," MHz")&amp;IF(ISBLANK(F364),"**","")</f>
        <v>Xeon E5-2673v3 24 core (2 chip) 2400 MHz</v>
      </c>
      <c r="B364" s="661" t="s">
        <v>1782</v>
      </c>
      <c r="C364" s="2024">
        <v>24</v>
      </c>
      <c r="D364" s="52">
        <v>12</v>
      </c>
      <c r="E364" s="639">
        <v>2400</v>
      </c>
      <c r="F364" s="2192">
        <v>1042</v>
      </c>
      <c r="G364" s="2015">
        <f>F364/C364</f>
        <v>43.416666666666664</v>
      </c>
      <c r="H364" s="2603">
        <f>C364/D364</f>
        <v>2</v>
      </c>
      <c r="I364" s="646" t="s">
        <v>335</v>
      </c>
      <c r="J364" s="2048">
        <v>120</v>
      </c>
      <c r="K364" s="2647"/>
      <c r="L364" s="1149"/>
      <c r="M364" s="1149"/>
      <c r="N364" s="1149"/>
      <c r="O364" s="1149"/>
      <c r="P364" s="2196"/>
      <c r="Q364" s="2196"/>
      <c r="R364" s="2196"/>
      <c r="S364" s="2196"/>
      <c r="T364" s="1149"/>
    </row>
    <row r="365" spans="1:22" hidden="1" outlineLevel="2" x14ac:dyDescent="0.15">
      <c r="A365" s="630" t="str">
        <f>CONCATENATE(B365," ",C365," core (",H365," chip) ",E365," MHz")&amp;IF(ISBLANK(F365),"**","")</f>
        <v>Xeon E5-2667v3 16 core (2 chip) 3200 MHz</v>
      </c>
      <c r="B365" s="661" t="s">
        <v>1034</v>
      </c>
      <c r="C365" s="2024">
        <v>16</v>
      </c>
      <c r="D365" s="52">
        <v>8</v>
      </c>
      <c r="E365" s="639">
        <v>3200</v>
      </c>
      <c r="F365" s="2192">
        <v>815</v>
      </c>
      <c r="G365" s="2015">
        <f>F365/C365</f>
        <v>50.9375</v>
      </c>
      <c r="H365" s="2603">
        <f>C365/D365</f>
        <v>2</v>
      </c>
      <c r="I365" s="646" t="s">
        <v>335</v>
      </c>
      <c r="J365" s="2048">
        <v>120</v>
      </c>
      <c r="K365" s="2647"/>
      <c r="L365" s="1149"/>
      <c r="M365" s="1149"/>
      <c r="N365" s="1149"/>
      <c r="O365" s="1149"/>
      <c r="P365" s="2196"/>
      <c r="Q365" s="2196"/>
      <c r="R365" s="2196"/>
      <c r="S365" s="2196"/>
      <c r="T365" s="1149"/>
    </row>
    <row r="366" spans="1:22" hidden="1" outlineLevel="2" x14ac:dyDescent="0.15">
      <c r="A366" s="630" t="str">
        <f>CONCATENATE(B366," ",C366," core (",H366," chip) ",E366," MHz")&amp;IF(ISBLANK(F366),"**","")</f>
        <v>Xeon E5-2690v3 24 core (2 chip) 2600 MHz</v>
      </c>
      <c r="B366" s="661" t="s">
        <v>1036</v>
      </c>
      <c r="C366" s="2024">
        <v>24</v>
      </c>
      <c r="D366" s="52">
        <v>12</v>
      </c>
      <c r="E366" s="639">
        <v>2600</v>
      </c>
      <c r="F366" s="2192">
        <v>1100</v>
      </c>
      <c r="G366" s="2015">
        <f>F366/C366</f>
        <v>45.833333333333336</v>
      </c>
      <c r="H366" s="2603">
        <f>C366/D366</f>
        <v>2</v>
      </c>
      <c r="I366" s="646" t="s">
        <v>335</v>
      </c>
      <c r="J366" s="2048">
        <v>120</v>
      </c>
      <c r="K366" s="2647"/>
      <c r="L366" s="1149"/>
      <c r="M366" s="1149"/>
      <c r="N366" s="1149"/>
      <c r="O366" s="1149"/>
      <c r="P366" s="2196"/>
      <c r="Q366" s="2196"/>
      <c r="R366" s="2196"/>
      <c r="S366" s="2196"/>
      <c r="T366" s="1149"/>
    </row>
    <row r="367" spans="1:22" hidden="1" outlineLevel="1" collapsed="1" x14ac:dyDescent="0.15">
      <c r="A367" s="636"/>
      <c r="B367" s="2040"/>
      <c r="C367" s="2041"/>
      <c r="D367" s="641"/>
      <c r="E367" s="2042"/>
      <c r="F367" s="882"/>
      <c r="G367" s="2019"/>
      <c r="H367" s="2608"/>
      <c r="I367" s="649"/>
      <c r="J367" s="2646"/>
      <c r="K367" s="2651"/>
    </row>
    <row r="368" spans="1:22" collapsed="1" x14ac:dyDescent="0.15">
      <c r="A368" s="2907" t="s">
        <v>1558</v>
      </c>
      <c r="B368" s="2908" t="str">
        <f>A368</f>
        <v xml:space="preserve"> ==== Amazon Machines Instance ======</v>
      </c>
      <c r="C368" s="3072" t="s">
        <v>1695</v>
      </c>
      <c r="D368" s="2909"/>
      <c r="E368" s="2909"/>
      <c r="F368" s="2909"/>
      <c r="G368" s="2910"/>
      <c r="H368" s="2911"/>
      <c r="I368" s="2912"/>
      <c r="J368" s="2840" t="s">
        <v>132</v>
      </c>
      <c r="K368" s="2838" t="s">
        <v>1336</v>
      </c>
      <c r="L368" s="2896" t="s">
        <v>1674</v>
      </c>
      <c r="M368" s="2896" t="s">
        <v>743</v>
      </c>
      <c r="N368" s="2993" t="s">
        <v>1745</v>
      </c>
      <c r="O368" s="2993" t="s">
        <v>1741</v>
      </c>
      <c r="P368" s="3108" t="s">
        <v>1742</v>
      </c>
      <c r="Q368" s="3108"/>
      <c r="V368" s="3165" t="s">
        <v>1813</v>
      </c>
    </row>
    <row r="369" spans="1:22" hidden="1" outlineLevel="1" x14ac:dyDescent="0.15">
      <c r="A369" s="628" t="s">
        <v>1786</v>
      </c>
      <c r="B369" s="659" t="str">
        <f>A369</f>
        <v xml:space="preserve"> ==== 2017 AMI EC2 Platforms ====</v>
      </c>
      <c r="C369" s="656"/>
      <c r="D369" s="2022"/>
      <c r="E369" s="2905"/>
      <c r="F369" s="2906" t="s">
        <v>1746</v>
      </c>
      <c r="G369" s="2017"/>
      <c r="H369" s="2606"/>
      <c r="I369" s="645"/>
      <c r="J369" s="645"/>
      <c r="K369" s="645"/>
      <c r="L369" s="645"/>
      <c r="M369" s="645"/>
      <c r="N369" s="645"/>
      <c r="O369" s="645"/>
      <c r="P369" s="645" t="s">
        <v>408</v>
      </c>
      <c r="Q369" s="3159"/>
      <c r="R369" s="2651" t="s">
        <v>1723</v>
      </c>
      <c r="S369" s="31" t="s">
        <v>1724</v>
      </c>
      <c r="T369" s="31" t="s">
        <v>1725</v>
      </c>
      <c r="V369" s="3166"/>
    </row>
    <row r="370" spans="1:22" hidden="1" outlineLevel="1" x14ac:dyDescent="0.15">
      <c r="A370" s="3057" t="s">
        <v>1759</v>
      </c>
      <c r="B370" s="3102" t="s">
        <v>1747</v>
      </c>
      <c r="C370" s="3102" t="s">
        <v>1758</v>
      </c>
      <c r="D370" s="3102" t="s">
        <v>1745</v>
      </c>
      <c r="E370" s="3102" t="s">
        <v>433</v>
      </c>
      <c r="F370" s="3102" t="s">
        <v>1743</v>
      </c>
      <c r="G370" s="3102" t="s">
        <v>274</v>
      </c>
      <c r="H370" s="3102" t="s">
        <v>313</v>
      </c>
      <c r="I370" s="3102" t="s">
        <v>1753</v>
      </c>
      <c r="J370" s="3102" t="s">
        <v>1744</v>
      </c>
      <c r="K370" s="3102"/>
      <c r="L370" s="3171">
        <v>8760</v>
      </c>
      <c r="M370" s="3102" t="s">
        <v>743</v>
      </c>
      <c r="N370" s="3105" t="s">
        <v>1751</v>
      </c>
      <c r="O370" s="3102" t="s">
        <v>1748</v>
      </c>
      <c r="P370" s="3102" t="s">
        <v>1743</v>
      </c>
      <c r="Q370" s="3102"/>
      <c r="V370" s="3167"/>
    </row>
    <row r="371" spans="1:22" hidden="1" outlineLevel="2" x14ac:dyDescent="0.15">
      <c r="A371" s="3136" t="str">
        <f>CONCATENATE(B371," ",C371," core (",H371," chip) ",E371," MHz")&amp;IF(ISBLANK(F371),"**","")</f>
        <v>Xeon E5-2676v3 24 core (2 chip) 2400 MHz</v>
      </c>
      <c r="B371" s="661" t="s">
        <v>1756</v>
      </c>
      <c r="C371" s="2024">
        <v>24</v>
      </c>
      <c r="D371" s="52">
        <v>12</v>
      </c>
      <c r="E371" s="639">
        <v>2400</v>
      </c>
      <c r="F371" s="2192">
        <v>1015</v>
      </c>
      <c r="G371" s="2193">
        <f>F371/C371</f>
        <v>42.291666666666664</v>
      </c>
      <c r="H371" s="2603">
        <f>C371/D371</f>
        <v>2</v>
      </c>
      <c r="I371" s="646" t="s">
        <v>335</v>
      </c>
      <c r="J371" s="2048">
        <v>120</v>
      </c>
      <c r="K371" s="2647">
        <v>42050</v>
      </c>
      <c r="L371" s="1149"/>
      <c r="M371" s="1149"/>
      <c r="N371" s="1149"/>
      <c r="O371" s="1149"/>
      <c r="P371" s="2196"/>
      <c r="Q371" s="2196"/>
      <c r="R371" s="2196"/>
      <c r="S371" s="2196"/>
      <c r="T371" s="1149"/>
    </row>
    <row r="372" spans="1:22" s="693" customFormat="1" hidden="1" outlineLevel="2" x14ac:dyDescent="0.15">
      <c r="A372" s="630" t="str">
        <f>CONCATENATE(B372," ",C372," core (",E372," MHz) ",J372," GB")</f>
        <v>AMI m4.large (2vc) 1 core (2400 MHz) 8 GB</v>
      </c>
      <c r="B372" s="2036" t="s">
        <v>1341</v>
      </c>
      <c r="C372" s="2024">
        <f>O372</f>
        <v>1</v>
      </c>
      <c r="D372" s="2561">
        <f>N372</f>
        <v>2</v>
      </c>
      <c r="E372" s="639">
        <v>2400</v>
      </c>
      <c r="F372" s="2011">
        <f>IF(N372=1,O372*P372/1.3,O372*P372)</f>
        <v>42.291666666666664</v>
      </c>
      <c r="G372" s="2015">
        <f t="shared" ref="G372:G384" si="60">IF(F372=0,"",F372/C372)</f>
        <v>42.291666666666664</v>
      </c>
      <c r="H372" s="2603">
        <f t="shared" ref="H372:H378" si="61">IF(C372=0,"",C372/D372)</f>
        <v>0.5</v>
      </c>
      <c r="I372" s="647" t="s">
        <v>335</v>
      </c>
      <c r="J372" s="2643">
        <v>8</v>
      </c>
      <c r="K372" s="2899" t="s">
        <v>1337</v>
      </c>
      <c r="L372" s="2900">
        <f>L$370*V372*3</f>
        <v>5308.56</v>
      </c>
      <c r="M372" s="3054" t="str">
        <f t="shared" ref="M372:M378" si="62">MID(B372, FIND("(",B372,1)+1, FIND(")",B372,1)- FIND("(",B372,1)-3)</f>
        <v>2</v>
      </c>
      <c r="N372" s="3103">
        <v>2</v>
      </c>
      <c r="O372" s="3100">
        <f>M372/N372</f>
        <v>1</v>
      </c>
      <c r="P372" s="2015">
        <v>42.291666666666664</v>
      </c>
      <c r="Q372" s="2015"/>
      <c r="R372" s="3074">
        <f>M372/C372</f>
        <v>2</v>
      </c>
      <c r="S372" s="3073">
        <f>R372*4*0.8*F372/13.4</f>
        <v>20.199004975124378</v>
      </c>
      <c r="T372" s="3073">
        <f>8*M372</f>
        <v>16</v>
      </c>
      <c r="V372" s="3172">
        <v>0.20200000000000001</v>
      </c>
    </row>
    <row r="373" spans="1:22" s="693" customFormat="1" hidden="1" outlineLevel="2" x14ac:dyDescent="0.15">
      <c r="A373" s="630" t="str">
        <f t="shared" ref="A373:A427" si="63">CONCATENATE(B373," ",C373," core (",E373," MHz) ",J373," GB")</f>
        <v>AMI m4.xlarge (4vc) 2 core (2400 MHz) 16 GB</v>
      </c>
      <c r="B373" s="2036" t="s">
        <v>1342</v>
      </c>
      <c r="C373" s="2024">
        <f t="shared" ref="C373:C384" si="64">O373</f>
        <v>2</v>
      </c>
      <c r="D373" s="2561">
        <f t="shared" ref="D373:D384" si="65">N373</f>
        <v>2</v>
      </c>
      <c r="E373" s="639">
        <v>2400</v>
      </c>
      <c r="F373" s="2011">
        <f>IF(N373=1,O373*P373/1.3,O373*P373)</f>
        <v>84.583333333333329</v>
      </c>
      <c r="G373" s="2015">
        <f t="shared" si="60"/>
        <v>42.291666666666664</v>
      </c>
      <c r="H373" s="2603">
        <f t="shared" si="61"/>
        <v>1</v>
      </c>
      <c r="I373" s="647" t="s">
        <v>335</v>
      </c>
      <c r="J373" s="2643">
        <v>16</v>
      </c>
      <c r="K373" s="2899" t="s">
        <v>1337</v>
      </c>
      <c r="L373" s="2900">
        <f t="shared" ref="L373:L378" si="66">L$370*V373*3</f>
        <v>10617.12</v>
      </c>
      <c r="M373" s="3054" t="str">
        <f t="shared" si="62"/>
        <v>4</v>
      </c>
      <c r="N373" s="3103">
        <f>N372</f>
        <v>2</v>
      </c>
      <c r="O373" s="3100">
        <f t="shared" ref="O373:O378" si="67">M373/N373</f>
        <v>2</v>
      </c>
      <c r="P373" s="2015">
        <v>42.291666666666664</v>
      </c>
      <c r="Q373" s="2015"/>
      <c r="R373" s="3074">
        <f t="shared" ref="R373:R435" si="68">M373/C373</f>
        <v>2</v>
      </c>
      <c r="S373" s="3073">
        <f>R373*4*0.8*F373/13.4</f>
        <v>40.398009950248756</v>
      </c>
      <c r="T373" s="3073">
        <f>8*M373</f>
        <v>32</v>
      </c>
      <c r="V373" s="3172">
        <v>0.40400000000000003</v>
      </c>
    </row>
    <row r="374" spans="1:22" s="693" customFormat="1" hidden="1" outlineLevel="2" x14ac:dyDescent="0.15">
      <c r="A374" s="630" t="str">
        <f t="shared" si="63"/>
        <v>AMI m4.2xlarge (8vc) 4 core (2400 MHz) 32 GB</v>
      </c>
      <c r="B374" s="2036" t="s">
        <v>1343</v>
      </c>
      <c r="C374" s="2024">
        <f t="shared" si="64"/>
        <v>4</v>
      </c>
      <c r="D374" s="2561">
        <f t="shared" si="65"/>
        <v>2</v>
      </c>
      <c r="E374" s="639">
        <v>2400</v>
      </c>
      <c r="F374" s="2011">
        <f>IF(N374=1,O374*P374/1.3,O374*P374)</f>
        <v>169.16666666666666</v>
      </c>
      <c r="G374" s="2015">
        <f t="shared" si="60"/>
        <v>42.291666666666664</v>
      </c>
      <c r="H374" s="2603">
        <f t="shared" si="61"/>
        <v>2</v>
      </c>
      <c r="I374" s="647" t="s">
        <v>335</v>
      </c>
      <c r="J374" s="2643">
        <v>32</v>
      </c>
      <c r="K374" s="2899" t="s">
        <v>1337</v>
      </c>
      <c r="L374" s="2900">
        <f t="shared" si="66"/>
        <v>21234.240000000002</v>
      </c>
      <c r="M374" s="3054" t="str">
        <f t="shared" si="62"/>
        <v>8</v>
      </c>
      <c r="N374" s="3103">
        <f>N373</f>
        <v>2</v>
      </c>
      <c r="O374" s="3100">
        <f t="shared" si="67"/>
        <v>4</v>
      </c>
      <c r="P374" s="2015">
        <v>42.291666666666664</v>
      </c>
      <c r="Q374" s="2015"/>
      <c r="R374" s="3074">
        <f t="shared" si="68"/>
        <v>2</v>
      </c>
      <c r="S374" s="3073">
        <f>R374*4*0.8*F374/13.4</f>
        <v>80.796019900497512</v>
      </c>
      <c r="T374" s="3073">
        <f>8*M374</f>
        <v>64</v>
      </c>
      <c r="V374" s="3172">
        <v>0.80800000000000005</v>
      </c>
    </row>
    <row r="375" spans="1:22" s="693" customFormat="1" hidden="1" outlineLevel="2" x14ac:dyDescent="0.15">
      <c r="A375" s="630" t="str">
        <f t="shared" si="63"/>
        <v>AMI m4.4xlarge (16vc) 8 core (2400 MHz) 64 GB</v>
      </c>
      <c r="B375" s="2036" t="s">
        <v>1344</v>
      </c>
      <c r="C375" s="2024">
        <f t="shared" si="64"/>
        <v>8</v>
      </c>
      <c r="D375" s="2561">
        <f t="shared" si="65"/>
        <v>2</v>
      </c>
      <c r="E375" s="639">
        <v>2400</v>
      </c>
      <c r="F375" s="2011">
        <f>IF(N375=1,O375*P375/1.3,O375*P375)</f>
        <v>338.33333333333331</v>
      </c>
      <c r="G375" s="2015">
        <f t="shared" si="60"/>
        <v>42.291666666666664</v>
      </c>
      <c r="H375" s="2603">
        <f t="shared" si="61"/>
        <v>4</v>
      </c>
      <c r="I375" s="647" t="s">
        <v>335</v>
      </c>
      <c r="J375" s="2643">
        <v>64</v>
      </c>
      <c r="K375" s="2899" t="s">
        <v>1337</v>
      </c>
      <c r="L375" s="2900">
        <f t="shared" si="66"/>
        <v>42468.480000000003</v>
      </c>
      <c r="M375" s="3054" t="str">
        <f t="shared" si="62"/>
        <v>16</v>
      </c>
      <c r="N375" s="3103">
        <f>N374</f>
        <v>2</v>
      </c>
      <c r="O375" s="3100">
        <f t="shared" si="67"/>
        <v>8</v>
      </c>
      <c r="P375" s="2015">
        <v>42.291666666666664</v>
      </c>
      <c r="Q375" s="2015"/>
      <c r="R375" s="3074">
        <f t="shared" si="68"/>
        <v>2</v>
      </c>
      <c r="S375" s="3073">
        <f>R375*4*0.8*F375/13.4</f>
        <v>161.59203980099502</v>
      </c>
      <c r="T375" s="3073">
        <f>8*M375</f>
        <v>128</v>
      </c>
      <c r="V375" s="3172">
        <v>1.6160000000000001</v>
      </c>
    </row>
    <row r="376" spans="1:22" s="693" customFormat="1" hidden="1" outlineLevel="2" x14ac:dyDescent="0.15">
      <c r="A376" s="630" t="str">
        <f t="shared" si="63"/>
        <v>AMI m4.10xlarge (40vc) 20 core (2400 MHz) 160 GB</v>
      </c>
      <c r="B376" s="2036" t="s">
        <v>1345</v>
      </c>
      <c r="C376" s="2024">
        <f>O376</f>
        <v>20</v>
      </c>
      <c r="D376" s="2561">
        <f t="shared" si="65"/>
        <v>2</v>
      </c>
      <c r="E376" s="639">
        <v>2400</v>
      </c>
      <c r="F376" s="2011">
        <f>IF(N376=1,O376*P376/1.3,O376*P376)</f>
        <v>845.83333333333326</v>
      </c>
      <c r="G376" s="2015">
        <f t="shared" si="60"/>
        <v>42.291666666666664</v>
      </c>
      <c r="H376" s="2603">
        <f t="shared" si="61"/>
        <v>10</v>
      </c>
      <c r="I376" s="647" t="s">
        <v>335</v>
      </c>
      <c r="J376" s="2643">
        <v>160</v>
      </c>
      <c r="K376" s="2899" t="s">
        <v>1337</v>
      </c>
      <c r="L376" s="2900">
        <f t="shared" si="66"/>
        <v>100915.20000000001</v>
      </c>
      <c r="M376" s="3054" t="str">
        <f t="shared" si="62"/>
        <v>40</v>
      </c>
      <c r="N376" s="3103">
        <v>2</v>
      </c>
      <c r="O376" s="3100">
        <f t="shared" si="67"/>
        <v>20</v>
      </c>
      <c r="P376" s="2015">
        <v>42.291666666666664</v>
      </c>
      <c r="Q376" s="2015"/>
      <c r="R376" s="3074">
        <f t="shared" si="68"/>
        <v>2</v>
      </c>
      <c r="S376" s="3073">
        <f>R376*4*0.8*F376/13.4</f>
        <v>403.98009950248752</v>
      </c>
      <c r="T376" s="3073">
        <f>8*M376</f>
        <v>320</v>
      </c>
      <c r="V376" s="3172">
        <v>3.84</v>
      </c>
    </row>
    <row r="377" spans="1:22" s="3149" customFormat="1" hidden="1" outlineLevel="2" x14ac:dyDescent="0.15">
      <c r="A377" s="3136" t="str">
        <f>CONCATENATE(B377," ",C377," core (",H377," chip) ",E377," MHz")&amp;IF(ISBLANK(F377),"**","")</f>
        <v>Xeon E5-2676v4 36 core (2 chip) 2300 MHz</v>
      </c>
      <c r="B377" s="3137" t="s">
        <v>1784</v>
      </c>
      <c r="C377" s="3138">
        <v>36</v>
      </c>
      <c r="D377" s="3139">
        <v>18</v>
      </c>
      <c r="E377" s="3140">
        <v>2300</v>
      </c>
      <c r="F377" s="3141">
        <v>1577</v>
      </c>
      <c r="G377" s="3142">
        <f>F377/C377</f>
        <v>43.805555555555557</v>
      </c>
      <c r="H377" s="3143">
        <f>C377/D377</f>
        <v>2</v>
      </c>
      <c r="I377" s="3144" t="s">
        <v>335</v>
      </c>
      <c r="J377" s="3145">
        <v>120</v>
      </c>
      <c r="K377" s="3146">
        <v>42050</v>
      </c>
      <c r="L377" s="3147"/>
      <c r="M377" s="3147"/>
      <c r="N377" s="3147"/>
      <c r="O377" s="3147"/>
      <c r="P377" s="3148"/>
      <c r="Q377" s="3148"/>
      <c r="R377" s="3148"/>
      <c r="S377" s="3148"/>
      <c r="T377" s="3147"/>
      <c r="V377" s="3173"/>
    </row>
    <row r="378" spans="1:22" s="693" customFormat="1" hidden="1" outlineLevel="2" x14ac:dyDescent="0.15">
      <c r="A378" s="630" t="str">
        <f t="shared" si="63"/>
        <v>AMI m4.16xlarge (64vc) 32 core (2300 MHz) 256 GB</v>
      </c>
      <c r="B378" s="2036" t="s">
        <v>1515</v>
      </c>
      <c r="C378" s="2024">
        <f t="shared" si="64"/>
        <v>32</v>
      </c>
      <c r="D378" s="2561">
        <f t="shared" si="65"/>
        <v>2</v>
      </c>
      <c r="E378" s="639">
        <v>2300</v>
      </c>
      <c r="F378" s="2011">
        <f t="shared" ref="F378:F403" si="69">IF(N378=1,O378*P378/1.3,O378*P378)</f>
        <v>1401.7777777777778</v>
      </c>
      <c r="G378" s="2015">
        <f t="shared" si="60"/>
        <v>43.805555555555557</v>
      </c>
      <c r="H378" s="2603">
        <f t="shared" si="61"/>
        <v>16</v>
      </c>
      <c r="I378" s="647" t="s">
        <v>335</v>
      </c>
      <c r="J378" s="2643">
        <v>256</v>
      </c>
      <c r="K378" s="2899" t="s">
        <v>1337</v>
      </c>
      <c r="L378" s="2900">
        <f t="shared" si="66"/>
        <v>161464.32000000001</v>
      </c>
      <c r="M378" s="3054" t="str">
        <f t="shared" si="62"/>
        <v>64</v>
      </c>
      <c r="N378" s="3103">
        <f>N376</f>
        <v>2</v>
      </c>
      <c r="O378" s="3100">
        <f t="shared" si="67"/>
        <v>32</v>
      </c>
      <c r="P378" s="2015">
        <v>43.805555555555557</v>
      </c>
      <c r="Q378" s="2015"/>
      <c r="R378" s="3074">
        <f t="shared" si="68"/>
        <v>2</v>
      </c>
      <c r="S378" s="3073">
        <f>R378*4*0.8*F378/13.4</f>
        <v>669.50580431177445</v>
      </c>
      <c r="T378" s="3073">
        <f t="shared" ref="T378:T384" si="70">8*M378</f>
        <v>512</v>
      </c>
      <c r="V378" s="3172">
        <v>6.1440000000000001</v>
      </c>
    </row>
    <row r="379" spans="1:22" hidden="1" outlineLevel="1" collapsed="1" x14ac:dyDescent="0.15">
      <c r="A379" s="3057" t="s">
        <v>1760</v>
      </c>
      <c r="B379" s="3102" t="str">
        <f>B$370</f>
        <v>AMI Platform</v>
      </c>
      <c r="C379" s="3102" t="str">
        <f>C$370</f>
        <v>Host Core</v>
      </c>
      <c r="D379" s="3102" t="str">
        <f t="shared" ref="D379:J379" si="71">D$370</f>
        <v>vCore/core</v>
      </c>
      <c r="E379" s="3102" t="str">
        <f t="shared" si="71"/>
        <v>MHz</v>
      </c>
      <c r="F379" s="3102" t="str">
        <f t="shared" si="71"/>
        <v>Rate2006</v>
      </c>
      <c r="G379" s="3102" t="str">
        <f t="shared" si="71"/>
        <v>Per Core</v>
      </c>
      <c r="H379" s="3102" t="str">
        <f t="shared" si="71"/>
        <v>Core</v>
      </c>
      <c r="I379" s="3102" t="str">
        <f t="shared" si="71"/>
        <v>Vendor</v>
      </c>
      <c r="J379" s="3102" t="str">
        <f t="shared" si="71"/>
        <v>vRAM</v>
      </c>
      <c r="K379" s="3102"/>
      <c r="L379" s="3171">
        <v>8760</v>
      </c>
      <c r="M379" s="3102" t="str">
        <f>M$370</f>
        <v>vCore</v>
      </c>
      <c r="N379" s="3102" t="str">
        <f>N$370</f>
        <v>Threds/core</v>
      </c>
      <c r="O379" s="3102" t="str">
        <f>O$370</f>
        <v>HostCore</v>
      </c>
      <c r="P379" s="3102" t="str">
        <f>P$370</f>
        <v>Rate2006</v>
      </c>
      <c r="Q379" s="3102"/>
      <c r="V379" s="3167"/>
    </row>
    <row r="380" spans="1:22" s="693" customFormat="1" hidden="1" outlineLevel="2" x14ac:dyDescent="0.15">
      <c r="A380" s="3136" t="str">
        <f>CONCATENATE(B380," ",C380," core (",H380," chip) ",E380," MHz")</f>
        <v>Xeon E5-2670v2 20 core (2 chip) 2500 MHz</v>
      </c>
      <c r="B380" s="661" t="s">
        <v>1757</v>
      </c>
      <c r="C380" s="2025">
        <v>20</v>
      </c>
      <c r="D380" s="50">
        <v>10</v>
      </c>
      <c r="E380" s="639">
        <v>2500</v>
      </c>
      <c r="F380" s="2012">
        <v>791</v>
      </c>
      <c r="G380" s="2015">
        <f>IF(F380=0,"",F380/C380)</f>
        <v>39.549999999999997</v>
      </c>
      <c r="H380" s="2603">
        <f>IF(C380=0,"",C380/D380)</f>
        <v>2</v>
      </c>
      <c r="I380" s="647" t="s">
        <v>335</v>
      </c>
      <c r="J380" s="2048">
        <v>130</v>
      </c>
      <c r="K380" s="2650"/>
      <c r="L380" s="1304"/>
      <c r="M380" s="1304"/>
      <c r="N380" s="1304"/>
      <c r="O380" s="1304"/>
      <c r="P380" s="1305"/>
      <c r="Q380" s="1305"/>
      <c r="V380" s="3174"/>
    </row>
    <row r="381" spans="1:22" s="693" customFormat="1" hidden="1" outlineLevel="2" x14ac:dyDescent="0.15">
      <c r="A381" s="630" t="str">
        <f t="shared" si="63"/>
        <v>AMI m3.medium (1vc) 1 core (2600 MHz) 3.75 GB</v>
      </c>
      <c r="B381" s="2036" t="s">
        <v>1534</v>
      </c>
      <c r="C381" s="2024" t="str">
        <f>O381</f>
        <v>1</v>
      </c>
      <c r="D381" s="2561">
        <f t="shared" si="65"/>
        <v>1</v>
      </c>
      <c r="E381" s="639">
        <v>2600</v>
      </c>
      <c r="F381" s="2011">
        <f t="shared" si="69"/>
        <v>29.384615384615387</v>
      </c>
      <c r="G381" s="2015">
        <f t="shared" si="60"/>
        <v>29.384615384615387</v>
      </c>
      <c r="H381" s="3101">
        <f>IF(C381=0,"",C381/D381)</f>
        <v>1</v>
      </c>
      <c r="I381" s="647" t="s">
        <v>335</v>
      </c>
      <c r="J381" s="2643">
        <v>3.75</v>
      </c>
      <c r="K381" s="2899" t="s">
        <v>1530</v>
      </c>
      <c r="L381" s="2900">
        <f>L$379*V381*3</f>
        <v>3758.0399999999995</v>
      </c>
      <c r="M381" s="3054" t="str">
        <f t="shared" ref="M381:M441" si="72">MID(B381, FIND("(",B381,1)+1, FIND(")",B381,1)- FIND("(",B381,1)-3)</f>
        <v>1</v>
      </c>
      <c r="N381" s="3104">
        <v>1</v>
      </c>
      <c r="O381" s="3100" t="str">
        <f>M381</f>
        <v>1</v>
      </c>
      <c r="P381" s="2015">
        <v>38.200000000000003</v>
      </c>
      <c r="Q381" s="2015"/>
      <c r="R381" s="3074">
        <f t="shared" si="68"/>
        <v>1</v>
      </c>
      <c r="S381" s="3073">
        <f t="shared" ref="S381:S441" si="73">R381*4*0.8*F381/13.4</f>
        <v>7.0172215843857639</v>
      </c>
      <c r="T381" s="3073">
        <f t="shared" si="70"/>
        <v>8</v>
      </c>
      <c r="V381" s="3175">
        <v>0.14299999999999999</v>
      </c>
    </row>
    <row r="382" spans="1:22" s="693" customFormat="1" hidden="1" outlineLevel="2" x14ac:dyDescent="0.15">
      <c r="A382" s="630" t="str">
        <f t="shared" si="63"/>
        <v>AMI m3.large (2vc) 1 core (2600 MHz) 7.5 GB</v>
      </c>
      <c r="B382" s="2036" t="s">
        <v>1339</v>
      </c>
      <c r="C382" s="2024">
        <f t="shared" si="64"/>
        <v>1</v>
      </c>
      <c r="D382" s="2561">
        <f t="shared" si="65"/>
        <v>2</v>
      </c>
      <c r="E382" s="639">
        <v>2600</v>
      </c>
      <c r="F382" s="2011">
        <f t="shared" si="69"/>
        <v>38.200000000000003</v>
      </c>
      <c r="G382" s="2015">
        <f t="shared" si="60"/>
        <v>38.200000000000003</v>
      </c>
      <c r="H382" s="3101">
        <f>IF(C382=0,"",C382/D382)</f>
        <v>0.5</v>
      </c>
      <c r="I382" s="647" t="s">
        <v>335</v>
      </c>
      <c r="J382" s="2643">
        <v>7.5</v>
      </c>
      <c r="K382" s="2899" t="s">
        <v>1531</v>
      </c>
      <c r="L382" s="2900">
        <f t="shared" ref="L382:L384" si="74">L$379*V382*3</f>
        <v>7489.7999999999993</v>
      </c>
      <c r="M382" s="3054" t="str">
        <f t="shared" si="72"/>
        <v>2</v>
      </c>
      <c r="N382" s="3104">
        <v>2</v>
      </c>
      <c r="O382" s="3100">
        <f t="shared" ref="O382:O441" si="75">M382/N382</f>
        <v>1</v>
      </c>
      <c r="P382" s="2015">
        <v>38.200000000000003</v>
      </c>
      <c r="Q382" s="2015"/>
      <c r="R382" s="3074">
        <f t="shared" si="68"/>
        <v>2</v>
      </c>
      <c r="S382" s="3073">
        <f t="shared" si="73"/>
        <v>18.244776119402985</v>
      </c>
      <c r="T382" s="3073">
        <f t="shared" si="70"/>
        <v>16</v>
      </c>
      <c r="V382" s="3175">
        <v>0.28499999999999998</v>
      </c>
    </row>
    <row r="383" spans="1:22" s="693" customFormat="1" hidden="1" outlineLevel="2" x14ac:dyDescent="0.15">
      <c r="A383" s="630" t="str">
        <f t="shared" si="63"/>
        <v>AMI m3.xlarge (4vc) 2 core (2600 MHz) 15 GB</v>
      </c>
      <c r="B383" s="2036" t="s">
        <v>1338</v>
      </c>
      <c r="C383" s="2024">
        <f t="shared" si="64"/>
        <v>2</v>
      </c>
      <c r="D383" s="2561">
        <f t="shared" si="65"/>
        <v>2</v>
      </c>
      <c r="E383" s="639">
        <v>2600</v>
      </c>
      <c r="F383" s="2011">
        <f t="shared" si="69"/>
        <v>76.400000000000006</v>
      </c>
      <c r="G383" s="2015">
        <f t="shared" si="60"/>
        <v>38.200000000000003</v>
      </c>
      <c r="H383" s="3101">
        <f>IF(C383=0,"",C383/D383)</f>
        <v>1</v>
      </c>
      <c r="I383" s="647" t="s">
        <v>335</v>
      </c>
      <c r="J383" s="2643">
        <v>15</v>
      </c>
      <c r="K383" s="2899" t="s">
        <v>1532</v>
      </c>
      <c r="L383" s="2900">
        <f t="shared" si="74"/>
        <v>14979.599999999999</v>
      </c>
      <c r="M383" s="3054" t="str">
        <f t="shared" si="72"/>
        <v>4</v>
      </c>
      <c r="N383" s="3104">
        <v>2</v>
      </c>
      <c r="O383" s="3100">
        <f t="shared" si="75"/>
        <v>2</v>
      </c>
      <c r="P383" s="2015">
        <v>38.200000000000003</v>
      </c>
      <c r="Q383" s="2015"/>
      <c r="R383" s="3074">
        <f t="shared" si="68"/>
        <v>2</v>
      </c>
      <c r="S383" s="3073">
        <f t="shared" si="73"/>
        <v>36.48955223880597</v>
      </c>
      <c r="T383" s="3073">
        <f t="shared" si="70"/>
        <v>32</v>
      </c>
      <c r="V383" s="3175">
        <v>0.56999999999999995</v>
      </c>
    </row>
    <row r="384" spans="1:22" s="693" customFormat="1" hidden="1" outlineLevel="2" x14ac:dyDescent="0.15">
      <c r="A384" s="630" t="str">
        <f t="shared" si="63"/>
        <v>AMI m3.2xlarge (8vc) 4 core (2600 MHz) 30 GB</v>
      </c>
      <c r="B384" s="2036" t="s">
        <v>1340</v>
      </c>
      <c r="C384" s="2024">
        <f t="shared" si="64"/>
        <v>4</v>
      </c>
      <c r="D384" s="2561">
        <f t="shared" si="65"/>
        <v>2</v>
      </c>
      <c r="E384" s="639">
        <v>2600</v>
      </c>
      <c r="F384" s="2011">
        <f t="shared" si="69"/>
        <v>152.80000000000001</v>
      </c>
      <c r="G384" s="2015">
        <f t="shared" si="60"/>
        <v>38.200000000000003</v>
      </c>
      <c r="H384" s="3101">
        <f>IF(C384=0,"",C384/D384)</f>
        <v>2</v>
      </c>
      <c r="I384" s="647" t="s">
        <v>335</v>
      </c>
      <c r="J384" s="2643">
        <v>30</v>
      </c>
      <c r="K384" s="2899" t="s">
        <v>1533</v>
      </c>
      <c r="L384" s="2900">
        <f t="shared" si="74"/>
        <v>29959.199999999997</v>
      </c>
      <c r="M384" s="3054" t="str">
        <f t="shared" si="72"/>
        <v>8</v>
      </c>
      <c r="N384" s="3104">
        <v>2</v>
      </c>
      <c r="O384" s="3100">
        <f t="shared" si="75"/>
        <v>4</v>
      </c>
      <c r="P384" s="2015">
        <v>38.200000000000003</v>
      </c>
      <c r="Q384" s="2015"/>
      <c r="R384" s="3074">
        <f t="shared" si="68"/>
        <v>2</v>
      </c>
      <c r="S384" s="3073">
        <f t="shared" si="73"/>
        <v>72.979104477611941</v>
      </c>
      <c r="T384" s="3073">
        <f t="shared" si="70"/>
        <v>64</v>
      </c>
      <c r="V384" s="3175">
        <v>1.1399999999999999</v>
      </c>
    </row>
    <row r="385" spans="1:22" hidden="1" outlineLevel="1" collapsed="1" x14ac:dyDescent="0.15">
      <c r="A385" s="3057" t="s">
        <v>1761</v>
      </c>
      <c r="B385" s="3102" t="str">
        <f>B$370</f>
        <v>AMI Platform</v>
      </c>
      <c r="C385" s="3102" t="str">
        <f>C$370</f>
        <v>Host Core</v>
      </c>
      <c r="D385" s="3102" t="str">
        <f t="shared" ref="D385:J385" si="76">D$370</f>
        <v>vCore/core</v>
      </c>
      <c r="E385" s="3102" t="str">
        <f t="shared" si="76"/>
        <v>MHz</v>
      </c>
      <c r="F385" s="3102" t="str">
        <f t="shared" si="76"/>
        <v>Rate2006</v>
      </c>
      <c r="G385" s="3102" t="str">
        <f t="shared" si="76"/>
        <v>Per Core</v>
      </c>
      <c r="H385" s="3102" t="str">
        <f t="shared" si="76"/>
        <v>Core</v>
      </c>
      <c r="I385" s="3102" t="str">
        <f t="shared" si="76"/>
        <v>Vendor</v>
      </c>
      <c r="J385" s="3102" t="str">
        <f t="shared" si="76"/>
        <v>vRAM</v>
      </c>
      <c r="K385" s="3102"/>
      <c r="L385" s="3171">
        <v>8760</v>
      </c>
      <c r="M385" s="3102" t="str">
        <f>M$370</f>
        <v>vCore</v>
      </c>
      <c r="N385" s="3102" t="str">
        <f>N$370</f>
        <v>Threds/core</v>
      </c>
      <c r="O385" s="3102" t="str">
        <f>O$370</f>
        <v>HostCore</v>
      </c>
      <c r="P385" s="3102" t="str">
        <f>P$370</f>
        <v>Rate2006</v>
      </c>
      <c r="Q385" s="3102"/>
      <c r="R385" s="3074"/>
      <c r="S385" s="3073"/>
      <c r="V385" s="3167"/>
    </row>
    <row r="386" spans="1:22" s="693" customFormat="1" hidden="1" outlineLevel="2" x14ac:dyDescent="0.15">
      <c r="A386" s="3136" t="str">
        <f>CONCATENATE(B386," ",C386," core (",H386," chip) ",E386," MHz")</f>
        <v>Xeon E5-2666v3 20 core (2 chip) 2900 MHz</v>
      </c>
      <c r="B386" s="661" t="s">
        <v>1778</v>
      </c>
      <c r="C386" s="2025">
        <v>20</v>
      </c>
      <c r="D386" s="50">
        <v>10</v>
      </c>
      <c r="E386" s="639">
        <v>2900</v>
      </c>
      <c r="F386" s="2012">
        <v>952</v>
      </c>
      <c r="G386" s="2015">
        <f t="shared" ref="G386:G391" si="77">IF(F386=0,"",F386/C386)</f>
        <v>47.6</v>
      </c>
      <c r="H386" s="2603">
        <f t="shared" ref="H386:H391" si="78">IF(C386=0,"",C386/D386)</f>
        <v>2</v>
      </c>
      <c r="I386" s="647" t="s">
        <v>335</v>
      </c>
      <c r="J386" s="2048">
        <v>130</v>
      </c>
      <c r="K386" s="2650"/>
      <c r="L386" s="1304"/>
      <c r="M386" s="1304"/>
      <c r="N386" s="1304"/>
      <c r="O386" s="1304"/>
      <c r="P386" s="1305"/>
      <c r="Q386" s="1305"/>
      <c r="V386" s="3174"/>
    </row>
    <row r="387" spans="1:22" s="693" customFormat="1" hidden="1" outlineLevel="2" x14ac:dyDescent="0.15">
      <c r="A387" s="630" t="str">
        <f t="shared" si="63"/>
        <v>AMI c4.large (2vc) 1 core (2900 MHz) 3.75 GB</v>
      </c>
      <c r="B387" s="2036" t="s">
        <v>1493</v>
      </c>
      <c r="C387" s="2024">
        <f t="shared" ref="C387:C403" si="79">O387</f>
        <v>1</v>
      </c>
      <c r="D387" s="2561">
        <f t="shared" ref="D387:D398" si="80">N387</f>
        <v>2</v>
      </c>
      <c r="E387" s="639">
        <v>2900</v>
      </c>
      <c r="F387" s="2011">
        <f t="shared" si="69"/>
        <v>47.6</v>
      </c>
      <c r="G387" s="2562">
        <f t="shared" si="77"/>
        <v>47.6</v>
      </c>
      <c r="H387" s="2603">
        <f t="shared" si="78"/>
        <v>0.5</v>
      </c>
      <c r="I387" s="647" t="s">
        <v>335</v>
      </c>
      <c r="J387" s="2644">
        <v>3.75</v>
      </c>
      <c r="K387" s="2902" t="s">
        <v>1535</v>
      </c>
      <c r="L387" s="2900">
        <f>L$385*V387*3</f>
        <v>5308.56</v>
      </c>
      <c r="M387" s="3054" t="str">
        <f t="shared" si="72"/>
        <v>2</v>
      </c>
      <c r="N387" s="3103">
        <v>2</v>
      </c>
      <c r="O387" s="3100">
        <f t="shared" si="75"/>
        <v>1</v>
      </c>
      <c r="P387" s="2562">
        <v>47.6</v>
      </c>
      <c r="Q387" s="2562"/>
      <c r="R387" s="3074">
        <f t="shared" si="68"/>
        <v>2</v>
      </c>
      <c r="S387" s="3073">
        <f t="shared" si="73"/>
        <v>22.734328358208959</v>
      </c>
      <c r="T387" s="3073">
        <f>8*M387</f>
        <v>16</v>
      </c>
      <c r="V387" s="3176">
        <v>0.20200000000000001</v>
      </c>
    </row>
    <row r="388" spans="1:22" s="693" customFormat="1" hidden="1" outlineLevel="2" x14ac:dyDescent="0.15">
      <c r="A388" s="630" t="str">
        <f t="shared" si="63"/>
        <v>AMI c4.xlarge (4vc) 2 core (2900 MHz) 7.5 GB</v>
      </c>
      <c r="B388" s="2036" t="s">
        <v>1494</v>
      </c>
      <c r="C388" s="2024">
        <f t="shared" si="79"/>
        <v>2</v>
      </c>
      <c r="D388" s="2561">
        <f t="shared" si="80"/>
        <v>2</v>
      </c>
      <c r="E388" s="639">
        <v>2900</v>
      </c>
      <c r="F388" s="2011">
        <f t="shared" si="69"/>
        <v>95.2</v>
      </c>
      <c r="G388" s="2562">
        <f t="shared" si="77"/>
        <v>47.6</v>
      </c>
      <c r="H388" s="2603">
        <f t="shared" si="78"/>
        <v>1</v>
      </c>
      <c r="I388" s="647" t="s">
        <v>335</v>
      </c>
      <c r="J388" s="2644">
        <v>7.5</v>
      </c>
      <c r="K388" s="2902" t="s">
        <v>1535</v>
      </c>
      <c r="L388" s="2900">
        <f t="shared" ref="L388:L391" si="81">L$385*V388*3</f>
        <v>10590.84</v>
      </c>
      <c r="M388" s="3054" t="str">
        <f t="shared" si="72"/>
        <v>4</v>
      </c>
      <c r="N388" s="3103">
        <v>2</v>
      </c>
      <c r="O388" s="3100">
        <f t="shared" si="75"/>
        <v>2</v>
      </c>
      <c r="P388" s="2562">
        <v>47.6</v>
      </c>
      <c r="Q388" s="2562"/>
      <c r="R388" s="3074">
        <f t="shared" si="68"/>
        <v>2</v>
      </c>
      <c r="S388" s="3073">
        <f t="shared" si="73"/>
        <v>45.468656716417918</v>
      </c>
      <c r="T388" s="3073">
        <f t="shared" ref="T388:T427" si="82">8*M388</f>
        <v>32</v>
      </c>
      <c r="V388" s="3176">
        <v>0.40300000000000002</v>
      </c>
    </row>
    <row r="389" spans="1:22" s="693" customFormat="1" hidden="1" outlineLevel="2" x14ac:dyDescent="0.15">
      <c r="A389" s="630" t="str">
        <f t="shared" si="63"/>
        <v>AMI c4.2xlarge (8vc) 4 core (2900 MHz) 15 GB</v>
      </c>
      <c r="B389" s="2036" t="s">
        <v>1356</v>
      </c>
      <c r="C389" s="2024">
        <f t="shared" si="79"/>
        <v>4</v>
      </c>
      <c r="D389" s="2561">
        <f t="shared" si="80"/>
        <v>2</v>
      </c>
      <c r="E389" s="639">
        <v>2900</v>
      </c>
      <c r="F389" s="2011">
        <f t="shared" si="69"/>
        <v>190.4</v>
      </c>
      <c r="G389" s="2562">
        <f t="shared" si="77"/>
        <v>47.6</v>
      </c>
      <c r="H389" s="2603">
        <f t="shared" si="78"/>
        <v>2</v>
      </c>
      <c r="I389" s="647" t="s">
        <v>335</v>
      </c>
      <c r="J389" s="2644">
        <v>15</v>
      </c>
      <c r="K389" s="2902" t="s">
        <v>1535</v>
      </c>
      <c r="L389" s="2900">
        <f t="shared" si="81"/>
        <v>21181.68</v>
      </c>
      <c r="M389" s="3054" t="str">
        <f t="shared" si="72"/>
        <v>8</v>
      </c>
      <c r="N389" s="3103">
        <v>2</v>
      </c>
      <c r="O389" s="3100">
        <f t="shared" si="75"/>
        <v>4</v>
      </c>
      <c r="P389" s="2562">
        <v>47.6</v>
      </c>
      <c r="Q389" s="2562"/>
      <c r="R389" s="3074">
        <f t="shared" si="68"/>
        <v>2</v>
      </c>
      <c r="S389" s="3073">
        <f t="shared" si="73"/>
        <v>90.937313432835836</v>
      </c>
      <c r="T389" s="3073">
        <f t="shared" si="82"/>
        <v>64</v>
      </c>
      <c r="V389" s="3176">
        <v>0.80600000000000005</v>
      </c>
    </row>
    <row r="390" spans="1:22" s="693" customFormat="1" hidden="1" outlineLevel="2" x14ac:dyDescent="0.15">
      <c r="A390" s="630" t="str">
        <f t="shared" si="63"/>
        <v>AMI c4.4xlarge (16vc) 8 core (2900 MHz) 30 GB</v>
      </c>
      <c r="B390" s="2036" t="s">
        <v>1495</v>
      </c>
      <c r="C390" s="2024">
        <f t="shared" si="79"/>
        <v>8</v>
      </c>
      <c r="D390" s="2561">
        <f t="shared" si="80"/>
        <v>2</v>
      </c>
      <c r="E390" s="639">
        <v>2900</v>
      </c>
      <c r="F390" s="2011">
        <f t="shared" si="69"/>
        <v>380.8</v>
      </c>
      <c r="G390" s="2562">
        <f t="shared" si="77"/>
        <v>47.6</v>
      </c>
      <c r="H390" s="2603">
        <f t="shared" si="78"/>
        <v>4</v>
      </c>
      <c r="I390" s="647" t="s">
        <v>335</v>
      </c>
      <c r="J390" s="2644">
        <v>30</v>
      </c>
      <c r="K390" s="2902" t="s">
        <v>1535</v>
      </c>
      <c r="L390" s="2900">
        <f t="shared" si="81"/>
        <v>42363.360000000001</v>
      </c>
      <c r="M390" s="3054" t="str">
        <f t="shared" si="72"/>
        <v>16</v>
      </c>
      <c r="N390" s="3103">
        <v>2</v>
      </c>
      <c r="O390" s="3100">
        <f t="shared" si="75"/>
        <v>8</v>
      </c>
      <c r="P390" s="2562">
        <v>47.6</v>
      </c>
      <c r="Q390" s="2562"/>
      <c r="R390" s="3074">
        <f t="shared" si="68"/>
        <v>2</v>
      </c>
      <c r="S390" s="3073">
        <f t="shared" si="73"/>
        <v>181.87462686567167</v>
      </c>
      <c r="T390" s="3073">
        <f t="shared" si="82"/>
        <v>128</v>
      </c>
      <c r="V390" s="3176">
        <v>1.6120000000000001</v>
      </c>
    </row>
    <row r="391" spans="1:22" s="693" customFormat="1" hidden="1" outlineLevel="2" x14ac:dyDescent="0.15">
      <c r="A391" s="630" t="str">
        <f t="shared" si="63"/>
        <v>AMI c4.8xlarge (32vc) 16 core (2900 MHz) 60 GB</v>
      </c>
      <c r="B391" s="2036" t="s">
        <v>1496</v>
      </c>
      <c r="C391" s="2024">
        <f t="shared" si="79"/>
        <v>16</v>
      </c>
      <c r="D391" s="2561">
        <f t="shared" si="80"/>
        <v>2</v>
      </c>
      <c r="E391" s="639">
        <v>2900</v>
      </c>
      <c r="F391" s="2011">
        <f t="shared" si="69"/>
        <v>761.6</v>
      </c>
      <c r="G391" s="2562">
        <f t="shared" si="77"/>
        <v>47.6</v>
      </c>
      <c r="H391" s="2603">
        <f t="shared" si="78"/>
        <v>8</v>
      </c>
      <c r="I391" s="647" t="s">
        <v>335</v>
      </c>
      <c r="J391" s="2644">
        <v>60</v>
      </c>
      <c r="K391" s="2902" t="s">
        <v>1535</v>
      </c>
      <c r="L391" s="2900">
        <f t="shared" si="81"/>
        <v>81231.48000000001</v>
      </c>
      <c r="M391" s="3054" t="str">
        <f t="shared" si="72"/>
        <v>32</v>
      </c>
      <c r="N391" s="3103">
        <v>2</v>
      </c>
      <c r="O391" s="3100">
        <f t="shared" si="75"/>
        <v>16</v>
      </c>
      <c r="P391" s="2562">
        <v>47.6</v>
      </c>
      <c r="Q391" s="2562"/>
      <c r="R391" s="3074">
        <f t="shared" si="68"/>
        <v>2</v>
      </c>
      <c r="S391" s="3073">
        <f t="shared" si="73"/>
        <v>363.74925373134334</v>
      </c>
      <c r="T391" s="3073">
        <f t="shared" si="82"/>
        <v>256</v>
      </c>
      <c r="V391" s="3176">
        <v>3.0910000000000002</v>
      </c>
    </row>
    <row r="392" spans="1:22" hidden="1" outlineLevel="1" collapsed="1" x14ac:dyDescent="0.15">
      <c r="A392" s="3057" t="s">
        <v>1762</v>
      </c>
      <c r="B392" s="3102" t="str">
        <f>B$370</f>
        <v>AMI Platform</v>
      </c>
      <c r="C392" s="3102" t="str">
        <f>C$370</f>
        <v>Host Core</v>
      </c>
      <c r="D392" s="3102" t="str">
        <f t="shared" ref="D392:J392" si="83">D$370</f>
        <v>vCore/core</v>
      </c>
      <c r="E392" s="3102" t="str">
        <f t="shared" si="83"/>
        <v>MHz</v>
      </c>
      <c r="F392" s="3102" t="str">
        <f t="shared" si="83"/>
        <v>Rate2006</v>
      </c>
      <c r="G392" s="3102" t="str">
        <f t="shared" si="83"/>
        <v>Per Core</v>
      </c>
      <c r="H392" s="3102" t="str">
        <f t="shared" si="83"/>
        <v>Core</v>
      </c>
      <c r="I392" s="3102" t="str">
        <f t="shared" si="83"/>
        <v>Vendor</v>
      </c>
      <c r="J392" s="3102" t="str">
        <f t="shared" si="83"/>
        <v>vRAM</v>
      </c>
      <c r="K392" s="3102"/>
      <c r="L392" s="3171">
        <v>8760</v>
      </c>
      <c r="M392" s="3102" t="str">
        <f>M$370</f>
        <v>vCore</v>
      </c>
      <c r="N392" s="3102" t="str">
        <f>N$370</f>
        <v>Threds/core</v>
      </c>
      <c r="O392" s="3102" t="str">
        <f>O$370</f>
        <v>HostCore</v>
      </c>
      <c r="P392" s="3102" t="str">
        <f>P$370</f>
        <v>Rate2006</v>
      </c>
      <c r="Q392" s="3102"/>
      <c r="R392" s="3074"/>
      <c r="S392" s="3073"/>
      <c r="V392" s="3167"/>
    </row>
    <row r="393" spans="1:22" s="693" customFormat="1" hidden="1" outlineLevel="2" x14ac:dyDescent="0.15">
      <c r="A393" s="3136" t="str">
        <f>CONCATENATE(B393," ",C393," core (",H393," chip) ",E393," MHz")</f>
        <v>Xeon E5-2680v2 20 core (2 chip) 2800 MHz</v>
      </c>
      <c r="B393" s="661" t="s">
        <v>1178</v>
      </c>
      <c r="C393" s="2025">
        <v>20</v>
      </c>
      <c r="D393" s="50">
        <v>10</v>
      </c>
      <c r="E393" s="639">
        <v>2800</v>
      </c>
      <c r="F393" s="2012">
        <v>831</v>
      </c>
      <c r="G393" s="2015">
        <f t="shared" ref="G393:G398" si="84">IF(F393=0,"",F393/C393)</f>
        <v>41.55</v>
      </c>
      <c r="H393" s="2603">
        <f t="shared" ref="H393:H398" si="85">IF(C393=0,"",C393/D393)</f>
        <v>2</v>
      </c>
      <c r="I393" s="647" t="s">
        <v>335</v>
      </c>
      <c r="J393" s="2048">
        <v>130</v>
      </c>
      <c r="K393" s="2650"/>
      <c r="L393" s="1304"/>
      <c r="M393" s="1304"/>
      <c r="N393" s="1304"/>
      <c r="O393" s="1304"/>
      <c r="P393" s="1305"/>
      <c r="Q393" s="1305"/>
      <c r="V393" s="3174"/>
    </row>
    <row r="394" spans="1:22" s="693" customFormat="1" hidden="1" outlineLevel="2" x14ac:dyDescent="0.15">
      <c r="A394" s="630" t="str">
        <f t="shared" si="63"/>
        <v>AMI c3.large (2vc) 1 core (2800 MHz) 3.75 GB</v>
      </c>
      <c r="B394" s="2036" t="s">
        <v>1497</v>
      </c>
      <c r="C394" s="2024">
        <f t="shared" si="79"/>
        <v>1</v>
      </c>
      <c r="D394" s="2561">
        <f t="shared" si="80"/>
        <v>2</v>
      </c>
      <c r="E394" s="639">
        <v>2800</v>
      </c>
      <c r="F394" s="2011">
        <f t="shared" si="69"/>
        <v>41.55</v>
      </c>
      <c r="G394" s="2562">
        <f t="shared" si="84"/>
        <v>41.55</v>
      </c>
      <c r="H394" s="2603">
        <f t="shared" si="85"/>
        <v>0.5</v>
      </c>
      <c r="I394" s="647" t="s">
        <v>335</v>
      </c>
      <c r="J394" s="2644">
        <v>3.75</v>
      </c>
      <c r="K394" s="2902" t="s">
        <v>1536</v>
      </c>
      <c r="L394" s="2900">
        <f>L$392*V394*3</f>
        <v>5439.96</v>
      </c>
      <c r="M394" s="3054" t="str">
        <f t="shared" si="72"/>
        <v>2</v>
      </c>
      <c r="N394" s="3103">
        <v>2</v>
      </c>
      <c r="O394" s="3100">
        <f t="shared" si="75"/>
        <v>1</v>
      </c>
      <c r="P394" s="2562">
        <v>41.55</v>
      </c>
      <c r="Q394" s="2562"/>
      <c r="R394" s="3074">
        <f t="shared" si="68"/>
        <v>2</v>
      </c>
      <c r="S394" s="3073">
        <f t="shared" si="73"/>
        <v>19.844776119402987</v>
      </c>
      <c r="T394" s="3073">
        <f t="shared" si="82"/>
        <v>16</v>
      </c>
      <c r="V394" s="3176">
        <v>0.20699999999999999</v>
      </c>
    </row>
    <row r="395" spans="1:22" s="693" customFormat="1" hidden="1" outlineLevel="2" x14ac:dyDescent="0.15">
      <c r="A395" s="630" t="str">
        <f t="shared" si="63"/>
        <v>AMI c3.xlarge (4vc) 2 core (2800 MHz) 7.5 GB</v>
      </c>
      <c r="B395" s="2036" t="s">
        <v>1498</v>
      </c>
      <c r="C395" s="2024">
        <f t="shared" si="79"/>
        <v>2</v>
      </c>
      <c r="D395" s="2561">
        <f t="shared" si="80"/>
        <v>2</v>
      </c>
      <c r="E395" s="639">
        <v>2800</v>
      </c>
      <c r="F395" s="2011">
        <f t="shared" si="69"/>
        <v>83.1</v>
      </c>
      <c r="G395" s="2562">
        <f t="shared" si="84"/>
        <v>41.55</v>
      </c>
      <c r="H395" s="2603">
        <f t="shared" si="85"/>
        <v>1</v>
      </c>
      <c r="I395" s="647" t="s">
        <v>335</v>
      </c>
      <c r="J395" s="2644">
        <v>7.5</v>
      </c>
      <c r="K395" s="2902" t="s">
        <v>1537</v>
      </c>
      <c r="L395" s="2900">
        <f t="shared" ref="L395:L398" si="86">L$392*V395*3</f>
        <v>10879.92</v>
      </c>
      <c r="M395" s="3054" t="str">
        <f t="shared" si="72"/>
        <v>4</v>
      </c>
      <c r="N395" s="3103">
        <v>2</v>
      </c>
      <c r="O395" s="3100">
        <f t="shared" si="75"/>
        <v>2</v>
      </c>
      <c r="P395" s="2562">
        <v>41.55</v>
      </c>
      <c r="Q395" s="2562"/>
      <c r="R395" s="3074">
        <f t="shared" si="68"/>
        <v>2</v>
      </c>
      <c r="S395" s="3073">
        <f t="shared" si="73"/>
        <v>39.689552238805973</v>
      </c>
      <c r="T395" s="3073">
        <f t="shared" si="82"/>
        <v>32</v>
      </c>
      <c r="V395" s="3176">
        <v>0.41399999999999998</v>
      </c>
    </row>
    <row r="396" spans="1:22" s="693" customFormat="1" hidden="1" outlineLevel="2" x14ac:dyDescent="0.15">
      <c r="A396" s="630" t="str">
        <f t="shared" si="63"/>
        <v>AMI c3.2xlarge (8vc) 4 core (2800 MHz) 15 GB</v>
      </c>
      <c r="B396" s="2036" t="s">
        <v>1499</v>
      </c>
      <c r="C396" s="2024">
        <f t="shared" si="79"/>
        <v>4</v>
      </c>
      <c r="D396" s="2561">
        <f t="shared" si="80"/>
        <v>2</v>
      </c>
      <c r="E396" s="639">
        <v>2800</v>
      </c>
      <c r="F396" s="2011">
        <f t="shared" si="69"/>
        <v>166.2</v>
      </c>
      <c r="G396" s="2562">
        <f t="shared" si="84"/>
        <v>41.55</v>
      </c>
      <c r="H396" s="2603">
        <f t="shared" si="85"/>
        <v>2</v>
      </c>
      <c r="I396" s="647" t="s">
        <v>335</v>
      </c>
      <c r="J396" s="2644">
        <v>15</v>
      </c>
      <c r="K396" s="2902" t="s">
        <v>1538</v>
      </c>
      <c r="L396" s="2900">
        <f t="shared" si="86"/>
        <v>21733.559999999998</v>
      </c>
      <c r="M396" s="3054" t="str">
        <f t="shared" si="72"/>
        <v>8</v>
      </c>
      <c r="N396" s="3103">
        <v>2</v>
      </c>
      <c r="O396" s="3100">
        <f t="shared" si="75"/>
        <v>4</v>
      </c>
      <c r="P396" s="2562">
        <v>41.55</v>
      </c>
      <c r="Q396" s="2562"/>
      <c r="R396" s="3074">
        <f t="shared" si="68"/>
        <v>2</v>
      </c>
      <c r="S396" s="3073">
        <f t="shared" si="73"/>
        <v>79.379104477611946</v>
      </c>
      <c r="T396" s="3073">
        <f t="shared" si="82"/>
        <v>64</v>
      </c>
      <c r="V396" s="3176">
        <v>0.82699999999999996</v>
      </c>
    </row>
    <row r="397" spans="1:22" s="693" customFormat="1" hidden="1" outlineLevel="2" x14ac:dyDescent="0.15">
      <c r="A397" s="630" t="str">
        <f t="shared" si="63"/>
        <v>AMI c3.4xlarge (16vc) 8 core (2800 MHz) 30 GB</v>
      </c>
      <c r="B397" s="2036" t="s">
        <v>1500</v>
      </c>
      <c r="C397" s="2024">
        <f t="shared" si="79"/>
        <v>8</v>
      </c>
      <c r="D397" s="2561">
        <f t="shared" si="80"/>
        <v>2</v>
      </c>
      <c r="E397" s="639">
        <v>2800</v>
      </c>
      <c r="F397" s="2011">
        <f t="shared" si="69"/>
        <v>332.4</v>
      </c>
      <c r="G397" s="2562">
        <f t="shared" si="84"/>
        <v>41.55</v>
      </c>
      <c r="H397" s="2603">
        <f t="shared" si="85"/>
        <v>4</v>
      </c>
      <c r="I397" s="647" t="s">
        <v>335</v>
      </c>
      <c r="J397" s="2644">
        <v>30</v>
      </c>
      <c r="K397" s="2902" t="s">
        <v>1539</v>
      </c>
      <c r="L397" s="2900">
        <f t="shared" si="86"/>
        <v>43467.119999999995</v>
      </c>
      <c r="M397" s="3054" t="str">
        <f t="shared" si="72"/>
        <v>16</v>
      </c>
      <c r="N397" s="3103">
        <v>2</v>
      </c>
      <c r="O397" s="3100">
        <f t="shared" si="75"/>
        <v>8</v>
      </c>
      <c r="P397" s="2562">
        <v>41.55</v>
      </c>
      <c r="Q397" s="2562"/>
      <c r="R397" s="3074">
        <f t="shared" si="68"/>
        <v>2</v>
      </c>
      <c r="S397" s="3073">
        <f t="shared" si="73"/>
        <v>158.75820895522389</v>
      </c>
      <c r="T397" s="3073">
        <f t="shared" si="82"/>
        <v>128</v>
      </c>
      <c r="V397" s="3176">
        <v>1.6539999999999999</v>
      </c>
    </row>
    <row r="398" spans="1:22" s="693" customFormat="1" hidden="1" outlineLevel="2" x14ac:dyDescent="0.15">
      <c r="A398" s="630" t="str">
        <f t="shared" si="63"/>
        <v>AMI c3.8xlarge (32vc) 16 core (2800 MHz) 60 GB</v>
      </c>
      <c r="B398" s="2036" t="s">
        <v>1501</v>
      </c>
      <c r="C398" s="2024">
        <f>O398</f>
        <v>16</v>
      </c>
      <c r="D398" s="2561">
        <f t="shared" si="80"/>
        <v>2</v>
      </c>
      <c r="E398" s="639">
        <v>2800</v>
      </c>
      <c r="F398" s="2011">
        <f t="shared" si="69"/>
        <v>664.8</v>
      </c>
      <c r="G398" s="2562">
        <f t="shared" si="84"/>
        <v>41.55</v>
      </c>
      <c r="H398" s="2603">
        <f t="shared" si="85"/>
        <v>8</v>
      </c>
      <c r="I398" s="647" t="s">
        <v>335</v>
      </c>
      <c r="J398" s="2644">
        <v>60</v>
      </c>
      <c r="K398" s="2902" t="s">
        <v>1540</v>
      </c>
      <c r="L398" s="2900">
        <f t="shared" si="86"/>
        <v>79050.240000000005</v>
      </c>
      <c r="M398" s="3054" t="str">
        <f t="shared" si="72"/>
        <v>32</v>
      </c>
      <c r="N398" s="3103">
        <v>2</v>
      </c>
      <c r="O398" s="3100">
        <f t="shared" si="75"/>
        <v>16</v>
      </c>
      <c r="P398" s="2562">
        <v>41.55</v>
      </c>
      <c r="Q398" s="2562"/>
      <c r="R398" s="3074">
        <f t="shared" si="68"/>
        <v>2</v>
      </c>
      <c r="S398" s="3073">
        <f t="shared" si="73"/>
        <v>317.51641791044779</v>
      </c>
      <c r="T398" s="3073">
        <f t="shared" si="82"/>
        <v>256</v>
      </c>
      <c r="V398" s="3176">
        <v>3.008</v>
      </c>
    </row>
    <row r="399" spans="1:22" hidden="1" outlineLevel="1" collapsed="1" x14ac:dyDescent="0.15">
      <c r="A399" s="3057" t="s">
        <v>1763</v>
      </c>
      <c r="B399" s="3102" t="str">
        <f>B$370</f>
        <v>AMI Platform</v>
      </c>
      <c r="C399" s="3102" t="str">
        <f>C$370</f>
        <v>Host Core</v>
      </c>
      <c r="D399" s="3102" t="str">
        <f t="shared" ref="D399:J399" si="87">D$370</f>
        <v>vCore/core</v>
      </c>
      <c r="E399" s="3102" t="str">
        <f t="shared" si="87"/>
        <v>MHz</v>
      </c>
      <c r="F399" s="3102" t="str">
        <f t="shared" si="87"/>
        <v>Rate2006</v>
      </c>
      <c r="G399" s="3102" t="str">
        <f t="shared" si="87"/>
        <v>Per Core</v>
      </c>
      <c r="H399" s="3102" t="str">
        <f t="shared" si="87"/>
        <v>Core</v>
      </c>
      <c r="I399" s="3102" t="str">
        <f t="shared" si="87"/>
        <v>Vendor</v>
      </c>
      <c r="J399" s="3102" t="str">
        <f t="shared" si="87"/>
        <v>vRAM</v>
      </c>
      <c r="K399" s="3102"/>
      <c r="L399" s="3171">
        <v>8760</v>
      </c>
      <c r="M399" s="3102" t="str">
        <f>M$370</f>
        <v>vCore</v>
      </c>
      <c r="N399" s="3102" t="str">
        <f>N$370</f>
        <v>Threds/core</v>
      </c>
      <c r="O399" s="3102" t="str">
        <f>O$370</f>
        <v>HostCore</v>
      </c>
      <c r="P399" s="3102" t="str">
        <f>P$370</f>
        <v>Rate2006</v>
      </c>
      <c r="Q399" s="3102"/>
      <c r="R399" s="3074"/>
      <c r="S399" s="3073"/>
      <c r="V399" s="3167"/>
    </row>
    <row r="400" spans="1:22" s="693" customFormat="1" hidden="1" outlineLevel="2" x14ac:dyDescent="0.15">
      <c r="A400" s="3136" t="str">
        <f>CONCATENATE(B400," ",C400," core (",H400," chip) ",E400," MHz")</f>
        <v>Xeon E5-2686v4 36 core (2 chip) 2300 MHz</v>
      </c>
      <c r="B400" s="661" t="s">
        <v>1777</v>
      </c>
      <c r="C400" s="2025">
        <v>36</v>
      </c>
      <c r="D400" s="50">
        <v>18</v>
      </c>
      <c r="E400" s="639">
        <v>2300</v>
      </c>
      <c r="F400" s="2012">
        <v>1577</v>
      </c>
      <c r="G400" s="2015">
        <f t="shared" ref="G400:G420" si="88">IF(F400=0,"",F400/C400)</f>
        <v>43.805555555555557</v>
      </c>
      <c r="H400" s="2603">
        <f t="shared" ref="H400:H420" si="89">IF(C400=0,"",C400/D400)</f>
        <v>2</v>
      </c>
      <c r="I400" s="647" t="s">
        <v>335</v>
      </c>
      <c r="J400" s="2048">
        <v>130</v>
      </c>
      <c r="K400" s="2650"/>
      <c r="L400" s="1304"/>
      <c r="M400" s="1304"/>
      <c r="N400" s="1304"/>
      <c r="O400" s="1304"/>
      <c r="P400" s="1305"/>
      <c r="Q400" s="1305"/>
      <c r="V400" s="3174"/>
    </row>
    <row r="401" spans="1:22" s="693" customFormat="1" hidden="1" outlineLevel="2" x14ac:dyDescent="0.15">
      <c r="A401" s="630" t="str">
        <f t="shared" si="63"/>
        <v>AMI p2.xlarge (4vc) 2 core (2300 MHz) 61 GB</v>
      </c>
      <c r="B401" s="2036" t="s">
        <v>1516</v>
      </c>
      <c r="C401" s="2024">
        <f>O401</f>
        <v>2</v>
      </c>
      <c r="D401" s="2561">
        <f>N401</f>
        <v>2</v>
      </c>
      <c r="E401" s="639">
        <v>2300</v>
      </c>
      <c r="F401" s="2011">
        <f t="shared" si="69"/>
        <v>87.611111111111114</v>
      </c>
      <c r="G401" s="2015">
        <f t="shared" si="88"/>
        <v>43.805555555555557</v>
      </c>
      <c r="H401" s="2603">
        <f t="shared" si="89"/>
        <v>1</v>
      </c>
      <c r="I401" s="647" t="s">
        <v>335</v>
      </c>
      <c r="J401" s="2643">
        <v>61</v>
      </c>
      <c r="K401" s="2899" t="s">
        <v>1541</v>
      </c>
      <c r="L401" s="2900">
        <f>L$399*V401*3</f>
        <v>30852.720000000001</v>
      </c>
      <c r="M401" s="3054" t="str">
        <f t="shared" si="72"/>
        <v>4</v>
      </c>
      <c r="N401" s="3103">
        <v>2</v>
      </c>
      <c r="O401" s="3100">
        <f t="shared" si="75"/>
        <v>2</v>
      </c>
      <c r="P401" s="2015">
        <v>43.805555555555557</v>
      </c>
      <c r="Q401" s="2015"/>
      <c r="R401" s="3074">
        <f t="shared" si="68"/>
        <v>2</v>
      </c>
      <c r="S401" s="3073">
        <f t="shared" si="73"/>
        <v>41.844112769485903</v>
      </c>
      <c r="T401" s="3073">
        <f t="shared" si="82"/>
        <v>32</v>
      </c>
      <c r="V401" s="3175">
        <v>1.1739999999999999</v>
      </c>
    </row>
    <row r="402" spans="1:22" s="693" customFormat="1" hidden="1" outlineLevel="2" x14ac:dyDescent="0.15">
      <c r="A402" s="630" t="str">
        <f t="shared" si="63"/>
        <v>AMI p2.8xlarge (8vc) 4 core (2300 MHz) 488 GB</v>
      </c>
      <c r="B402" s="2036" t="s">
        <v>1517</v>
      </c>
      <c r="C402" s="2024">
        <f t="shared" si="79"/>
        <v>4</v>
      </c>
      <c r="D402" s="2561">
        <f>N402</f>
        <v>2</v>
      </c>
      <c r="E402" s="639">
        <v>2300</v>
      </c>
      <c r="F402" s="2011">
        <f t="shared" si="69"/>
        <v>175.22222222222223</v>
      </c>
      <c r="G402" s="2015">
        <f t="shared" si="88"/>
        <v>43.805555555555557</v>
      </c>
      <c r="H402" s="2603">
        <f t="shared" si="89"/>
        <v>2</v>
      </c>
      <c r="I402" s="647" t="s">
        <v>335</v>
      </c>
      <c r="J402" s="2643">
        <v>488</v>
      </c>
      <c r="K402" s="2899" t="s">
        <v>1541</v>
      </c>
      <c r="L402" s="2900">
        <f t="shared" ref="L402:L403" si="90">L$399*V402*3</f>
        <v>246821.76000000001</v>
      </c>
      <c r="M402" s="3054" t="str">
        <f t="shared" si="72"/>
        <v>8</v>
      </c>
      <c r="N402" s="3103">
        <v>2</v>
      </c>
      <c r="O402" s="3100">
        <f t="shared" si="75"/>
        <v>4</v>
      </c>
      <c r="P402" s="2015">
        <v>43.805555555555557</v>
      </c>
      <c r="Q402" s="2015"/>
      <c r="R402" s="3074">
        <f t="shared" si="68"/>
        <v>2</v>
      </c>
      <c r="S402" s="3073">
        <f t="shared" si="73"/>
        <v>83.688225538971807</v>
      </c>
      <c r="T402" s="3073">
        <f t="shared" si="82"/>
        <v>64</v>
      </c>
      <c r="V402" s="3175">
        <v>9.3919999999999995</v>
      </c>
    </row>
    <row r="403" spans="1:22" s="693" customFormat="1" hidden="1" outlineLevel="2" x14ac:dyDescent="0.15">
      <c r="A403" s="630" t="str">
        <f t="shared" si="63"/>
        <v>AMI p2.16xlarge (16vc) 8 core (2300 MHz) 732 GB</v>
      </c>
      <c r="B403" s="2036" t="s">
        <v>1518</v>
      </c>
      <c r="C403" s="2024">
        <f t="shared" si="79"/>
        <v>8</v>
      </c>
      <c r="D403" s="2561">
        <f>N403</f>
        <v>2</v>
      </c>
      <c r="E403" s="639">
        <v>2300</v>
      </c>
      <c r="F403" s="2011">
        <f t="shared" si="69"/>
        <v>350.44444444444446</v>
      </c>
      <c r="G403" s="2015">
        <f t="shared" si="88"/>
        <v>43.805555555555557</v>
      </c>
      <c r="H403" s="2603">
        <f t="shared" si="89"/>
        <v>4</v>
      </c>
      <c r="I403" s="647" t="s">
        <v>335</v>
      </c>
      <c r="J403" s="2643">
        <v>732</v>
      </c>
      <c r="K403" s="2899" t="s">
        <v>1541</v>
      </c>
      <c r="L403" s="2900">
        <f t="shared" si="90"/>
        <v>455800.32000000001</v>
      </c>
      <c r="M403" s="3054" t="str">
        <f t="shared" si="72"/>
        <v>16</v>
      </c>
      <c r="N403" s="3103">
        <v>2</v>
      </c>
      <c r="O403" s="3100">
        <f t="shared" si="75"/>
        <v>8</v>
      </c>
      <c r="P403" s="2015">
        <v>43.805555555555557</v>
      </c>
      <c r="Q403" s="2015"/>
      <c r="R403" s="3074">
        <f t="shared" si="68"/>
        <v>2</v>
      </c>
      <c r="S403" s="3073">
        <f t="shared" si="73"/>
        <v>167.37645107794361</v>
      </c>
      <c r="T403" s="3073">
        <f t="shared" si="82"/>
        <v>128</v>
      </c>
      <c r="V403" s="3175">
        <v>17.344000000000001</v>
      </c>
    </row>
    <row r="404" spans="1:22" hidden="1" outlineLevel="1" collapsed="1" x14ac:dyDescent="0.15">
      <c r="A404" s="3057" t="s">
        <v>1807</v>
      </c>
      <c r="B404" s="3102" t="str">
        <f>B$370</f>
        <v>AMI Platform</v>
      </c>
      <c r="C404" s="3102" t="str">
        <f>C$370</f>
        <v>Host Core</v>
      </c>
      <c r="D404" s="3102" t="str">
        <f t="shared" ref="D404:J404" si="91">D$370</f>
        <v>vCore/core</v>
      </c>
      <c r="E404" s="3102" t="str">
        <f t="shared" si="91"/>
        <v>MHz</v>
      </c>
      <c r="F404" s="3102" t="str">
        <f t="shared" si="91"/>
        <v>Rate2006</v>
      </c>
      <c r="G404" s="3102" t="str">
        <f t="shared" si="91"/>
        <v>Per Core</v>
      </c>
      <c r="H404" s="3102" t="str">
        <f t="shared" si="91"/>
        <v>Core</v>
      </c>
      <c r="I404" s="3102" t="str">
        <f t="shared" si="91"/>
        <v>Vendor</v>
      </c>
      <c r="J404" s="3102" t="str">
        <f t="shared" si="91"/>
        <v>vRAM</v>
      </c>
      <c r="K404" s="3102"/>
      <c r="L404" s="3171">
        <v>2000</v>
      </c>
      <c r="M404" s="3102" t="str">
        <f>M$370</f>
        <v>vCore</v>
      </c>
      <c r="N404" s="3102" t="str">
        <f>N$370</f>
        <v>Threds/core</v>
      </c>
      <c r="O404" s="3102" t="str">
        <f>O$370</f>
        <v>HostCore</v>
      </c>
      <c r="P404" s="3102" t="str">
        <f>P$370</f>
        <v>Rate2006</v>
      </c>
      <c r="Q404" s="3102"/>
      <c r="R404" s="3074"/>
      <c r="S404" s="3073"/>
      <c r="V404" s="3167"/>
    </row>
    <row r="405" spans="1:22" s="693" customFormat="1" hidden="1" outlineLevel="2" x14ac:dyDescent="0.15">
      <c r="A405" s="3136" t="str">
        <f>CONCATENATE(B405," ",C405," core (",H405," chip) ",E405," MHz")</f>
        <v>Xeon E5-2686v4 36 core (2 chip) 2300 MHz</v>
      </c>
      <c r="B405" s="661" t="s">
        <v>1777</v>
      </c>
      <c r="C405" s="2025">
        <v>36</v>
      </c>
      <c r="D405" s="50">
        <v>18</v>
      </c>
      <c r="E405" s="639">
        <v>2300</v>
      </c>
      <c r="F405" s="2012">
        <v>1577</v>
      </c>
      <c r="G405" s="2015">
        <f>IF(F405=0,"",F405/C405)</f>
        <v>43.805555555555557</v>
      </c>
      <c r="H405" s="2603">
        <f>IF(C405=0,"",C405/D405)</f>
        <v>2</v>
      </c>
      <c r="I405" s="647" t="s">
        <v>335</v>
      </c>
      <c r="J405" s="2048">
        <v>130</v>
      </c>
      <c r="K405" s="2650"/>
      <c r="L405" s="1304"/>
      <c r="M405" s="1304"/>
      <c r="N405" s="1304"/>
      <c r="O405" s="1304"/>
      <c r="P405" s="1305"/>
      <c r="Q405" s="1305"/>
      <c r="U405" s="2338" t="s">
        <v>1809</v>
      </c>
      <c r="V405" s="3174"/>
    </row>
    <row r="406" spans="1:22" s="693" customFormat="1" hidden="1" outlineLevel="2" x14ac:dyDescent="0.15">
      <c r="A406" s="630" t="str">
        <f>CONCATENATE(B406," ",C406," core (",E406," MHz) ",J406," GB")</f>
        <v>AMI g3.4xlarge (16vc) 8 core (2300 MHz) 122 GB</v>
      </c>
      <c r="B406" s="2036" t="s">
        <v>1675</v>
      </c>
      <c r="C406" s="2024">
        <f t="shared" ref="C406:C441" si="92">O406</f>
        <v>8</v>
      </c>
      <c r="D406" s="2561">
        <f>N406</f>
        <v>2</v>
      </c>
      <c r="E406" s="639">
        <v>2300</v>
      </c>
      <c r="F406" s="2011">
        <f t="shared" ref="F406:F441" si="93">IF(N406=1,O406*P406/1.3,O406*P406)</f>
        <v>350.44444444444446</v>
      </c>
      <c r="G406" s="2015">
        <f>IF(F406=0,"",F406/C406)</f>
        <v>43.805555555555557</v>
      </c>
      <c r="H406" s="2603">
        <f>IF(C406=0,"",C406/D406)</f>
        <v>4</v>
      </c>
      <c r="I406" s="647" t="s">
        <v>335</v>
      </c>
      <c r="J406" s="2643">
        <v>122</v>
      </c>
      <c r="K406" s="2899" t="s">
        <v>1541</v>
      </c>
      <c r="L406" s="2900">
        <f>L$404*V406*3</f>
        <v>11940</v>
      </c>
      <c r="M406" s="3054" t="str">
        <f>MID(B406, FIND("(",B406,1)+1, FIND(")",B406,1)- FIND("(",B406,1)-3)</f>
        <v>16</v>
      </c>
      <c r="N406" s="3103">
        <v>2</v>
      </c>
      <c r="O406" s="3100">
        <f t="shared" si="75"/>
        <v>8</v>
      </c>
      <c r="P406" s="2015">
        <v>43.805555555555557</v>
      </c>
      <c r="Q406" s="2015"/>
      <c r="R406" s="3074">
        <f t="shared" si="68"/>
        <v>2</v>
      </c>
      <c r="S406" s="3073">
        <f t="shared" si="73"/>
        <v>167.37645107794361</v>
      </c>
      <c r="T406" s="3073">
        <f t="shared" si="82"/>
        <v>128</v>
      </c>
      <c r="U406" s="2338">
        <v>1</v>
      </c>
      <c r="V406" s="3175">
        <v>1.99</v>
      </c>
    </row>
    <row r="407" spans="1:22" s="693" customFormat="1" hidden="1" outlineLevel="2" x14ac:dyDescent="0.15">
      <c r="A407" s="630" t="str">
        <f>CONCATENATE(B407," ",C407," core (",E407," MHz) ",J407," GB")</f>
        <v>AMI g3.8xlarge (32vc) 16 core (2300 MHz) 244 GB</v>
      </c>
      <c r="B407" s="2036" t="s">
        <v>1676</v>
      </c>
      <c r="C407" s="2024">
        <f t="shared" si="92"/>
        <v>16</v>
      </c>
      <c r="D407" s="2561">
        <f>N407</f>
        <v>2</v>
      </c>
      <c r="E407" s="639">
        <v>2300</v>
      </c>
      <c r="F407" s="2011">
        <f t="shared" si="93"/>
        <v>700.88888888888891</v>
      </c>
      <c r="G407" s="2015">
        <f>IF(F407=0,"",F407/C407)</f>
        <v>43.805555555555557</v>
      </c>
      <c r="H407" s="2603">
        <f>IF(C407=0,"",C407/D407)</f>
        <v>8</v>
      </c>
      <c r="I407" s="647" t="s">
        <v>335</v>
      </c>
      <c r="J407" s="2643">
        <v>244</v>
      </c>
      <c r="K407" s="2899" t="s">
        <v>1541</v>
      </c>
      <c r="L407" s="2900">
        <f t="shared" ref="L407:L408" si="94">L$404*V407*3</f>
        <v>23880</v>
      </c>
      <c r="M407" s="3054" t="str">
        <f>MID(B407, FIND("(",B407,1)+1, FIND(")",B407,1)- FIND("(",B407,1)-3)</f>
        <v>32</v>
      </c>
      <c r="N407" s="3103">
        <v>2</v>
      </c>
      <c r="O407" s="3100">
        <f t="shared" si="75"/>
        <v>16</v>
      </c>
      <c r="P407" s="2015">
        <v>43.805555555555557</v>
      </c>
      <c r="Q407" s="2015"/>
      <c r="R407" s="3074">
        <f t="shared" si="68"/>
        <v>2</v>
      </c>
      <c r="S407" s="3073">
        <f t="shared" si="73"/>
        <v>334.75290215588723</v>
      </c>
      <c r="T407" s="3073">
        <f t="shared" si="82"/>
        <v>256</v>
      </c>
      <c r="U407" s="2338">
        <v>2</v>
      </c>
      <c r="V407" s="3175">
        <v>3.98</v>
      </c>
    </row>
    <row r="408" spans="1:22" s="693" customFormat="1" hidden="1" outlineLevel="2" x14ac:dyDescent="0.15">
      <c r="A408" s="630" t="str">
        <f>CONCATENATE(B408," ",C408," core (",E408," MHz) ",J408," GB")</f>
        <v>AMI g3.16xlarge (64vc) 32 core (2300 MHz) 488 GB</v>
      </c>
      <c r="B408" s="2036" t="s">
        <v>1677</v>
      </c>
      <c r="C408" s="2024">
        <f t="shared" si="92"/>
        <v>32</v>
      </c>
      <c r="D408" s="2561">
        <f>N408</f>
        <v>2</v>
      </c>
      <c r="E408" s="639">
        <v>2300</v>
      </c>
      <c r="F408" s="2011">
        <f t="shared" si="93"/>
        <v>1401.7777777777778</v>
      </c>
      <c r="G408" s="2015">
        <f>IF(F408=0,"",F408/C408)</f>
        <v>43.805555555555557</v>
      </c>
      <c r="H408" s="2603">
        <f>IF(C408=0,"",C408/D408)</f>
        <v>16</v>
      </c>
      <c r="I408" s="647" t="s">
        <v>335</v>
      </c>
      <c r="J408" s="2643">
        <v>488</v>
      </c>
      <c r="K408" s="2899" t="s">
        <v>1541</v>
      </c>
      <c r="L408" s="2900">
        <f t="shared" si="94"/>
        <v>45024</v>
      </c>
      <c r="M408" s="3054" t="str">
        <f>MID(B408, FIND("(",B408,1)+1, FIND(")",B408,1)- FIND("(",B408,1)-3)</f>
        <v>64</v>
      </c>
      <c r="N408" s="3103">
        <v>2</v>
      </c>
      <c r="O408" s="3100">
        <f t="shared" si="75"/>
        <v>32</v>
      </c>
      <c r="P408" s="2015">
        <v>43.805555555555557</v>
      </c>
      <c r="Q408" s="2015"/>
      <c r="R408" s="3074">
        <f t="shared" si="68"/>
        <v>2</v>
      </c>
      <c r="S408" s="3073">
        <f t="shared" si="73"/>
        <v>669.50580431177445</v>
      </c>
      <c r="T408" s="3073">
        <f t="shared" si="82"/>
        <v>512</v>
      </c>
      <c r="U408" s="2338">
        <v>4</v>
      </c>
      <c r="V408" s="3175">
        <v>7.5039999999999996</v>
      </c>
    </row>
    <row r="409" spans="1:22" hidden="1" outlineLevel="1" collapsed="1" x14ac:dyDescent="0.15">
      <c r="A409" s="3057" t="s">
        <v>1764</v>
      </c>
      <c r="B409" s="3102" t="str">
        <f>B$370</f>
        <v>AMI Platform</v>
      </c>
      <c r="C409" s="3102" t="str">
        <f>C$370</f>
        <v>Host Core</v>
      </c>
      <c r="D409" s="3102" t="str">
        <f t="shared" ref="D409:J409" si="95">D$370</f>
        <v>vCore/core</v>
      </c>
      <c r="E409" s="3102" t="str">
        <f t="shared" si="95"/>
        <v>MHz</v>
      </c>
      <c r="F409" s="3102" t="str">
        <f t="shared" si="95"/>
        <v>Rate2006</v>
      </c>
      <c r="G409" s="3102" t="str">
        <f t="shared" si="95"/>
        <v>Per Core</v>
      </c>
      <c r="H409" s="3102" t="str">
        <f t="shared" si="95"/>
        <v>Core</v>
      </c>
      <c r="I409" s="3102" t="str">
        <f t="shared" si="95"/>
        <v>Vendor</v>
      </c>
      <c r="J409" s="3102" t="str">
        <f t="shared" si="95"/>
        <v>vRAM</v>
      </c>
      <c r="K409" s="3102"/>
      <c r="L409" s="3171">
        <v>8760</v>
      </c>
      <c r="M409" s="3102" t="str">
        <f>M$370</f>
        <v>vCore</v>
      </c>
      <c r="N409" s="3102" t="str">
        <f>N$370</f>
        <v>Threds/core</v>
      </c>
      <c r="O409" s="3102" t="str">
        <f>O$370</f>
        <v>HostCore</v>
      </c>
      <c r="P409" s="3102" t="str">
        <f>P$370</f>
        <v>Rate2006</v>
      </c>
      <c r="Q409" s="3102"/>
      <c r="R409" s="3074"/>
      <c r="S409" s="3073"/>
      <c r="V409" s="3167"/>
    </row>
    <row r="410" spans="1:22" s="693" customFormat="1" hidden="1" outlineLevel="2" x14ac:dyDescent="0.15">
      <c r="A410" s="3136" t="str">
        <f>CONCATENATE(B410," ",C410," core (",H410," chip) ",E410," MHz")</f>
        <v>Xeon E7-8880v3 72 core (3.6 chip) 2400 MHz</v>
      </c>
      <c r="B410" s="661" t="s">
        <v>1785</v>
      </c>
      <c r="C410" s="2025">
        <v>72</v>
      </c>
      <c r="D410" s="50">
        <v>20</v>
      </c>
      <c r="E410" s="639">
        <v>2400</v>
      </c>
      <c r="F410" s="2012">
        <v>2650</v>
      </c>
      <c r="G410" s="2015">
        <f>F410/C410</f>
        <v>36.805555555555557</v>
      </c>
      <c r="H410" s="2603">
        <f>C410/D410</f>
        <v>3.6</v>
      </c>
      <c r="I410" s="646" t="s">
        <v>335</v>
      </c>
      <c r="J410" s="2048">
        <v>145</v>
      </c>
      <c r="K410" s="2648"/>
      <c r="P410" s="31"/>
      <c r="Q410" s="31"/>
      <c r="V410" s="3177"/>
    </row>
    <row r="411" spans="1:22" s="693" customFormat="1" hidden="1" outlineLevel="2" x14ac:dyDescent="0.15">
      <c r="A411" s="630" t="str">
        <f t="shared" si="63"/>
        <v>AMI x1.16large (64vc) 32 core (2500 MHz) 976 GB</v>
      </c>
      <c r="B411" s="2036" t="s">
        <v>1519</v>
      </c>
      <c r="C411" s="2024">
        <f t="shared" si="92"/>
        <v>32</v>
      </c>
      <c r="D411" s="2561">
        <f>N411</f>
        <v>2</v>
      </c>
      <c r="E411" s="639">
        <v>2500</v>
      </c>
      <c r="F411" s="2011">
        <f t="shared" si="93"/>
        <v>1401.7777777777778</v>
      </c>
      <c r="G411" s="2015">
        <f>IF(F411=0,"",F411/C411)</f>
        <v>43.805555555555557</v>
      </c>
      <c r="H411" s="2603">
        <f t="shared" si="89"/>
        <v>16</v>
      </c>
      <c r="I411" s="647" t="s">
        <v>335</v>
      </c>
      <c r="J411" s="2643">
        <v>976</v>
      </c>
      <c r="K411" s="2899" t="s">
        <v>1528</v>
      </c>
      <c r="L411" s="2900">
        <f>L$409*V411*3</f>
        <v>270158.39999999997</v>
      </c>
      <c r="M411" s="3054" t="str">
        <f t="shared" si="72"/>
        <v>64</v>
      </c>
      <c r="N411" s="3103">
        <v>2</v>
      </c>
      <c r="O411" s="3100">
        <f t="shared" si="75"/>
        <v>32</v>
      </c>
      <c r="P411" s="2015">
        <v>43.805555555555557</v>
      </c>
      <c r="Q411" s="2015"/>
      <c r="R411" s="3074">
        <f t="shared" si="68"/>
        <v>2</v>
      </c>
      <c r="S411" s="3073">
        <f t="shared" si="73"/>
        <v>669.50580431177445</v>
      </c>
      <c r="T411" s="3073">
        <f t="shared" si="82"/>
        <v>512</v>
      </c>
      <c r="V411" s="3175">
        <v>10.28</v>
      </c>
    </row>
    <row r="412" spans="1:22" s="693" customFormat="1" hidden="1" outlineLevel="2" x14ac:dyDescent="0.15">
      <c r="A412" s="630" t="str">
        <f t="shared" si="63"/>
        <v>AMI x1.32large (128vc) 64 core (2500 MHz) 1952 GB</v>
      </c>
      <c r="B412" s="2036" t="s">
        <v>1520</v>
      </c>
      <c r="C412" s="2024">
        <f t="shared" si="92"/>
        <v>64</v>
      </c>
      <c r="D412" s="2561">
        <f>N412</f>
        <v>2</v>
      </c>
      <c r="E412" s="639">
        <v>2500</v>
      </c>
      <c r="F412" s="2011">
        <f t="shared" si="93"/>
        <v>2867.5555555555584</v>
      </c>
      <c r="G412" s="2015">
        <f>IF(F412=0,"",F412/C412)</f>
        <v>44.8055555555556</v>
      </c>
      <c r="H412" s="2603">
        <f t="shared" si="89"/>
        <v>32</v>
      </c>
      <c r="I412" s="647" t="s">
        <v>335</v>
      </c>
      <c r="J412" s="2643">
        <v>1952</v>
      </c>
      <c r="K412" s="2899" t="s">
        <v>1529</v>
      </c>
      <c r="L412" s="2900">
        <f>L$409*V412*3</f>
        <v>505259.27999999991</v>
      </c>
      <c r="M412" s="3054" t="str">
        <f t="shared" si="72"/>
        <v>128</v>
      </c>
      <c r="N412" s="3103">
        <v>2</v>
      </c>
      <c r="O412" s="3100">
        <f t="shared" si="75"/>
        <v>64</v>
      </c>
      <c r="P412" s="2015">
        <v>44.8055555555556</v>
      </c>
      <c r="Q412" s="2015"/>
      <c r="R412" s="3074">
        <f t="shared" si="68"/>
        <v>2</v>
      </c>
      <c r="S412" s="3073">
        <f t="shared" si="73"/>
        <v>1369.5787728026548</v>
      </c>
      <c r="T412" s="3073">
        <f t="shared" si="82"/>
        <v>1024</v>
      </c>
      <c r="V412" s="3175">
        <v>19.225999999999999</v>
      </c>
    </row>
    <row r="413" spans="1:22" hidden="1" outlineLevel="1" collapsed="1" x14ac:dyDescent="0.15">
      <c r="A413" s="3057" t="s">
        <v>1765</v>
      </c>
      <c r="B413" s="3102" t="str">
        <f>B$370</f>
        <v>AMI Platform</v>
      </c>
      <c r="C413" s="3102" t="str">
        <f>C$370</f>
        <v>Host Core</v>
      </c>
      <c r="D413" s="3102" t="str">
        <f t="shared" ref="D413:J413" si="96">D$370</f>
        <v>vCore/core</v>
      </c>
      <c r="E413" s="3102" t="str">
        <f t="shared" si="96"/>
        <v>MHz</v>
      </c>
      <c r="F413" s="3102" t="str">
        <f t="shared" si="96"/>
        <v>Rate2006</v>
      </c>
      <c r="G413" s="3102" t="str">
        <f t="shared" si="96"/>
        <v>Per Core</v>
      </c>
      <c r="H413" s="3102" t="str">
        <f t="shared" si="96"/>
        <v>Core</v>
      </c>
      <c r="I413" s="3102" t="str">
        <f t="shared" si="96"/>
        <v>Vendor</v>
      </c>
      <c r="J413" s="3102" t="str">
        <f t="shared" si="96"/>
        <v>vRAM</v>
      </c>
      <c r="K413" s="3102"/>
      <c r="L413" s="3171">
        <v>8760</v>
      </c>
      <c r="M413" s="3102" t="str">
        <f>M$370</f>
        <v>vCore</v>
      </c>
      <c r="N413" s="3102" t="str">
        <f>N$370</f>
        <v>Threds/core</v>
      </c>
      <c r="O413" s="3102" t="str">
        <f>O$370</f>
        <v>HostCore</v>
      </c>
      <c r="P413" s="3102" t="str">
        <f>P$370</f>
        <v>Rate2006</v>
      </c>
      <c r="Q413" s="3102"/>
      <c r="R413" s="3074"/>
      <c r="S413" s="3073"/>
      <c r="V413" s="3167"/>
    </row>
    <row r="414" spans="1:22" s="693" customFormat="1" hidden="1" outlineLevel="2" x14ac:dyDescent="0.15">
      <c r="A414" s="3136" t="str">
        <f>CONCATENATE(B414," ",C414," core (",H414," chip) ",E414," MHz")</f>
        <v>Xeon E5-2686v4 36 core (2 chip) 2300 MHz</v>
      </c>
      <c r="B414" s="661" t="s">
        <v>1777</v>
      </c>
      <c r="C414" s="2025">
        <v>36</v>
      </c>
      <c r="D414" s="50">
        <v>18</v>
      </c>
      <c r="E414" s="639">
        <v>2300</v>
      </c>
      <c r="F414" s="2012">
        <v>1577</v>
      </c>
      <c r="G414" s="2015">
        <f>IF(F414=0,"",F414/C414)</f>
        <v>43.805555555555557</v>
      </c>
      <c r="H414" s="2603">
        <f>IF(C414=0,"",C414/D414)</f>
        <v>2</v>
      </c>
      <c r="I414" s="647" t="s">
        <v>335</v>
      </c>
      <c r="J414" s="2048">
        <v>130</v>
      </c>
      <c r="K414" s="2650"/>
      <c r="L414" s="1304"/>
      <c r="M414" s="1304"/>
      <c r="N414" s="1304"/>
      <c r="O414" s="1304"/>
      <c r="P414" s="1305"/>
      <c r="Q414" s="1305"/>
      <c r="V414" s="3174"/>
    </row>
    <row r="415" spans="1:22" s="693" customFormat="1" hidden="1" outlineLevel="2" x14ac:dyDescent="0.15">
      <c r="A415" s="630" t="str">
        <f t="shared" si="63"/>
        <v>AMI r4.large (2vc) 1 core (2300 MHz) 15.25 GB</v>
      </c>
      <c r="B415" s="2036" t="s">
        <v>1521</v>
      </c>
      <c r="C415" s="2024">
        <f t="shared" si="92"/>
        <v>1</v>
      </c>
      <c r="D415" s="2561">
        <f>N415</f>
        <v>2</v>
      </c>
      <c r="E415" s="639">
        <v>2300</v>
      </c>
      <c r="F415" s="2011">
        <f t="shared" si="93"/>
        <v>43.805555555555557</v>
      </c>
      <c r="G415" s="2015">
        <f t="shared" si="88"/>
        <v>43.805555555555557</v>
      </c>
      <c r="H415" s="2603">
        <f t="shared" si="89"/>
        <v>0.5</v>
      </c>
      <c r="I415" s="647" t="s">
        <v>335</v>
      </c>
      <c r="J415" s="2643">
        <v>15.25</v>
      </c>
      <c r="K415" s="2903" t="s">
        <v>1527</v>
      </c>
      <c r="L415" s="2900">
        <f>L$413*V415*3</f>
        <v>6254.64</v>
      </c>
      <c r="M415" s="3054" t="str">
        <f t="shared" si="72"/>
        <v>2</v>
      </c>
      <c r="N415" s="3103">
        <v>2</v>
      </c>
      <c r="O415" s="3100">
        <f>M415/N415</f>
        <v>1</v>
      </c>
      <c r="P415" s="2015">
        <v>43.805555555555557</v>
      </c>
      <c r="Q415" s="2015"/>
      <c r="R415" s="3074">
        <f t="shared" si="68"/>
        <v>2</v>
      </c>
      <c r="S415" s="3073">
        <f t="shared" si="73"/>
        <v>20.922056384742952</v>
      </c>
      <c r="T415" s="3073">
        <f t="shared" si="82"/>
        <v>16</v>
      </c>
      <c r="V415" s="3175">
        <v>0.23799999999999999</v>
      </c>
    </row>
    <row r="416" spans="1:22" s="693" customFormat="1" hidden="1" outlineLevel="2" x14ac:dyDescent="0.15">
      <c r="A416" s="630" t="str">
        <f t="shared" si="63"/>
        <v>AMI r4.xlarge (4vc) 2 core (2300 MHz) 30.5 GB</v>
      </c>
      <c r="B416" s="2036" t="s">
        <v>1522</v>
      </c>
      <c r="C416" s="2024">
        <f t="shared" si="92"/>
        <v>2</v>
      </c>
      <c r="D416" s="2561">
        <f t="shared" ref="D416:D427" si="97">N416</f>
        <v>2</v>
      </c>
      <c r="E416" s="639">
        <v>2300</v>
      </c>
      <c r="F416" s="2011">
        <f t="shared" si="93"/>
        <v>87.611111111111114</v>
      </c>
      <c r="G416" s="2015">
        <f t="shared" si="88"/>
        <v>43.805555555555557</v>
      </c>
      <c r="H416" s="2603">
        <f t="shared" si="89"/>
        <v>1</v>
      </c>
      <c r="I416" s="647" t="s">
        <v>335</v>
      </c>
      <c r="J416" s="2643">
        <v>30.5</v>
      </c>
      <c r="K416" s="2903" t="s">
        <v>1527</v>
      </c>
      <c r="L416" s="2900">
        <f t="shared" ref="L416:L420" si="98">L$413*V416*3</f>
        <v>12535.559999999998</v>
      </c>
      <c r="M416" s="3054" t="str">
        <f t="shared" si="72"/>
        <v>4</v>
      </c>
      <c r="N416" s="3103">
        <v>2</v>
      </c>
      <c r="O416" s="3100">
        <f t="shared" si="75"/>
        <v>2</v>
      </c>
      <c r="P416" s="2015">
        <v>43.805555555555557</v>
      </c>
      <c r="Q416" s="2015"/>
      <c r="R416" s="3074">
        <f t="shared" si="68"/>
        <v>2</v>
      </c>
      <c r="S416" s="3073">
        <f t="shared" si="73"/>
        <v>41.844112769485903</v>
      </c>
      <c r="T416" s="3073">
        <f t="shared" si="82"/>
        <v>32</v>
      </c>
      <c r="V416" s="3175">
        <v>0.47699999999999998</v>
      </c>
    </row>
    <row r="417" spans="1:22" s="693" customFormat="1" hidden="1" outlineLevel="2" x14ac:dyDescent="0.15">
      <c r="A417" s="630" t="str">
        <f t="shared" si="63"/>
        <v>AMI r4.2xlarge (8vc) 4 core (2300 MHz) 61 GB</v>
      </c>
      <c r="B417" s="2036" t="s">
        <v>1523</v>
      </c>
      <c r="C417" s="2024">
        <f t="shared" si="92"/>
        <v>4</v>
      </c>
      <c r="D417" s="2561">
        <f t="shared" si="97"/>
        <v>2</v>
      </c>
      <c r="E417" s="639">
        <v>2300</v>
      </c>
      <c r="F417" s="2011">
        <f t="shared" si="93"/>
        <v>175.22222222222223</v>
      </c>
      <c r="G417" s="2015">
        <f t="shared" si="88"/>
        <v>43.805555555555557</v>
      </c>
      <c r="H417" s="2603">
        <f t="shared" si="89"/>
        <v>2</v>
      </c>
      <c r="I417" s="647" t="s">
        <v>335</v>
      </c>
      <c r="J417" s="2643">
        <v>61</v>
      </c>
      <c r="K417" s="2903" t="s">
        <v>1527</v>
      </c>
      <c r="L417" s="2900">
        <f t="shared" si="98"/>
        <v>25044.839999999997</v>
      </c>
      <c r="M417" s="3054" t="str">
        <f t="shared" si="72"/>
        <v>8</v>
      </c>
      <c r="N417" s="3103">
        <v>2</v>
      </c>
      <c r="O417" s="3100">
        <f t="shared" si="75"/>
        <v>4</v>
      </c>
      <c r="P417" s="2015">
        <v>43.805555555555557</v>
      </c>
      <c r="Q417" s="2015"/>
      <c r="R417" s="3074">
        <f t="shared" si="68"/>
        <v>2</v>
      </c>
      <c r="S417" s="3073">
        <f t="shared" si="73"/>
        <v>83.688225538971807</v>
      </c>
      <c r="T417" s="3073">
        <f t="shared" si="82"/>
        <v>64</v>
      </c>
      <c r="V417" s="3175">
        <v>0.95299999999999996</v>
      </c>
    </row>
    <row r="418" spans="1:22" s="693" customFormat="1" hidden="1" outlineLevel="2" x14ac:dyDescent="0.15">
      <c r="A418" s="630" t="str">
        <f t="shared" si="63"/>
        <v>AMI r4.4xlarge (16vc) 8 core (2300 MHz) 122 GB</v>
      </c>
      <c r="B418" s="2036" t="s">
        <v>1524</v>
      </c>
      <c r="C418" s="2024">
        <f t="shared" si="92"/>
        <v>8</v>
      </c>
      <c r="D418" s="2561">
        <f t="shared" si="97"/>
        <v>2</v>
      </c>
      <c r="E418" s="639">
        <v>2300</v>
      </c>
      <c r="F418" s="2011">
        <f t="shared" si="93"/>
        <v>350.44444444444446</v>
      </c>
      <c r="G418" s="2015">
        <f t="shared" si="88"/>
        <v>43.805555555555557</v>
      </c>
      <c r="H418" s="2603">
        <f t="shared" si="89"/>
        <v>4</v>
      </c>
      <c r="I418" s="647" t="s">
        <v>335</v>
      </c>
      <c r="J418" s="2643">
        <v>122</v>
      </c>
      <c r="K418" s="2903" t="s">
        <v>1527</v>
      </c>
      <c r="L418" s="2900">
        <f t="shared" si="98"/>
        <v>50089.679999999993</v>
      </c>
      <c r="M418" s="3054" t="str">
        <f t="shared" si="72"/>
        <v>16</v>
      </c>
      <c r="N418" s="3103">
        <v>2</v>
      </c>
      <c r="O418" s="3100">
        <f t="shared" si="75"/>
        <v>8</v>
      </c>
      <c r="P418" s="2015">
        <v>43.805555555555557</v>
      </c>
      <c r="Q418" s="2015"/>
      <c r="R418" s="3074">
        <f t="shared" si="68"/>
        <v>2</v>
      </c>
      <c r="S418" s="3073">
        <f t="shared" si="73"/>
        <v>167.37645107794361</v>
      </c>
      <c r="T418" s="3073">
        <f t="shared" si="82"/>
        <v>128</v>
      </c>
      <c r="V418" s="3175">
        <v>1.9059999999999999</v>
      </c>
    </row>
    <row r="419" spans="1:22" s="693" customFormat="1" hidden="1" outlineLevel="2" x14ac:dyDescent="0.15">
      <c r="A419" s="630" t="str">
        <f t="shared" si="63"/>
        <v>AMI r4.8xlarge (32vc) 16 core (2300 MHz) 244 GB</v>
      </c>
      <c r="B419" s="2036" t="s">
        <v>1525</v>
      </c>
      <c r="C419" s="2024">
        <f t="shared" si="92"/>
        <v>16</v>
      </c>
      <c r="D419" s="2561">
        <f t="shared" si="97"/>
        <v>2</v>
      </c>
      <c r="E419" s="639">
        <v>2300</v>
      </c>
      <c r="F419" s="2011">
        <f t="shared" si="93"/>
        <v>700.88888888888891</v>
      </c>
      <c r="G419" s="2015">
        <f t="shared" si="88"/>
        <v>43.805555555555557</v>
      </c>
      <c r="H419" s="2603">
        <f t="shared" si="89"/>
        <v>8</v>
      </c>
      <c r="I419" s="647" t="s">
        <v>335</v>
      </c>
      <c r="J419" s="2643">
        <v>244</v>
      </c>
      <c r="K419" s="2903" t="s">
        <v>1527</v>
      </c>
      <c r="L419" s="2900">
        <f t="shared" si="98"/>
        <v>100205.64000000001</v>
      </c>
      <c r="M419" s="3054" t="str">
        <f t="shared" si="72"/>
        <v>32</v>
      </c>
      <c r="N419" s="3103">
        <v>2</v>
      </c>
      <c r="O419" s="3100">
        <f t="shared" si="75"/>
        <v>16</v>
      </c>
      <c r="P419" s="2015">
        <v>43.805555555555557</v>
      </c>
      <c r="Q419" s="2015"/>
      <c r="R419" s="3074">
        <f t="shared" si="68"/>
        <v>2</v>
      </c>
      <c r="S419" s="3073">
        <f t="shared" si="73"/>
        <v>334.75290215588723</v>
      </c>
      <c r="T419" s="3073">
        <f t="shared" si="82"/>
        <v>256</v>
      </c>
      <c r="V419" s="3175">
        <v>3.8130000000000002</v>
      </c>
    </row>
    <row r="420" spans="1:22" s="693" customFormat="1" hidden="1" outlineLevel="2" x14ac:dyDescent="0.15">
      <c r="A420" s="630" t="str">
        <f t="shared" si="63"/>
        <v>AMI r4.16xlarge (64vc) 32 core (2300 MHz) 488 GB</v>
      </c>
      <c r="B420" s="2036" t="s">
        <v>1526</v>
      </c>
      <c r="C420" s="2024">
        <f>O420</f>
        <v>32</v>
      </c>
      <c r="D420" s="2561">
        <f t="shared" si="97"/>
        <v>2</v>
      </c>
      <c r="E420" s="639">
        <v>2300</v>
      </c>
      <c r="F420" s="2011">
        <f t="shared" si="93"/>
        <v>1401.7777777777778</v>
      </c>
      <c r="G420" s="2015">
        <f t="shared" si="88"/>
        <v>43.805555555555557</v>
      </c>
      <c r="H420" s="2603">
        <f t="shared" si="89"/>
        <v>16</v>
      </c>
      <c r="I420" s="647" t="s">
        <v>335</v>
      </c>
      <c r="J420" s="2643">
        <v>488</v>
      </c>
      <c r="K420" s="2903" t="s">
        <v>1527</v>
      </c>
      <c r="L420" s="2900">
        <f t="shared" si="98"/>
        <v>189216</v>
      </c>
      <c r="M420" s="3054" t="str">
        <f t="shared" si="72"/>
        <v>64</v>
      </c>
      <c r="N420" s="3103">
        <v>2</v>
      </c>
      <c r="O420" s="3100">
        <f t="shared" si="75"/>
        <v>32</v>
      </c>
      <c r="P420" s="2015">
        <v>43.805555555555557</v>
      </c>
      <c r="Q420" s="2015"/>
      <c r="R420" s="3074">
        <f t="shared" si="68"/>
        <v>2</v>
      </c>
      <c r="S420" s="3073">
        <f t="shared" si="73"/>
        <v>669.50580431177445</v>
      </c>
      <c r="T420" s="3073">
        <f t="shared" si="82"/>
        <v>512</v>
      </c>
      <c r="V420" s="3175">
        <v>7.2</v>
      </c>
    </row>
    <row r="421" spans="1:22" hidden="1" outlineLevel="1" collapsed="1" x14ac:dyDescent="0.15">
      <c r="A421" s="3057" t="s">
        <v>1766</v>
      </c>
      <c r="B421" s="3102" t="str">
        <f>B$370</f>
        <v>AMI Platform</v>
      </c>
      <c r="C421" s="3102" t="str">
        <f>C$370</f>
        <v>Host Core</v>
      </c>
      <c r="D421" s="3102" t="str">
        <f t="shared" ref="D421:J421" si="99">D$370</f>
        <v>vCore/core</v>
      </c>
      <c r="E421" s="3102" t="str">
        <f t="shared" si="99"/>
        <v>MHz</v>
      </c>
      <c r="F421" s="3102" t="str">
        <f t="shared" si="99"/>
        <v>Rate2006</v>
      </c>
      <c r="G421" s="3102" t="str">
        <f t="shared" si="99"/>
        <v>Per Core</v>
      </c>
      <c r="H421" s="3102" t="str">
        <f t="shared" si="99"/>
        <v>Core</v>
      </c>
      <c r="I421" s="3102" t="str">
        <f t="shared" si="99"/>
        <v>Vendor</v>
      </c>
      <c r="J421" s="3102" t="str">
        <f t="shared" si="99"/>
        <v>vRAM</v>
      </c>
      <c r="K421" s="3102"/>
      <c r="L421" s="3171">
        <v>8760</v>
      </c>
      <c r="M421" s="3102" t="str">
        <f>M$370</f>
        <v>vCore</v>
      </c>
      <c r="N421" s="3102" t="str">
        <f>N$370</f>
        <v>Threds/core</v>
      </c>
      <c r="O421" s="3102" t="str">
        <f>O$370</f>
        <v>HostCore</v>
      </c>
      <c r="P421" s="3102" t="str">
        <f>P$370</f>
        <v>Rate2006</v>
      </c>
      <c r="Q421" s="3102"/>
      <c r="R421" s="3074"/>
      <c r="S421" s="3073"/>
      <c r="V421" s="3167"/>
    </row>
    <row r="422" spans="1:22" s="693" customFormat="1" hidden="1" outlineLevel="2" x14ac:dyDescent="0.15">
      <c r="A422" s="3136" t="str">
        <f>CONCATENATE(B422," ",C422," core (",H422," chip) ",E422," MHz")</f>
        <v>Xeon E5-2670v2 20 core (2 chip) 2500 MHz</v>
      </c>
      <c r="B422" s="661" t="s">
        <v>1757</v>
      </c>
      <c r="C422" s="2025">
        <v>20</v>
      </c>
      <c r="D422" s="50">
        <v>10</v>
      </c>
      <c r="E422" s="639">
        <v>2500</v>
      </c>
      <c r="F422" s="2012">
        <v>791</v>
      </c>
      <c r="G422" s="2015">
        <f t="shared" ref="G422:G427" si="100">IF(F422=0,"",F422/C422)</f>
        <v>39.549999999999997</v>
      </c>
      <c r="H422" s="2603">
        <f t="shared" ref="H422:H427" si="101">IF(C422=0,"",C422/D422)</f>
        <v>2</v>
      </c>
      <c r="I422" s="647" t="s">
        <v>335</v>
      </c>
      <c r="J422" s="2048">
        <v>130</v>
      </c>
      <c r="K422" s="2650"/>
      <c r="L422" s="1304"/>
      <c r="M422" s="1304"/>
      <c r="N422" s="1304"/>
      <c r="O422" s="1304"/>
      <c r="P422" s="1305"/>
      <c r="Q422" s="1305"/>
      <c r="V422" s="3174"/>
    </row>
    <row r="423" spans="1:22" s="693" customFormat="1" hidden="1" outlineLevel="2" x14ac:dyDescent="0.15">
      <c r="A423" s="630" t="str">
        <f t="shared" si="63"/>
        <v>AMI r3.large (2vc) 1 core (2500 MHz) 15 GB</v>
      </c>
      <c r="B423" s="2036" t="s">
        <v>1350</v>
      </c>
      <c r="C423" s="2024">
        <f t="shared" si="92"/>
        <v>1</v>
      </c>
      <c r="D423" s="2561">
        <f t="shared" si="97"/>
        <v>2</v>
      </c>
      <c r="E423" s="639">
        <v>2500</v>
      </c>
      <c r="F423" s="2011">
        <f t="shared" si="93"/>
        <v>39.549999999999997</v>
      </c>
      <c r="G423" s="2015">
        <f t="shared" si="100"/>
        <v>39.549999999999997</v>
      </c>
      <c r="H423" s="2603">
        <f t="shared" si="101"/>
        <v>0.5</v>
      </c>
      <c r="I423" s="647" t="s">
        <v>335</v>
      </c>
      <c r="J423" s="2643">
        <v>15</v>
      </c>
      <c r="K423" s="2899" t="s">
        <v>1542</v>
      </c>
      <c r="L423" s="2900">
        <f>L$421*V423*3</f>
        <v>8409.6</v>
      </c>
      <c r="M423" s="3054" t="str">
        <f t="shared" si="72"/>
        <v>2</v>
      </c>
      <c r="N423" s="3103">
        <v>2</v>
      </c>
      <c r="O423" s="3100">
        <f t="shared" si="75"/>
        <v>1</v>
      </c>
      <c r="P423" s="2015">
        <v>39.549999999999997</v>
      </c>
      <c r="Q423" s="2015"/>
      <c r="R423" s="3074">
        <f t="shared" si="68"/>
        <v>2</v>
      </c>
      <c r="S423" s="3073">
        <f t="shared" si="73"/>
        <v>18.889552238805969</v>
      </c>
      <c r="T423" s="3073">
        <f t="shared" si="82"/>
        <v>16</v>
      </c>
      <c r="V423" s="3175">
        <v>0.32</v>
      </c>
    </row>
    <row r="424" spans="1:22" s="693" customFormat="1" hidden="1" outlineLevel="2" x14ac:dyDescent="0.15">
      <c r="A424" s="630" t="str">
        <f t="shared" si="63"/>
        <v>AMI r3.xlarge (4vc) 2 core (2500 MHz) 30.5 GB</v>
      </c>
      <c r="B424" s="2036" t="s">
        <v>1351</v>
      </c>
      <c r="C424" s="2024">
        <f t="shared" si="92"/>
        <v>2</v>
      </c>
      <c r="D424" s="2561">
        <f t="shared" si="97"/>
        <v>2</v>
      </c>
      <c r="E424" s="639">
        <v>2500</v>
      </c>
      <c r="F424" s="2011">
        <f t="shared" si="93"/>
        <v>79.099999999999994</v>
      </c>
      <c r="G424" s="2015">
        <f t="shared" si="100"/>
        <v>39.549999999999997</v>
      </c>
      <c r="H424" s="2603">
        <f t="shared" si="101"/>
        <v>1</v>
      </c>
      <c r="I424" s="647" t="s">
        <v>335</v>
      </c>
      <c r="J424" s="2643">
        <v>30.5</v>
      </c>
      <c r="K424" s="2899" t="s">
        <v>1543</v>
      </c>
      <c r="L424" s="2900">
        <f t="shared" ref="L424:L427" si="102">L$421*V424*3</f>
        <v>16845.48</v>
      </c>
      <c r="M424" s="3054" t="str">
        <f t="shared" si="72"/>
        <v>4</v>
      </c>
      <c r="N424" s="3103">
        <v>2</v>
      </c>
      <c r="O424" s="3100">
        <f t="shared" si="75"/>
        <v>2</v>
      </c>
      <c r="P424" s="2015">
        <v>39.549999999999997</v>
      </c>
      <c r="Q424" s="2015"/>
      <c r="R424" s="3074">
        <f t="shared" si="68"/>
        <v>2</v>
      </c>
      <c r="S424" s="3073">
        <f t="shared" si="73"/>
        <v>37.779104477611938</v>
      </c>
      <c r="T424" s="3073">
        <f t="shared" si="82"/>
        <v>32</v>
      </c>
      <c r="V424" s="3175">
        <v>0.64100000000000001</v>
      </c>
    </row>
    <row r="425" spans="1:22" s="693" customFormat="1" hidden="1" outlineLevel="2" x14ac:dyDescent="0.15">
      <c r="A425" s="630" t="str">
        <f t="shared" si="63"/>
        <v>AMI r3.2xlarge (8vc) 4 core (2500 MHz) 61 GB</v>
      </c>
      <c r="B425" s="2036" t="s">
        <v>1352</v>
      </c>
      <c r="C425" s="2024">
        <f t="shared" si="92"/>
        <v>4</v>
      </c>
      <c r="D425" s="2561">
        <f t="shared" si="97"/>
        <v>2</v>
      </c>
      <c r="E425" s="639">
        <v>2500</v>
      </c>
      <c r="F425" s="2011">
        <f t="shared" si="93"/>
        <v>158.19999999999999</v>
      </c>
      <c r="G425" s="2015">
        <f t="shared" si="100"/>
        <v>39.549999999999997</v>
      </c>
      <c r="H425" s="2603">
        <f t="shared" si="101"/>
        <v>2</v>
      </c>
      <c r="I425" s="647" t="s">
        <v>335</v>
      </c>
      <c r="J425" s="2643">
        <v>61</v>
      </c>
      <c r="K425" s="2899" t="s">
        <v>1544</v>
      </c>
      <c r="L425" s="2900">
        <f t="shared" si="102"/>
        <v>30222</v>
      </c>
      <c r="M425" s="3054" t="str">
        <f t="shared" si="72"/>
        <v>8</v>
      </c>
      <c r="N425" s="3103">
        <v>2</v>
      </c>
      <c r="O425" s="3100">
        <f t="shared" si="75"/>
        <v>4</v>
      </c>
      <c r="P425" s="2015">
        <v>39.549999999999997</v>
      </c>
      <c r="Q425" s="2015"/>
      <c r="R425" s="3074">
        <f t="shared" si="68"/>
        <v>2</v>
      </c>
      <c r="S425" s="3073">
        <f t="shared" si="73"/>
        <v>75.558208955223876</v>
      </c>
      <c r="T425" s="3073">
        <f t="shared" si="82"/>
        <v>64</v>
      </c>
      <c r="V425" s="3175">
        <v>1.1499999999999999</v>
      </c>
    </row>
    <row r="426" spans="1:22" s="693" customFormat="1" hidden="1" outlineLevel="2" x14ac:dyDescent="0.15">
      <c r="A426" s="630" t="str">
        <f t="shared" si="63"/>
        <v>AMI r3.4xlarge (16vc) 8 core (2500 MHz) 122 GB</v>
      </c>
      <c r="B426" s="2036" t="s">
        <v>1353</v>
      </c>
      <c r="C426" s="2024">
        <f>O426</f>
        <v>8</v>
      </c>
      <c r="D426" s="2561">
        <f t="shared" si="97"/>
        <v>2</v>
      </c>
      <c r="E426" s="639">
        <v>2500</v>
      </c>
      <c r="F426" s="2011">
        <f t="shared" si="93"/>
        <v>316.39999999999998</v>
      </c>
      <c r="G426" s="2015">
        <f t="shared" si="100"/>
        <v>39.549999999999997</v>
      </c>
      <c r="H426" s="2603">
        <f t="shared" si="101"/>
        <v>4</v>
      </c>
      <c r="I426" s="647" t="s">
        <v>335</v>
      </c>
      <c r="J426" s="2643">
        <v>122</v>
      </c>
      <c r="K426" s="2899" t="s">
        <v>1545</v>
      </c>
      <c r="L426" s="2900">
        <f t="shared" si="102"/>
        <v>56186.639999999992</v>
      </c>
      <c r="M426" s="3054" t="str">
        <f t="shared" si="72"/>
        <v>16</v>
      </c>
      <c r="N426" s="3103">
        <v>2</v>
      </c>
      <c r="O426" s="3100">
        <f t="shared" si="75"/>
        <v>8</v>
      </c>
      <c r="P426" s="2015">
        <v>39.549999999999997</v>
      </c>
      <c r="Q426" s="2015"/>
      <c r="R426" s="3074">
        <f t="shared" si="68"/>
        <v>2</v>
      </c>
      <c r="S426" s="3073">
        <f t="shared" si="73"/>
        <v>151.11641791044775</v>
      </c>
      <c r="T426" s="3073">
        <f t="shared" si="82"/>
        <v>128</v>
      </c>
      <c r="V426" s="3175">
        <v>2.1379999999999999</v>
      </c>
    </row>
    <row r="427" spans="1:22" s="693" customFormat="1" hidden="1" outlineLevel="2" x14ac:dyDescent="0.15">
      <c r="A427" s="630" t="str">
        <f t="shared" si="63"/>
        <v>AMI r3.8xlarge (32vc) 16 core (2500 MHz) 244 GB</v>
      </c>
      <c r="B427" s="2036" t="s">
        <v>1354</v>
      </c>
      <c r="C427" s="2024">
        <f t="shared" si="92"/>
        <v>16</v>
      </c>
      <c r="D427" s="2561">
        <f t="shared" si="97"/>
        <v>2</v>
      </c>
      <c r="E427" s="639">
        <v>2500</v>
      </c>
      <c r="F427" s="2011">
        <f t="shared" si="93"/>
        <v>632.79999999999995</v>
      </c>
      <c r="G427" s="2015">
        <f t="shared" si="100"/>
        <v>39.549999999999997</v>
      </c>
      <c r="H427" s="2603">
        <f t="shared" si="101"/>
        <v>8</v>
      </c>
      <c r="I427" s="647" t="s">
        <v>335</v>
      </c>
      <c r="J427" s="2643">
        <v>244</v>
      </c>
      <c r="K427" s="2899" t="s">
        <v>1540</v>
      </c>
      <c r="L427" s="2900">
        <f t="shared" si="102"/>
        <v>91980</v>
      </c>
      <c r="M427" s="3054" t="str">
        <f t="shared" si="72"/>
        <v>32</v>
      </c>
      <c r="N427" s="3103">
        <v>2</v>
      </c>
      <c r="O427" s="3100">
        <f t="shared" si="75"/>
        <v>16</v>
      </c>
      <c r="P427" s="2015">
        <v>39.549999999999997</v>
      </c>
      <c r="Q427" s="2015"/>
      <c r="R427" s="3074">
        <f t="shared" si="68"/>
        <v>2</v>
      </c>
      <c r="S427" s="3073">
        <f t="shared" si="73"/>
        <v>302.2328358208955</v>
      </c>
      <c r="T427" s="3073">
        <f t="shared" si="82"/>
        <v>256</v>
      </c>
      <c r="V427" s="3175">
        <v>3.5</v>
      </c>
    </row>
    <row r="428" spans="1:22" hidden="1" outlineLevel="1" collapsed="1" x14ac:dyDescent="0.15">
      <c r="A428" s="3057" t="s">
        <v>1767</v>
      </c>
      <c r="B428" s="3102" t="str">
        <f>B$370</f>
        <v>AMI Platform</v>
      </c>
      <c r="C428" s="3102" t="str">
        <f>C$370</f>
        <v>Host Core</v>
      </c>
      <c r="D428" s="3102" t="str">
        <f t="shared" ref="D428:J428" si="103">D$370</f>
        <v>vCore/core</v>
      </c>
      <c r="E428" s="3102" t="str">
        <f t="shared" si="103"/>
        <v>MHz</v>
      </c>
      <c r="F428" s="3102" t="str">
        <f t="shared" si="103"/>
        <v>Rate2006</v>
      </c>
      <c r="G428" s="3102" t="str">
        <f t="shared" si="103"/>
        <v>Per Core</v>
      </c>
      <c r="H428" s="3102" t="str">
        <f t="shared" si="103"/>
        <v>Core</v>
      </c>
      <c r="I428" s="3102" t="str">
        <f t="shared" si="103"/>
        <v>Vendor</v>
      </c>
      <c r="J428" s="3102" t="str">
        <f t="shared" si="103"/>
        <v>vRAM</v>
      </c>
      <c r="K428" s="3102"/>
      <c r="L428" s="3171">
        <v>8760</v>
      </c>
      <c r="M428" s="3102" t="str">
        <f>M$370</f>
        <v>vCore</v>
      </c>
      <c r="N428" s="3102" t="str">
        <f>N$370</f>
        <v>Threds/core</v>
      </c>
      <c r="O428" s="3102" t="str">
        <f>O$370</f>
        <v>HostCore</v>
      </c>
      <c r="P428" s="3102" t="str">
        <f>P$370</f>
        <v>Rate2006</v>
      </c>
      <c r="Q428" s="3102"/>
      <c r="R428" s="3074"/>
      <c r="S428" s="3073"/>
      <c r="V428" s="3167"/>
    </row>
    <row r="429" spans="1:22" s="693" customFormat="1" hidden="1" outlineLevel="2" x14ac:dyDescent="0.15">
      <c r="A429" s="3136" t="str">
        <f>CONCATENATE(B429," ",C429," core (",H429," chip) ",E429," MHz")</f>
        <v>Xeon E5-2686v4 36 core (2 chip) 2300 MHz</v>
      </c>
      <c r="B429" s="661" t="s">
        <v>1777</v>
      </c>
      <c r="C429" s="2025">
        <v>36</v>
      </c>
      <c r="D429" s="50">
        <v>18</v>
      </c>
      <c r="E429" s="639">
        <v>2300</v>
      </c>
      <c r="F429" s="2012">
        <v>1577</v>
      </c>
      <c r="G429" s="2015">
        <f t="shared" ref="G429:G435" si="104">IF(F429=0,"",F429/C429)</f>
        <v>43.805555555555557</v>
      </c>
      <c r="H429" s="2603">
        <f t="shared" ref="H429:H435" si="105">IF(C429=0,"",C429/D429)</f>
        <v>2</v>
      </c>
      <c r="I429" s="647" t="s">
        <v>335</v>
      </c>
      <c r="J429" s="2048">
        <v>130</v>
      </c>
      <c r="K429" s="2650"/>
      <c r="L429" s="1304"/>
      <c r="M429" s="1304"/>
      <c r="N429" s="1304"/>
      <c r="O429" s="1304"/>
      <c r="P429" s="1305"/>
      <c r="Q429" s="1305"/>
      <c r="V429" s="3174"/>
    </row>
    <row r="430" spans="1:22" s="693" customFormat="1" hidden="1" outlineLevel="2" x14ac:dyDescent="0.15">
      <c r="A430" s="630" t="str">
        <f t="shared" ref="A430:A435" si="106">CONCATENATE(B430," ",C430," core (",E430," MHz) ",J430," GB")</f>
        <v>AMI i3.large (2vc) 1 core (2300 MHz) 15.25 GB</v>
      </c>
      <c r="B430" s="2036" t="s">
        <v>1683</v>
      </c>
      <c r="C430" s="2024">
        <f t="shared" si="92"/>
        <v>1</v>
      </c>
      <c r="D430" s="2561">
        <f t="shared" ref="D430:D441" si="107">N430</f>
        <v>2</v>
      </c>
      <c r="E430" s="639">
        <v>2300</v>
      </c>
      <c r="F430" s="2011">
        <f t="shared" si="93"/>
        <v>43.805555555555557</v>
      </c>
      <c r="G430" s="2015">
        <f t="shared" si="104"/>
        <v>43.805555555555557</v>
      </c>
      <c r="H430" s="2603">
        <f t="shared" si="105"/>
        <v>0.5</v>
      </c>
      <c r="I430" s="647" t="s">
        <v>335</v>
      </c>
      <c r="J430" s="2643">
        <v>15.25</v>
      </c>
      <c r="K430" s="2899" t="s">
        <v>1687</v>
      </c>
      <c r="L430" s="2900">
        <f>L$428*V430*3</f>
        <v>6937.920000000001</v>
      </c>
      <c r="M430" s="3054" t="str">
        <f t="shared" ref="M430:M435" si="108">MID(B430, FIND("(",B430,1)+1, FIND(")",B430,1)- FIND("(",B430,1)-3)</f>
        <v>2</v>
      </c>
      <c r="N430" s="3103">
        <v>2</v>
      </c>
      <c r="O430" s="3100">
        <f t="shared" si="75"/>
        <v>1</v>
      </c>
      <c r="P430" s="2015">
        <v>43.805555555555557</v>
      </c>
      <c r="Q430" s="2015"/>
      <c r="R430" s="3074">
        <f t="shared" si="68"/>
        <v>2</v>
      </c>
      <c r="S430" s="3073">
        <f t="shared" si="73"/>
        <v>20.922056384742952</v>
      </c>
      <c r="T430" s="3073">
        <f t="shared" ref="T430:T441" si="109">8*M430</f>
        <v>16</v>
      </c>
      <c r="V430" s="3175">
        <v>0.26400000000000001</v>
      </c>
    </row>
    <row r="431" spans="1:22" s="693" customFormat="1" hidden="1" outlineLevel="2" x14ac:dyDescent="0.15">
      <c r="A431" s="630" t="str">
        <f t="shared" si="106"/>
        <v>AMI i3.xlarge (4vc) 2 core (2300 MHz) 30.5 GB</v>
      </c>
      <c r="B431" s="2036" t="s">
        <v>1681</v>
      </c>
      <c r="C431" s="2024">
        <f t="shared" si="92"/>
        <v>2</v>
      </c>
      <c r="D431" s="2561">
        <f t="shared" si="107"/>
        <v>2</v>
      </c>
      <c r="E431" s="639">
        <v>2300</v>
      </c>
      <c r="F431" s="2011">
        <f t="shared" si="93"/>
        <v>87.611111111111114</v>
      </c>
      <c r="G431" s="2015">
        <f t="shared" si="104"/>
        <v>43.805555555555557</v>
      </c>
      <c r="H431" s="2603">
        <f t="shared" si="105"/>
        <v>1</v>
      </c>
      <c r="I431" s="647" t="s">
        <v>335</v>
      </c>
      <c r="J431" s="2643">
        <v>30.5</v>
      </c>
      <c r="K431" s="2899" t="s">
        <v>1688</v>
      </c>
      <c r="L431" s="2900">
        <f t="shared" ref="L431:L435" si="110">L$428*V431*3</f>
        <v>13849.560000000001</v>
      </c>
      <c r="M431" s="3054" t="str">
        <f t="shared" si="108"/>
        <v>4</v>
      </c>
      <c r="N431" s="3103">
        <v>2</v>
      </c>
      <c r="O431" s="3100">
        <f t="shared" si="75"/>
        <v>2</v>
      </c>
      <c r="P431" s="2015">
        <v>43.805555555555557</v>
      </c>
      <c r="Q431" s="2015"/>
      <c r="R431" s="3074">
        <f t="shared" si="68"/>
        <v>2</v>
      </c>
      <c r="S431" s="3073">
        <f t="shared" si="73"/>
        <v>41.844112769485903</v>
      </c>
      <c r="T431" s="3073">
        <f t="shared" si="109"/>
        <v>32</v>
      </c>
      <c r="V431" s="3175">
        <v>0.52700000000000002</v>
      </c>
    </row>
    <row r="432" spans="1:22" s="693" customFormat="1" hidden="1" outlineLevel="2" x14ac:dyDescent="0.15">
      <c r="A432" s="630" t="str">
        <f t="shared" si="106"/>
        <v>AMI i3.2xlarge (8vc) 4 core (2300 MHz) 61 GB</v>
      </c>
      <c r="B432" s="2036" t="s">
        <v>1684</v>
      </c>
      <c r="C432" s="2024">
        <f t="shared" si="92"/>
        <v>4</v>
      </c>
      <c r="D432" s="2561">
        <f t="shared" si="107"/>
        <v>2</v>
      </c>
      <c r="E432" s="639">
        <v>2300</v>
      </c>
      <c r="F432" s="2011">
        <f t="shared" si="93"/>
        <v>175.22222222222223</v>
      </c>
      <c r="G432" s="2015">
        <f t="shared" si="104"/>
        <v>43.805555555555557</v>
      </c>
      <c r="H432" s="2603">
        <f t="shared" si="105"/>
        <v>2</v>
      </c>
      <c r="I432" s="647" t="s">
        <v>335</v>
      </c>
      <c r="J432" s="2643">
        <v>61</v>
      </c>
      <c r="K432" s="2899" t="s">
        <v>1689</v>
      </c>
      <c r="L432" s="2900">
        <f t="shared" si="110"/>
        <v>27699.120000000003</v>
      </c>
      <c r="M432" s="3054" t="str">
        <f t="shared" si="108"/>
        <v>8</v>
      </c>
      <c r="N432" s="3103">
        <v>2</v>
      </c>
      <c r="O432" s="3100">
        <f t="shared" si="75"/>
        <v>4</v>
      </c>
      <c r="P432" s="2015">
        <v>43.805555555555557</v>
      </c>
      <c r="Q432" s="2015"/>
      <c r="R432" s="3074">
        <f t="shared" si="68"/>
        <v>2</v>
      </c>
      <c r="S432" s="3073">
        <f t="shared" si="73"/>
        <v>83.688225538971807</v>
      </c>
      <c r="T432" s="3073">
        <f t="shared" si="109"/>
        <v>64</v>
      </c>
      <c r="V432" s="3175">
        <v>1.054</v>
      </c>
    </row>
    <row r="433" spans="1:22" s="693" customFormat="1" hidden="1" outlineLevel="2" x14ac:dyDescent="0.15">
      <c r="A433" s="630" t="str">
        <f t="shared" si="106"/>
        <v>AMI i3.4xlarge (16vc) 8 core (2300 MHz) 122 GB</v>
      </c>
      <c r="B433" s="2036" t="s">
        <v>1685</v>
      </c>
      <c r="C433" s="2024">
        <f t="shared" si="92"/>
        <v>8</v>
      </c>
      <c r="D433" s="2561">
        <f t="shared" si="107"/>
        <v>2</v>
      </c>
      <c r="E433" s="639">
        <v>2300</v>
      </c>
      <c r="F433" s="2011">
        <f t="shared" si="93"/>
        <v>350.44444444444446</v>
      </c>
      <c r="G433" s="2015">
        <f t="shared" si="104"/>
        <v>43.805555555555557</v>
      </c>
      <c r="H433" s="2603">
        <f t="shared" si="105"/>
        <v>4</v>
      </c>
      <c r="I433" s="647" t="s">
        <v>335</v>
      </c>
      <c r="J433" s="2643">
        <v>122</v>
      </c>
      <c r="K433" s="2899" t="s">
        <v>1690</v>
      </c>
      <c r="L433" s="2900">
        <f t="shared" si="110"/>
        <v>55424.520000000004</v>
      </c>
      <c r="M433" s="3054" t="str">
        <f t="shared" si="108"/>
        <v>16</v>
      </c>
      <c r="N433" s="3103">
        <v>2</v>
      </c>
      <c r="O433" s="3100">
        <f t="shared" si="75"/>
        <v>8</v>
      </c>
      <c r="P433" s="2015">
        <v>43.805555555555557</v>
      </c>
      <c r="Q433" s="2015"/>
      <c r="R433" s="3074">
        <f t="shared" si="68"/>
        <v>2</v>
      </c>
      <c r="S433" s="3073">
        <f t="shared" si="73"/>
        <v>167.37645107794361</v>
      </c>
      <c r="T433" s="3073">
        <f t="shared" si="109"/>
        <v>128</v>
      </c>
      <c r="V433" s="3175">
        <v>2.109</v>
      </c>
    </row>
    <row r="434" spans="1:22" s="693" customFormat="1" hidden="1" outlineLevel="2" x14ac:dyDescent="0.15">
      <c r="A434" s="630" t="str">
        <f t="shared" si="106"/>
        <v>AMI i3.8xlarge (32vc) 16 core (2300 MHz) 244 GB</v>
      </c>
      <c r="B434" s="2036" t="s">
        <v>1682</v>
      </c>
      <c r="C434" s="2024">
        <f t="shared" si="92"/>
        <v>16</v>
      </c>
      <c r="D434" s="2561">
        <f t="shared" si="107"/>
        <v>2</v>
      </c>
      <c r="E434" s="639">
        <v>2300</v>
      </c>
      <c r="F434" s="2011">
        <f t="shared" si="93"/>
        <v>700.88888888888891</v>
      </c>
      <c r="G434" s="2015">
        <f t="shared" si="104"/>
        <v>43.805555555555557</v>
      </c>
      <c r="H434" s="2603">
        <f t="shared" si="105"/>
        <v>8</v>
      </c>
      <c r="I434" s="647" t="s">
        <v>335</v>
      </c>
      <c r="J434" s="2643">
        <v>244</v>
      </c>
      <c r="K434" s="2899" t="s">
        <v>1691</v>
      </c>
      <c r="L434" s="2900">
        <f t="shared" si="110"/>
        <v>110849.04000000001</v>
      </c>
      <c r="M434" s="3054" t="str">
        <f t="shared" si="108"/>
        <v>32</v>
      </c>
      <c r="N434" s="3103">
        <v>2</v>
      </c>
      <c r="O434" s="3100">
        <f t="shared" si="75"/>
        <v>16</v>
      </c>
      <c r="P434" s="2015">
        <v>43.805555555555557</v>
      </c>
      <c r="Q434" s="2015"/>
      <c r="R434" s="3074">
        <f t="shared" si="68"/>
        <v>2</v>
      </c>
      <c r="S434" s="3073">
        <f t="shared" si="73"/>
        <v>334.75290215588723</v>
      </c>
      <c r="T434" s="3073">
        <f t="shared" si="109"/>
        <v>256</v>
      </c>
      <c r="V434" s="3175">
        <v>4.218</v>
      </c>
    </row>
    <row r="435" spans="1:22" s="693" customFormat="1" hidden="1" outlineLevel="2" x14ac:dyDescent="0.15">
      <c r="A435" s="630" t="str">
        <f t="shared" si="106"/>
        <v>AMI i3.16xlarge (64vc) 32 core (2300 MHz) 488 GB</v>
      </c>
      <c r="B435" s="2036" t="s">
        <v>1686</v>
      </c>
      <c r="C435" s="2024">
        <f t="shared" si="92"/>
        <v>32</v>
      </c>
      <c r="D435" s="2561">
        <f t="shared" si="107"/>
        <v>2</v>
      </c>
      <c r="E435" s="639">
        <v>2300</v>
      </c>
      <c r="F435" s="2011">
        <f t="shared" si="93"/>
        <v>1401.7777777777778</v>
      </c>
      <c r="G435" s="2015">
        <f t="shared" si="104"/>
        <v>43.805555555555557</v>
      </c>
      <c r="H435" s="2603">
        <f t="shared" si="105"/>
        <v>16</v>
      </c>
      <c r="I435" s="647" t="s">
        <v>335</v>
      </c>
      <c r="J435" s="2643">
        <v>488</v>
      </c>
      <c r="K435" s="2899" t="s">
        <v>1692</v>
      </c>
      <c r="L435" s="2900">
        <f t="shared" si="110"/>
        <v>208558.08000000002</v>
      </c>
      <c r="M435" s="3054" t="str">
        <f t="shared" si="108"/>
        <v>64</v>
      </c>
      <c r="N435" s="3103">
        <v>2</v>
      </c>
      <c r="O435" s="3100">
        <f t="shared" si="75"/>
        <v>32</v>
      </c>
      <c r="P435" s="2015">
        <v>43.805555555555557</v>
      </c>
      <c r="Q435" s="2015"/>
      <c r="R435" s="3074">
        <f t="shared" si="68"/>
        <v>2</v>
      </c>
      <c r="S435" s="3073">
        <f t="shared" si="73"/>
        <v>669.50580431177445</v>
      </c>
      <c r="T435" s="3073">
        <f t="shared" si="109"/>
        <v>512</v>
      </c>
      <c r="V435" s="3175">
        <v>7.9359999999999999</v>
      </c>
    </row>
    <row r="436" spans="1:22" hidden="1" outlineLevel="1" collapsed="1" x14ac:dyDescent="0.15">
      <c r="A436" s="3057" t="s">
        <v>1768</v>
      </c>
      <c r="B436" s="3102" t="str">
        <f>B$370</f>
        <v>AMI Platform</v>
      </c>
      <c r="C436" s="3102" t="str">
        <f>C$370</f>
        <v>Host Core</v>
      </c>
      <c r="D436" s="3102" t="str">
        <f t="shared" ref="D436:J436" si="111">D$370</f>
        <v>vCore/core</v>
      </c>
      <c r="E436" s="3102" t="str">
        <f t="shared" si="111"/>
        <v>MHz</v>
      </c>
      <c r="F436" s="3102" t="str">
        <f t="shared" si="111"/>
        <v>Rate2006</v>
      </c>
      <c r="G436" s="3102" t="str">
        <f t="shared" si="111"/>
        <v>Per Core</v>
      </c>
      <c r="H436" s="3102" t="str">
        <f t="shared" si="111"/>
        <v>Core</v>
      </c>
      <c r="I436" s="3102" t="str">
        <f t="shared" si="111"/>
        <v>Vendor</v>
      </c>
      <c r="J436" s="3102" t="str">
        <f t="shared" si="111"/>
        <v>vRAM</v>
      </c>
      <c r="K436" s="3102"/>
      <c r="L436" s="3171">
        <v>8760</v>
      </c>
      <c r="M436" s="3102" t="str">
        <f>M$370</f>
        <v>vCore</v>
      </c>
      <c r="N436" s="3102" t="str">
        <f>N$370</f>
        <v>Threds/core</v>
      </c>
      <c r="O436" s="3102" t="str">
        <f>O$370</f>
        <v>HostCore</v>
      </c>
      <c r="P436" s="3102" t="str">
        <f>P$370</f>
        <v>Rate2006</v>
      </c>
      <c r="Q436" s="3102"/>
      <c r="R436" s="3074"/>
      <c r="S436" s="3073"/>
      <c r="V436" s="3167"/>
    </row>
    <row r="437" spans="1:22" hidden="1" outlineLevel="2" x14ac:dyDescent="0.15">
      <c r="A437" s="3136" t="str">
        <f>CONCATENATE(B437," ",C437," core (",H437," chip) ",E437," MHz")&amp;IF(ISBLANK(F437),"**","")</f>
        <v>Xeon E5-2676v3 24 core (2 chip) 2400 MHz</v>
      </c>
      <c r="B437" s="661" t="s">
        <v>1756</v>
      </c>
      <c r="C437" s="2024">
        <v>24</v>
      </c>
      <c r="D437" s="52">
        <v>12</v>
      </c>
      <c r="E437" s="639">
        <v>2400</v>
      </c>
      <c r="F437" s="2192">
        <v>1015</v>
      </c>
      <c r="G437" s="2193">
        <f>F437/C437</f>
        <v>42.291666666666664</v>
      </c>
      <c r="H437" s="2603">
        <f>C437/D437</f>
        <v>2</v>
      </c>
      <c r="I437" s="646" t="s">
        <v>335</v>
      </c>
      <c r="J437" s="2048">
        <v>120</v>
      </c>
      <c r="K437" s="2647"/>
      <c r="L437" s="1149"/>
      <c r="M437" s="1149"/>
      <c r="N437" s="1149"/>
      <c r="O437" s="1149"/>
      <c r="P437" s="2196"/>
      <c r="Q437" s="2196"/>
      <c r="R437" s="2196"/>
      <c r="S437" s="2196"/>
      <c r="T437" s="1149"/>
      <c r="V437" s="3178"/>
    </row>
    <row r="438" spans="1:22" s="693" customFormat="1" hidden="1" outlineLevel="2" x14ac:dyDescent="0.15">
      <c r="A438" s="630" t="str">
        <f>CONCATENATE(B438," ",C438," core (",E438," MHz) ",J438," GB")</f>
        <v>AMI d2.xlarge (4vc) 2 core (2400 MHz) 30.5 GB</v>
      </c>
      <c r="B438" s="2036" t="s">
        <v>1346</v>
      </c>
      <c r="C438" s="2024">
        <f t="shared" si="92"/>
        <v>2</v>
      </c>
      <c r="D438" s="2561">
        <f t="shared" si="107"/>
        <v>2</v>
      </c>
      <c r="E438" s="639">
        <v>2400</v>
      </c>
      <c r="F438" s="2011">
        <f t="shared" si="93"/>
        <v>84.583333333333329</v>
      </c>
      <c r="G438" s="2015">
        <f>IF(F438=0,"",F438/C438)</f>
        <v>42.291666666666664</v>
      </c>
      <c r="H438" s="2603">
        <f>IF(C438=0,"",C438/D438)</f>
        <v>1</v>
      </c>
      <c r="I438" s="647" t="s">
        <v>335</v>
      </c>
      <c r="J438" s="2643">
        <v>30.5</v>
      </c>
      <c r="K438" s="2899" t="s">
        <v>1546</v>
      </c>
      <c r="L438" s="2900">
        <f>L$436*V438*3</f>
        <v>23730.840000000004</v>
      </c>
      <c r="M438" s="3054" t="str">
        <f t="shared" si="72"/>
        <v>4</v>
      </c>
      <c r="N438" s="3103">
        <v>2</v>
      </c>
      <c r="O438" s="3100">
        <f t="shared" si="75"/>
        <v>2</v>
      </c>
      <c r="P438" s="2015">
        <v>42.291666666666664</v>
      </c>
      <c r="Q438" s="2015"/>
      <c r="R438" s="3074">
        <f>M438/C438</f>
        <v>2</v>
      </c>
      <c r="S438" s="3073">
        <f t="shared" si="73"/>
        <v>40.398009950248756</v>
      </c>
      <c r="T438" s="3073">
        <f t="shared" si="109"/>
        <v>32</v>
      </c>
      <c r="V438" s="3175">
        <v>0.90300000000000002</v>
      </c>
    </row>
    <row r="439" spans="1:22" s="693" customFormat="1" hidden="1" outlineLevel="2" x14ac:dyDescent="0.15">
      <c r="A439" s="630" t="str">
        <f>CONCATENATE(B439," ",C439," core (",E439," MHz) ",J439," GB")</f>
        <v>AMI d2.2xlarge (8vc) 4 core (2400 MHz) 61 GB</v>
      </c>
      <c r="B439" s="2036" t="s">
        <v>1347</v>
      </c>
      <c r="C439" s="2024">
        <f t="shared" si="92"/>
        <v>4</v>
      </c>
      <c r="D439" s="2561">
        <f t="shared" si="107"/>
        <v>2</v>
      </c>
      <c r="E439" s="639">
        <v>2400</v>
      </c>
      <c r="F439" s="2011">
        <f t="shared" si="93"/>
        <v>169.16666666666666</v>
      </c>
      <c r="G439" s="2015">
        <f>IF(F439=0,"",F439/C439)</f>
        <v>42.291666666666664</v>
      </c>
      <c r="H439" s="2603">
        <f>IF(C439=0,"",C439/D439)</f>
        <v>2</v>
      </c>
      <c r="I439" s="647" t="s">
        <v>335</v>
      </c>
      <c r="J439" s="2643">
        <v>61</v>
      </c>
      <c r="K439" s="2899" t="s">
        <v>1547</v>
      </c>
      <c r="L439" s="2900">
        <f t="shared" ref="L439:L441" si="112">L$436*V439*3</f>
        <v>46279.079999999994</v>
      </c>
      <c r="M439" s="3054" t="str">
        <f t="shared" si="72"/>
        <v>8</v>
      </c>
      <c r="N439" s="3103">
        <v>2</v>
      </c>
      <c r="O439" s="3100">
        <f t="shared" si="75"/>
        <v>4</v>
      </c>
      <c r="P439" s="2015">
        <v>42.291666666666664</v>
      </c>
      <c r="Q439" s="2015"/>
      <c r="R439" s="3074">
        <f>M439/C439</f>
        <v>2</v>
      </c>
      <c r="S439" s="3073">
        <f t="shared" si="73"/>
        <v>80.796019900497512</v>
      </c>
      <c r="T439" s="3073">
        <f t="shared" si="109"/>
        <v>64</v>
      </c>
      <c r="V439" s="3175">
        <v>1.7609999999999999</v>
      </c>
    </row>
    <row r="440" spans="1:22" s="693" customFormat="1" hidden="1" outlineLevel="2" x14ac:dyDescent="0.15">
      <c r="A440" s="630" t="str">
        <f>CONCATENATE(B440," ",C440," core (",E440," MHz) ",J440," GB")</f>
        <v>AMI d2.4xlarge (16vc) 8 core (2400 MHz) 122 GB</v>
      </c>
      <c r="B440" s="2036" t="s">
        <v>1348</v>
      </c>
      <c r="C440" s="2024">
        <f t="shared" si="92"/>
        <v>8</v>
      </c>
      <c r="D440" s="2561">
        <f t="shared" si="107"/>
        <v>2</v>
      </c>
      <c r="E440" s="639">
        <v>2400</v>
      </c>
      <c r="F440" s="2011">
        <f t="shared" si="93"/>
        <v>338.33333333333331</v>
      </c>
      <c r="G440" s="2015">
        <f>IF(F440=0,"",F440/C440)</f>
        <v>42.291666666666664</v>
      </c>
      <c r="H440" s="2603">
        <f>IF(C440=0,"",C440/D440)</f>
        <v>4</v>
      </c>
      <c r="I440" s="647" t="s">
        <v>335</v>
      </c>
      <c r="J440" s="2643">
        <v>122</v>
      </c>
      <c r="K440" s="2899" t="s">
        <v>1548</v>
      </c>
      <c r="L440" s="2900">
        <f t="shared" si="112"/>
        <v>88511.040000000008</v>
      </c>
      <c r="M440" s="3054" t="str">
        <f t="shared" si="72"/>
        <v>16</v>
      </c>
      <c r="N440" s="3103">
        <v>2</v>
      </c>
      <c r="O440" s="3100">
        <f t="shared" si="75"/>
        <v>8</v>
      </c>
      <c r="P440" s="2015">
        <v>42.291666666666664</v>
      </c>
      <c r="Q440" s="2015"/>
      <c r="R440" s="3074">
        <f>M440/C440</f>
        <v>2</v>
      </c>
      <c r="S440" s="3073">
        <f t="shared" si="73"/>
        <v>161.59203980099502</v>
      </c>
      <c r="T440" s="3073">
        <f t="shared" si="109"/>
        <v>128</v>
      </c>
      <c r="V440" s="3175">
        <v>3.3679999999999999</v>
      </c>
    </row>
    <row r="441" spans="1:22" s="693" customFormat="1" hidden="1" outlineLevel="2" x14ac:dyDescent="0.15">
      <c r="A441" s="630" t="str">
        <f>CONCATENATE(B441," ",C441," core (",E441," MHz) ",J441," GB")</f>
        <v>AMI d2.8xlarge (36vc) 18 core (2400 MHz) 244 GB</v>
      </c>
      <c r="B441" s="2036" t="s">
        <v>1349</v>
      </c>
      <c r="C441" s="2024">
        <f t="shared" si="92"/>
        <v>18</v>
      </c>
      <c r="D441" s="2561">
        <f t="shared" si="107"/>
        <v>2</v>
      </c>
      <c r="E441" s="639">
        <v>2400</v>
      </c>
      <c r="F441" s="2011">
        <f t="shared" si="93"/>
        <v>761.25</v>
      </c>
      <c r="G441" s="2015">
        <f>IF(F441=0,"",F441/C441)</f>
        <v>42.291666666666664</v>
      </c>
      <c r="H441" s="2603">
        <f>IF(C441=0,"",C441/D441)</f>
        <v>9</v>
      </c>
      <c r="I441" s="647" t="s">
        <v>335</v>
      </c>
      <c r="J441" s="2643">
        <v>244</v>
      </c>
      <c r="K441" s="2899" t="s">
        <v>1549</v>
      </c>
      <c r="L441" s="2900">
        <f t="shared" si="112"/>
        <v>162883.44</v>
      </c>
      <c r="M441" s="3054" t="str">
        <f t="shared" si="72"/>
        <v>36</v>
      </c>
      <c r="N441" s="3103">
        <v>2</v>
      </c>
      <c r="O441" s="3100">
        <f t="shared" si="75"/>
        <v>18</v>
      </c>
      <c r="P441" s="2015">
        <v>42.291666666666664</v>
      </c>
      <c r="Q441" s="2015"/>
      <c r="R441" s="3074">
        <f>M441/C441</f>
        <v>2</v>
      </c>
      <c r="S441" s="3073">
        <f t="shared" si="73"/>
        <v>363.58208955223881</v>
      </c>
      <c r="T441" s="3073">
        <f t="shared" si="109"/>
        <v>288</v>
      </c>
      <c r="V441" s="3175">
        <v>6.1980000000000004</v>
      </c>
    </row>
    <row r="442" spans="1:22" hidden="1" outlineLevel="1" collapsed="1" x14ac:dyDescent="0.15">
      <c r="A442" s="628" t="s">
        <v>1787</v>
      </c>
      <c r="B442" s="659" t="str">
        <f>A442</f>
        <v xml:space="preserve"> ==== 2017 AMI RDS DB instance class Platforms ====</v>
      </c>
      <c r="C442" s="656"/>
      <c r="D442" s="2022"/>
      <c r="E442" s="2905"/>
      <c r="F442" s="2906" t="s">
        <v>1746</v>
      </c>
      <c r="G442" s="2017"/>
      <c r="H442" s="2606"/>
      <c r="I442" s="645"/>
      <c r="J442" s="645"/>
      <c r="K442" s="645"/>
      <c r="L442" s="645"/>
      <c r="M442" s="645"/>
      <c r="N442" s="645"/>
      <c r="O442" s="645"/>
      <c r="P442" s="645" t="s">
        <v>408</v>
      </c>
      <c r="Q442" s="3159"/>
      <c r="R442" s="2651" t="s">
        <v>1723</v>
      </c>
      <c r="S442" s="31" t="s">
        <v>1724</v>
      </c>
      <c r="T442" s="31" t="s">
        <v>1725</v>
      </c>
      <c r="V442" s="3179"/>
    </row>
    <row r="443" spans="1:22" hidden="1" outlineLevel="1" x14ac:dyDescent="0.15">
      <c r="A443" s="3057" t="s">
        <v>1788</v>
      </c>
      <c r="B443" s="3102" t="str">
        <f>B$370</f>
        <v>AMI Platform</v>
      </c>
      <c r="C443" s="3102" t="str">
        <f>C$370</f>
        <v>Host Core</v>
      </c>
      <c r="D443" s="3102" t="str">
        <f t="shared" ref="D443:J443" si="113">D$370</f>
        <v>vCore/core</v>
      </c>
      <c r="E443" s="3102" t="str">
        <f t="shared" si="113"/>
        <v>MHz</v>
      </c>
      <c r="F443" s="3102" t="str">
        <f t="shared" si="113"/>
        <v>Rate2006</v>
      </c>
      <c r="G443" s="3102" t="str">
        <f t="shared" si="113"/>
        <v>Per Core</v>
      </c>
      <c r="H443" s="3102" t="str">
        <f t="shared" si="113"/>
        <v>Core</v>
      </c>
      <c r="I443" s="3102" t="str">
        <f t="shared" si="113"/>
        <v>Vendor</v>
      </c>
      <c r="J443" s="3102" t="str">
        <f t="shared" si="113"/>
        <v>vRAM</v>
      </c>
      <c r="K443" s="3102"/>
      <c r="L443" s="3171">
        <v>8760</v>
      </c>
      <c r="M443" s="3102" t="str">
        <f>M$370</f>
        <v>vCore</v>
      </c>
      <c r="N443" s="3102" t="str">
        <f>N$370</f>
        <v>Threds/core</v>
      </c>
      <c r="O443" s="3102" t="str">
        <f>O$370</f>
        <v>HostCore</v>
      </c>
      <c r="P443" s="3102" t="str">
        <f>P$370</f>
        <v>Rate2006</v>
      </c>
      <c r="Q443" s="3102"/>
      <c r="V443" s="3167"/>
    </row>
    <row r="444" spans="1:22" hidden="1" outlineLevel="2" x14ac:dyDescent="0.15">
      <c r="A444" s="3136" t="str">
        <f>CONCATENATE(B444," ",C444," core (",H444," chip) ",E444," MHz")&amp;IF(ISBLANK(F444),"**","")</f>
        <v>Xeon E5-2676v3 24 core (2 chip) 2400 MHz</v>
      </c>
      <c r="B444" s="661" t="s">
        <v>1756</v>
      </c>
      <c r="C444" s="2024">
        <v>24</v>
      </c>
      <c r="D444" s="52">
        <v>12</v>
      </c>
      <c r="E444" s="639">
        <v>2400</v>
      </c>
      <c r="F444" s="2192">
        <v>1015</v>
      </c>
      <c r="G444" s="2193">
        <f>F444/C444</f>
        <v>42.291666666666664</v>
      </c>
      <c r="H444" s="2603">
        <f>C444/D444</f>
        <v>2</v>
      </c>
      <c r="I444" s="646" t="s">
        <v>335</v>
      </c>
      <c r="J444" s="2048">
        <v>120</v>
      </c>
      <c r="K444" s="2647">
        <v>42050</v>
      </c>
      <c r="L444" s="1149"/>
      <c r="M444" s="1149"/>
      <c r="N444" s="1149"/>
      <c r="O444" s="1149"/>
      <c r="P444" s="2196"/>
      <c r="Q444" s="2196"/>
      <c r="R444" s="2196"/>
      <c r="S444" s="2196"/>
      <c r="T444" s="1149"/>
      <c r="V444" s="3178"/>
    </row>
    <row r="445" spans="1:22" s="693" customFormat="1" hidden="1" outlineLevel="2" x14ac:dyDescent="0.15">
      <c r="A445" s="630" t="str">
        <f>CONCATENATE(B445," ",C445," core (",E445," MHz) ",J445," GB")</f>
        <v>AMI db.m4.large (2vc) 1 core (2400 MHz) 8 GB</v>
      </c>
      <c r="B445" s="2036" t="s">
        <v>1789</v>
      </c>
      <c r="C445" s="2024">
        <f>O445</f>
        <v>1</v>
      </c>
      <c r="D445" s="2561">
        <f>N445</f>
        <v>2</v>
      </c>
      <c r="E445" s="639">
        <v>2400</v>
      </c>
      <c r="F445" s="2011">
        <f>IF(N445=1,O445*P445/1.3,O445*P445)</f>
        <v>42.291666666666664</v>
      </c>
      <c r="G445" s="2015">
        <f>IF(F445=0,"",F445/C445)</f>
        <v>42.291666666666664</v>
      </c>
      <c r="H445" s="2603">
        <f>IF(C445=0,"",C445/D445)</f>
        <v>0.5</v>
      </c>
      <c r="I445" s="647" t="s">
        <v>335</v>
      </c>
      <c r="J445" s="2643">
        <v>8</v>
      </c>
      <c r="K445" s="2899" t="s">
        <v>1337</v>
      </c>
      <c r="L445" s="2900">
        <f>L$443*V445*3</f>
        <v>7936.5599999999995</v>
      </c>
      <c r="M445" s="3054" t="str">
        <f>MID(B445, FIND("(",B445,1)+1, FIND(")",B445,1)- FIND("(",B445,1)-3)</f>
        <v>2</v>
      </c>
      <c r="N445" s="3103">
        <v>2</v>
      </c>
      <c r="O445" s="3100">
        <f>M445/N445</f>
        <v>1</v>
      </c>
      <c r="P445" s="2015">
        <v>42.291666666666664</v>
      </c>
      <c r="Q445" s="2015"/>
      <c r="R445" s="3074">
        <f>M445/C445</f>
        <v>2</v>
      </c>
      <c r="S445" s="3073">
        <f>R445*4*0.8*F445/13.4</f>
        <v>20.199004975124378</v>
      </c>
      <c r="T445" s="3073">
        <f>8*M445</f>
        <v>16</v>
      </c>
      <c r="V445" s="3175">
        <v>0.30199999999999999</v>
      </c>
    </row>
    <row r="446" spans="1:22" s="693" customFormat="1" hidden="1" outlineLevel="2" x14ac:dyDescent="0.15">
      <c r="A446" s="630" t="str">
        <f>CONCATENATE(B446," ",C446," core (",E446," MHz) ",J446," GB")</f>
        <v>AMI db.m4.xlarge (4vc) 2 core (2400 MHz) 16 GB</v>
      </c>
      <c r="B446" s="2036" t="s">
        <v>1790</v>
      </c>
      <c r="C446" s="2024">
        <f>O446</f>
        <v>2</v>
      </c>
      <c r="D446" s="2561">
        <f>N446</f>
        <v>2</v>
      </c>
      <c r="E446" s="639">
        <v>2400</v>
      </c>
      <c r="F446" s="2011">
        <f>IF(N446=1,O446*P446/1.3,O446*P446)</f>
        <v>84.583333333333329</v>
      </c>
      <c r="G446" s="2015">
        <f>IF(F446=0,"",F446/C446)</f>
        <v>42.291666666666664</v>
      </c>
      <c r="H446" s="2603">
        <f>IF(C446=0,"",C446/D446)</f>
        <v>1</v>
      </c>
      <c r="I446" s="647" t="s">
        <v>335</v>
      </c>
      <c r="J446" s="2643">
        <v>16</v>
      </c>
      <c r="K446" s="2899" t="s">
        <v>1337</v>
      </c>
      <c r="L446" s="2900">
        <f t="shared" ref="L446:L449" si="114">L$443*V446*3</f>
        <v>15899.400000000001</v>
      </c>
      <c r="M446" s="3054" t="str">
        <f>MID(B446, FIND("(",B446,1)+1, FIND(")",B446,1)- FIND("(",B446,1)-3)</f>
        <v>4</v>
      </c>
      <c r="N446" s="3103">
        <f>N445</f>
        <v>2</v>
      </c>
      <c r="O446" s="3100">
        <f>M446/N446</f>
        <v>2</v>
      </c>
      <c r="P446" s="2015">
        <v>42.291666666666664</v>
      </c>
      <c r="Q446" s="2015"/>
      <c r="R446" s="3074">
        <f>M446/C446</f>
        <v>2</v>
      </c>
      <c r="S446" s="3073">
        <f>R446*4*0.8*F446/13.4</f>
        <v>40.398009950248756</v>
      </c>
      <c r="T446" s="3073">
        <f>8*M446</f>
        <v>32</v>
      </c>
      <c r="V446" s="3175">
        <v>0.60499999999999998</v>
      </c>
    </row>
    <row r="447" spans="1:22" s="693" customFormat="1" hidden="1" outlineLevel="2" x14ac:dyDescent="0.15">
      <c r="A447" s="630" t="str">
        <f>CONCATENATE(B447," ",C447," core (",E447," MHz) ",J447," GB")</f>
        <v>AMI db.m4.2xlarge (8vc) 4 core (2400 MHz) 32 GB</v>
      </c>
      <c r="B447" s="2036" t="s">
        <v>1791</v>
      </c>
      <c r="C447" s="2024">
        <f>O447</f>
        <v>4</v>
      </c>
      <c r="D447" s="2561">
        <f>N447</f>
        <v>2</v>
      </c>
      <c r="E447" s="639">
        <v>2400</v>
      </c>
      <c r="F447" s="2011">
        <f>IF(N447=1,O447*P447/1.3,O447*P447)</f>
        <v>169.16666666666666</v>
      </c>
      <c r="G447" s="2015">
        <f>IF(F447=0,"",F447/C447)</f>
        <v>42.291666666666664</v>
      </c>
      <c r="H447" s="2603">
        <f>IF(C447=0,"",C447/D447)</f>
        <v>2</v>
      </c>
      <c r="I447" s="647" t="s">
        <v>335</v>
      </c>
      <c r="J447" s="2643">
        <v>32</v>
      </c>
      <c r="K447" s="2899" t="s">
        <v>1337</v>
      </c>
      <c r="L447" s="2900">
        <f t="shared" si="114"/>
        <v>31798.800000000003</v>
      </c>
      <c r="M447" s="3054" t="str">
        <f>MID(B447, FIND("(",B447,1)+1, FIND(")",B447,1)- FIND("(",B447,1)-3)</f>
        <v>8</v>
      </c>
      <c r="N447" s="3103">
        <f>N446</f>
        <v>2</v>
      </c>
      <c r="O447" s="3100">
        <f>M447/N447</f>
        <v>4</v>
      </c>
      <c r="P447" s="2015">
        <v>42.291666666666664</v>
      </c>
      <c r="Q447" s="2015"/>
      <c r="R447" s="3074">
        <f>M447/C447</f>
        <v>2</v>
      </c>
      <c r="S447" s="3073">
        <f>R447*4*0.8*F447/13.4</f>
        <v>80.796019900497512</v>
      </c>
      <c r="T447" s="3073">
        <f>8*M447</f>
        <v>64</v>
      </c>
      <c r="V447" s="3175">
        <v>1.21</v>
      </c>
    </row>
    <row r="448" spans="1:22" s="693" customFormat="1" hidden="1" outlineLevel="2" x14ac:dyDescent="0.15">
      <c r="A448" s="630" t="str">
        <f>CONCATENATE(B448," ",C448," core (",E448," MHz) ",J448," GB")</f>
        <v>AMI db.m4.4xlarge (16vc) 8 core (2400 MHz) 64 GB</v>
      </c>
      <c r="B448" s="2036" t="s">
        <v>1792</v>
      </c>
      <c r="C448" s="2024">
        <f>O448</f>
        <v>8</v>
      </c>
      <c r="D448" s="2561">
        <f>N448</f>
        <v>2</v>
      </c>
      <c r="E448" s="639">
        <v>2400</v>
      </c>
      <c r="F448" s="2011">
        <f>IF(N448=1,O448*P448/1.3,O448*P448)</f>
        <v>338.33333333333331</v>
      </c>
      <c r="G448" s="2015">
        <f>IF(F448=0,"",F448/C448)</f>
        <v>42.291666666666664</v>
      </c>
      <c r="H448" s="2603">
        <f>IF(C448=0,"",C448/D448)</f>
        <v>4</v>
      </c>
      <c r="I448" s="647" t="s">
        <v>335</v>
      </c>
      <c r="J448" s="2643">
        <v>64</v>
      </c>
      <c r="K448" s="2899" t="s">
        <v>1337</v>
      </c>
      <c r="L448" s="2900">
        <f t="shared" si="114"/>
        <v>63571.319999999992</v>
      </c>
      <c r="M448" s="3054" t="str">
        <f>MID(B448, FIND("(",B448,1)+1, FIND(")",B448,1)- FIND("(",B448,1)-3)</f>
        <v>16</v>
      </c>
      <c r="N448" s="3103">
        <f>N447</f>
        <v>2</v>
      </c>
      <c r="O448" s="3100">
        <f>M448/N448</f>
        <v>8</v>
      </c>
      <c r="P448" s="2015">
        <v>42.291666666666664</v>
      </c>
      <c r="Q448" s="2015"/>
      <c r="R448" s="3074">
        <f>M448/C448</f>
        <v>2</v>
      </c>
      <c r="S448" s="3073">
        <f>R448*4*0.8*F448/13.4</f>
        <v>161.59203980099502</v>
      </c>
      <c r="T448" s="3073">
        <f>8*M448</f>
        <v>128</v>
      </c>
      <c r="V448" s="3175">
        <v>2.419</v>
      </c>
    </row>
    <row r="449" spans="1:22" s="693" customFormat="1" hidden="1" outlineLevel="2" x14ac:dyDescent="0.15">
      <c r="A449" s="630" t="str">
        <f>CONCATENATE(B449," ",C449," core (",E449," MHz) ",J449," GB")</f>
        <v>AMI db.m4.10xlarge (40vc) 20 core (2400 MHz) 160 GB</v>
      </c>
      <c r="B449" s="2036" t="s">
        <v>1793</v>
      </c>
      <c r="C449" s="2024">
        <f>O449</f>
        <v>20</v>
      </c>
      <c r="D449" s="2561">
        <f>N449</f>
        <v>2</v>
      </c>
      <c r="E449" s="639">
        <v>2400</v>
      </c>
      <c r="F449" s="2011">
        <f>IF(N449=1,O449*P449/1.3,O449*P449)</f>
        <v>845.83333333333326</v>
      </c>
      <c r="G449" s="2015">
        <f>IF(F449=0,"",F449/C449)</f>
        <v>42.291666666666664</v>
      </c>
      <c r="H449" s="2603">
        <f>IF(C449=0,"",C449/D449)</f>
        <v>10</v>
      </c>
      <c r="I449" s="647" t="s">
        <v>335</v>
      </c>
      <c r="J449" s="2643">
        <v>160</v>
      </c>
      <c r="K449" s="2899" t="s">
        <v>1337</v>
      </c>
      <c r="L449" s="2900">
        <f t="shared" si="114"/>
        <v>158941.44</v>
      </c>
      <c r="M449" s="3054" t="str">
        <f>MID(B449, FIND("(",B449,1)+1, FIND(")",B449,1)- FIND("(",B449,1)-3)</f>
        <v>40</v>
      </c>
      <c r="N449" s="3103">
        <v>2</v>
      </c>
      <c r="O449" s="3100">
        <f>M449/N449</f>
        <v>20</v>
      </c>
      <c r="P449" s="2015">
        <v>42.291666666666664</v>
      </c>
      <c r="Q449" s="2015"/>
      <c r="R449" s="3074">
        <f>M449/C449</f>
        <v>2</v>
      </c>
      <c r="S449" s="3073">
        <f>R449*4*0.8*F449/13.4</f>
        <v>403.98009950248752</v>
      </c>
      <c r="T449" s="3073">
        <f>8*M449</f>
        <v>320</v>
      </c>
      <c r="V449" s="3175">
        <v>6.048</v>
      </c>
    </row>
    <row r="450" spans="1:22" hidden="1" outlineLevel="1" collapsed="1" x14ac:dyDescent="0.15">
      <c r="A450" s="3057" t="s">
        <v>1803</v>
      </c>
      <c r="B450" s="3102" t="str">
        <f>B$370</f>
        <v>AMI Platform</v>
      </c>
      <c r="C450" s="3102" t="str">
        <f>C$370</f>
        <v>Host Core</v>
      </c>
      <c r="D450" s="3102" t="str">
        <f t="shared" ref="D450:J450" si="115">D$370</f>
        <v>vCore/core</v>
      </c>
      <c r="E450" s="3102" t="str">
        <f t="shared" si="115"/>
        <v>MHz</v>
      </c>
      <c r="F450" s="3102" t="str">
        <f t="shared" si="115"/>
        <v>Rate2006</v>
      </c>
      <c r="G450" s="3102" t="str">
        <f t="shared" si="115"/>
        <v>Per Core</v>
      </c>
      <c r="H450" s="3102" t="str">
        <f t="shared" si="115"/>
        <v>Core</v>
      </c>
      <c r="I450" s="3102" t="str">
        <f t="shared" si="115"/>
        <v>Vendor</v>
      </c>
      <c r="J450" s="3102" t="str">
        <f t="shared" si="115"/>
        <v>vRAM</v>
      </c>
      <c r="K450" s="3102"/>
      <c r="L450" s="3171">
        <v>8760</v>
      </c>
      <c r="M450" s="3102" t="str">
        <f>M$370</f>
        <v>vCore</v>
      </c>
      <c r="N450" s="3102" t="str">
        <f>N$370</f>
        <v>Threds/core</v>
      </c>
      <c r="O450" s="3102" t="str">
        <f>O$370</f>
        <v>HostCore</v>
      </c>
      <c r="P450" s="3102" t="str">
        <f>P$370</f>
        <v>Rate2006</v>
      </c>
      <c r="Q450" s="3102"/>
      <c r="V450" s="3167"/>
    </row>
    <row r="451" spans="1:22" s="693" customFormat="1" hidden="1" outlineLevel="2" x14ac:dyDescent="0.15">
      <c r="A451" s="3136" t="str">
        <f>CONCATENATE(B451," ",C451," core (",H451," chip) ",E451," MHz")</f>
        <v>Xeon E5-2670v2 20 core (2 chip) 2500 MHz</v>
      </c>
      <c r="B451" s="661" t="s">
        <v>1757</v>
      </c>
      <c r="C451" s="2025">
        <v>20</v>
      </c>
      <c r="D451" s="50">
        <v>10</v>
      </c>
      <c r="E451" s="639">
        <v>2500</v>
      </c>
      <c r="F451" s="2012">
        <v>791</v>
      </c>
      <c r="G451" s="2015">
        <f>IF(F451=0,"",F451/C451)</f>
        <v>39.549999999999997</v>
      </c>
      <c r="H451" s="2603">
        <f>IF(C451=0,"",C451/D451)</f>
        <v>2</v>
      </c>
      <c r="I451" s="647" t="s">
        <v>335</v>
      </c>
      <c r="J451" s="2048">
        <v>130</v>
      </c>
      <c r="K451" s="2650"/>
      <c r="L451" s="1304"/>
      <c r="M451" s="1304"/>
      <c r="N451" s="1304"/>
      <c r="O451" s="1304"/>
      <c r="P451" s="1305"/>
      <c r="Q451" s="1305"/>
      <c r="V451" s="3174"/>
    </row>
    <row r="452" spans="1:22" s="693" customFormat="1" hidden="1" outlineLevel="2" x14ac:dyDescent="0.15">
      <c r="A452" s="630" t="str">
        <f>CONCATENATE(B452," ",C452," core (",E452," MHz) ",J452," GB")</f>
        <v>AMI db.m3.medium (1vc) 1 core (2600 MHz) 3.75 GB</v>
      </c>
      <c r="B452" s="2036" t="s">
        <v>1794</v>
      </c>
      <c r="C452" s="2024" t="str">
        <f>O452</f>
        <v>1</v>
      </c>
      <c r="D452" s="2561">
        <f>N452</f>
        <v>1</v>
      </c>
      <c r="E452" s="639">
        <v>2600</v>
      </c>
      <c r="F452" s="2011">
        <f>IF(N452=1,O452*P452/1.3,O452*P452)</f>
        <v>29.384615384615387</v>
      </c>
      <c r="G452" s="2015">
        <f>IF(F452=0,"",F452/C452)</f>
        <v>29.384615384615387</v>
      </c>
      <c r="H452" s="3101">
        <f>IF(C452=0,"",C452/D452)</f>
        <v>1</v>
      </c>
      <c r="I452" s="647" t="s">
        <v>335</v>
      </c>
      <c r="J452" s="2643">
        <v>3.75</v>
      </c>
      <c r="K452" s="2899" t="s">
        <v>1530</v>
      </c>
      <c r="L452" s="2900">
        <f>L$450*V452*3</f>
        <v>4073.3999999999996</v>
      </c>
      <c r="M452" s="3054" t="str">
        <f>MID(B452, FIND("(",B452,1)+1, FIND(")",B452,1)- FIND("(",B452,1)-3)</f>
        <v>1</v>
      </c>
      <c r="N452" s="3104">
        <v>1</v>
      </c>
      <c r="O452" s="3100" t="str">
        <f>M452</f>
        <v>1</v>
      </c>
      <c r="P452" s="2015">
        <v>38.200000000000003</v>
      </c>
      <c r="Q452" s="2015"/>
      <c r="R452" s="3074">
        <f>M452/C452</f>
        <v>1</v>
      </c>
      <c r="S452" s="3073">
        <f>R452*4*0.8*F452/13.4</f>
        <v>7.0172215843857639</v>
      </c>
      <c r="T452" s="3073">
        <f>8*M452</f>
        <v>8</v>
      </c>
      <c r="V452" s="3175">
        <v>0.155</v>
      </c>
    </row>
    <row r="453" spans="1:22" s="693" customFormat="1" hidden="1" outlineLevel="2" x14ac:dyDescent="0.15">
      <c r="A453" s="630" t="str">
        <f>CONCATENATE(B453," ",C453," core (",E453," MHz) ",J453," GB")</f>
        <v>AMI db.m3.large (2vc) 1 core (2600 MHz) 7.5 GB</v>
      </c>
      <c r="B453" s="2036" t="s">
        <v>1795</v>
      </c>
      <c r="C453" s="2024">
        <f>O453</f>
        <v>1</v>
      </c>
      <c r="D453" s="2561">
        <f>N453</f>
        <v>2</v>
      </c>
      <c r="E453" s="639">
        <v>2600</v>
      </c>
      <c r="F453" s="2011">
        <f>IF(N453=1,O453*P453/1.3,O453*P453)</f>
        <v>38.200000000000003</v>
      </c>
      <c r="G453" s="2015">
        <f>IF(F453=0,"",F453/C453)</f>
        <v>38.200000000000003</v>
      </c>
      <c r="H453" s="3101">
        <f>IF(C453=0,"",C453/D453)</f>
        <v>0.5</v>
      </c>
      <c r="I453" s="647" t="s">
        <v>335</v>
      </c>
      <c r="J453" s="2643">
        <v>7.5</v>
      </c>
      <c r="K453" s="2899" t="s">
        <v>1531</v>
      </c>
      <c r="L453" s="2900">
        <f t="shared" ref="L453:L455" si="116">L$450*V453*3</f>
        <v>8278.2000000000007</v>
      </c>
      <c r="M453" s="3054" t="str">
        <f>MID(B453, FIND("(",B453,1)+1, FIND(")",B453,1)- FIND("(",B453,1)-3)</f>
        <v>2</v>
      </c>
      <c r="N453" s="3104">
        <v>2</v>
      </c>
      <c r="O453" s="3100">
        <f>M453/N453</f>
        <v>1</v>
      </c>
      <c r="P453" s="2015">
        <v>38.200000000000003</v>
      </c>
      <c r="Q453" s="2015"/>
      <c r="R453" s="3074">
        <f>M453/C453</f>
        <v>2</v>
      </c>
      <c r="S453" s="3073">
        <f>R453*4*0.8*F453/13.4</f>
        <v>18.244776119402985</v>
      </c>
      <c r="T453" s="3073">
        <f>8*M453</f>
        <v>16</v>
      </c>
      <c r="V453" s="3175">
        <v>0.315</v>
      </c>
    </row>
    <row r="454" spans="1:22" s="693" customFormat="1" hidden="1" outlineLevel="2" x14ac:dyDescent="0.15">
      <c r="A454" s="630" t="str">
        <f>CONCATENATE(B454," ",C454," core (",E454," MHz) ",J454," GB")</f>
        <v>AMI db.m3.xlarge (4vc) 2 core (2600 MHz) 15 GB</v>
      </c>
      <c r="B454" s="2036" t="s">
        <v>1796</v>
      </c>
      <c r="C454" s="2024">
        <f>O454</f>
        <v>2</v>
      </c>
      <c r="D454" s="2561">
        <f>N454</f>
        <v>2</v>
      </c>
      <c r="E454" s="639">
        <v>2600</v>
      </c>
      <c r="F454" s="2011">
        <f>IF(N454=1,O454*P454/1.3,O454*P454)</f>
        <v>76.400000000000006</v>
      </c>
      <c r="G454" s="2015">
        <f>IF(F454=0,"",F454/C454)</f>
        <v>38.200000000000003</v>
      </c>
      <c r="H454" s="3101">
        <f>IF(C454=0,"",C454/D454)</f>
        <v>1</v>
      </c>
      <c r="I454" s="647" t="s">
        <v>335</v>
      </c>
      <c r="J454" s="2643">
        <v>15</v>
      </c>
      <c r="K454" s="2899" t="s">
        <v>1532</v>
      </c>
      <c r="L454" s="2900">
        <f t="shared" si="116"/>
        <v>16425</v>
      </c>
      <c r="M454" s="3054" t="str">
        <f>MID(B454, FIND("(",B454,1)+1, FIND(")",B454,1)- FIND("(",B454,1)-3)</f>
        <v>4</v>
      </c>
      <c r="N454" s="3104">
        <v>2</v>
      </c>
      <c r="O454" s="3100">
        <f>M454/N454</f>
        <v>2</v>
      </c>
      <c r="P454" s="2015">
        <v>38.200000000000003</v>
      </c>
      <c r="Q454" s="2015"/>
      <c r="R454" s="3074">
        <f>M454/C454</f>
        <v>2</v>
      </c>
      <c r="S454" s="3073">
        <f>R454*4*0.8*F454/13.4</f>
        <v>36.48955223880597</v>
      </c>
      <c r="T454" s="3073">
        <f>8*M454</f>
        <v>32</v>
      </c>
      <c r="V454" s="3175">
        <v>0.625</v>
      </c>
    </row>
    <row r="455" spans="1:22" s="693" customFormat="1" hidden="1" outlineLevel="2" x14ac:dyDescent="0.15">
      <c r="A455" s="630" t="str">
        <f>CONCATENATE(B455," ",C455," core (",E455," MHz) ",J455," GB")</f>
        <v>AMI db.m3.2xlarge (8vc) 4 core (2600 MHz) 30 GB</v>
      </c>
      <c r="B455" s="2036" t="s">
        <v>1797</v>
      </c>
      <c r="C455" s="2024">
        <f>O455</f>
        <v>4</v>
      </c>
      <c r="D455" s="2561">
        <f>N455</f>
        <v>2</v>
      </c>
      <c r="E455" s="639">
        <v>2600</v>
      </c>
      <c r="F455" s="2011">
        <f>IF(N455=1,O455*P455/1.3,O455*P455)</f>
        <v>152.80000000000001</v>
      </c>
      <c r="G455" s="2015">
        <f>IF(F455=0,"",F455/C455)</f>
        <v>38.200000000000003</v>
      </c>
      <c r="H455" s="3101">
        <f>IF(C455=0,"",C455/D455)</f>
        <v>2</v>
      </c>
      <c r="I455" s="647" t="s">
        <v>335</v>
      </c>
      <c r="J455" s="2643">
        <v>30</v>
      </c>
      <c r="K455" s="2899" t="s">
        <v>1533</v>
      </c>
      <c r="L455" s="2900">
        <f t="shared" si="116"/>
        <v>32718.600000000002</v>
      </c>
      <c r="M455" s="3054" t="str">
        <f>MID(B455, FIND("(",B455,1)+1, FIND(")",B455,1)- FIND("(",B455,1)-3)</f>
        <v>8</v>
      </c>
      <c r="N455" s="3104">
        <v>2</v>
      </c>
      <c r="O455" s="3100">
        <f>M455/N455</f>
        <v>4</v>
      </c>
      <c r="P455" s="2015">
        <v>38.200000000000003</v>
      </c>
      <c r="Q455" s="2015"/>
      <c r="R455" s="3074">
        <f>M455/C455</f>
        <v>2</v>
      </c>
      <c r="S455" s="3073">
        <f>R455*4*0.8*F455/13.4</f>
        <v>72.979104477611941</v>
      </c>
      <c r="T455" s="3073">
        <f>8*M455</f>
        <v>64</v>
      </c>
      <c r="V455" s="3175">
        <v>1.2450000000000001</v>
      </c>
    </row>
    <row r="456" spans="1:22" hidden="1" outlineLevel="1" collapsed="1" x14ac:dyDescent="0.15">
      <c r="A456" s="3057" t="s">
        <v>1804</v>
      </c>
      <c r="B456" s="3102" t="str">
        <f>B$370</f>
        <v>AMI Platform</v>
      </c>
      <c r="C456" s="3102" t="str">
        <f>C$370</f>
        <v>Host Core</v>
      </c>
      <c r="D456" s="3102" t="str">
        <f t="shared" ref="D456:J456" si="117">D$370</f>
        <v>vCore/core</v>
      </c>
      <c r="E456" s="3102" t="str">
        <f t="shared" si="117"/>
        <v>MHz</v>
      </c>
      <c r="F456" s="3102" t="str">
        <f t="shared" si="117"/>
        <v>Rate2006</v>
      </c>
      <c r="G456" s="3102" t="str">
        <f t="shared" si="117"/>
        <v>Per Core</v>
      </c>
      <c r="H456" s="3102" t="str">
        <f t="shared" si="117"/>
        <v>Core</v>
      </c>
      <c r="I456" s="3102" t="str">
        <f t="shared" si="117"/>
        <v>Vendor</v>
      </c>
      <c r="J456" s="3102" t="str">
        <f t="shared" si="117"/>
        <v>vRAM</v>
      </c>
      <c r="K456" s="3102"/>
      <c r="L456" s="3171">
        <v>8760</v>
      </c>
      <c r="M456" s="3102" t="str">
        <f>M$370</f>
        <v>vCore</v>
      </c>
      <c r="N456" s="3102" t="str">
        <f>N$370</f>
        <v>Threds/core</v>
      </c>
      <c r="O456" s="3102" t="str">
        <f>O$370</f>
        <v>HostCore</v>
      </c>
      <c r="P456" s="3102" t="str">
        <f>P$370</f>
        <v>Rate2006</v>
      </c>
      <c r="Q456" s="3102"/>
      <c r="R456" s="3074"/>
      <c r="S456" s="3073"/>
      <c r="V456" s="3167"/>
    </row>
    <row r="457" spans="1:22" s="693" customFormat="1" hidden="1" outlineLevel="2" x14ac:dyDescent="0.15">
      <c r="A457" s="3136" t="str">
        <f>CONCATENATE(B457," ",C457," core (",H457," chip) ",E457," MHz")</f>
        <v>Xeon E5-2670v2 20 core (2 chip) 2500 MHz</v>
      </c>
      <c r="B457" s="661" t="s">
        <v>1757</v>
      </c>
      <c r="C457" s="2025">
        <v>20</v>
      </c>
      <c r="D457" s="50">
        <v>10</v>
      </c>
      <c r="E457" s="639">
        <v>2500</v>
      </c>
      <c r="F457" s="2012">
        <v>791</v>
      </c>
      <c r="G457" s="2015">
        <f t="shared" ref="G457:G462" si="118">IF(F457=0,"",F457/C457)</f>
        <v>39.549999999999997</v>
      </c>
      <c r="H457" s="2603">
        <f t="shared" ref="H457:H462" si="119">IF(C457=0,"",C457/D457)</f>
        <v>2</v>
      </c>
      <c r="I457" s="647" t="s">
        <v>335</v>
      </c>
      <c r="J457" s="2048">
        <v>130</v>
      </c>
      <c r="K457" s="2650"/>
      <c r="L457" s="1304"/>
      <c r="M457" s="1304"/>
      <c r="N457" s="1304"/>
      <c r="O457" s="1304"/>
      <c r="P457" s="1305"/>
      <c r="Q457" s="1305"/>
      <c r="V457" s="3174"/>
    </row>
    <row r="458" spans="1:22" s="693" customFormat="1" hidden="1" outlineLevel="2" x14ac:dyDescent="0.15">
      <c r="A458" s="630" t="str">
        <f>CONCATENATE(B458," ",C458," core (",E458," MHz) ",J458," GB")</f>
        <v>AMI db.r3.large (2vc) 1 core (2500 MHz) 15 GB</v>
      </c>
      <c r="B458" s="2036" t="s">
        <v>1798</v>
      </c>
      <c r="C458" s="2024">
        <f>O458</f>
        <v>1</v>
      </c>
      <c r="D458" s="2561">
        <f>N458</f>
        <v>2</v>
      </c>
      <c r="E458" s="639">
        <v>2500</v>
      </c>
      <c r="F458" s="2011">
        <f>IF(N458=1,O458*P458/1.3,O458*P458)</f>
        <v>39.549999999999997</v>
      </c>
      <c r="G458" s="2015">
        <f t="shared" si="118"/>
        <v>39.549999999999997</v>
      </c>
      <c r="H458" s="2603">
        <f t="shared" si="119"/>
        <v>0.5</v>
      </c>
      <c r="I458" s="647" t="s">
        <v>335</v>
      </c>
      <c r="J458" s="2643">
        <v>15</v>
      </c>
      <c r="K458" s="2899" t="s">
        <v>1542</v>
      </c>
      <c r="L458" s="2900">
        <f>L$456*V458*3</f>
        <v>9592.2000000000007</v>
      </c>
      <c r="M458" s="3054" t="str">
        <f>MID(B458, FIND("(",B458,1)+1, FIND(")",B458,1)- FIND("(",B458,1)-3)</f>
        <v>2</v>
      </c>
      <c r="N458" s="3103">
        <v>2</v>
      </c>
      <c r="O458" s="3100">
        <f>M458/N458</f>
        <v>1</v>
      </c>
      <c r="P458" s="2015">
        <v>39.549999999999997</v>
      </c>
      <c r="Q458" s="2015"/>
      <c r="R458" s="3074">
        <f>M458/C458</f>
        <v>2</v>
      </c>
      <c r="S458" s="3073">
        <f>R458*4*0.8*F458/13.4</f>
        <v>18.889552238805969</v>
      </c>
      <c r="T458" s="3073">
        <f>8*M458</f>
        <v>16</v>
      </c>
      <c r="V458" s="3175">
        <v>0.36499999999999999</v>
      </c>
    </row>
    <row r="459" spans="1:22" s="693" customFormat="1" hidden="1" outlineLevel="2" x14ac:dyDescent="0.15">
      <c r="A459" s="630" t="str">
        <f>CONCATENATE(B459," ",C459," core (",E459," MHz) ",J459," GB")</f>
        <v>AMI db.r3.xlarge (4vc) 2 core (2500 MHz) 30.5 GB</v>
      </c>
      <c r="B459" s="2036" t="s">
        <v>1799</v>
      </c>
      <c r="C459" s="2024">
        <f>O459</f>
        <v>2</v>
      </c>
      <c r="D459" s="2561">
        <f>N459</f>
        <v>2</v>
      </c>
      <c r="E459" s="639">
        <v>2500</v>
      </c>
      <c r="F459" s="2011">
        <f>IF(N459=1,O459*P459/1.3,O459*P459)</f>
        <v>79.099999999999994</v>
      </c>
      <c r="G459" s="2015">
        <f t="shared" si="118"/>
        <v>39.549999999999997</v>
      </c>
      <c r="H459" s="2603">
        <f t="shared" si="119"/>
        <v>1</v>
      </c>
      <c r="I459" s="647" t="s">
        <v>335</v>
      </c>
      <c r="J459" s="2643">
        <v>30.5</v>
      </c>
      <c r="K459" s="2899" t="s">
        <v>1543</v>
      </c>
      <c r="L459" s="2900">
        <f t="shared" ref="L459:L462" si="120">L$456*V459*3</f>
        <v>19053</v>
      </c>
      <c r="M459" s="3054" t="str">
        <f>MID(B459, FIND("(",B459,1)+1, FIND(")",B459,1)- FIND("(",B459,1)-3)</f>
        <v>4</v>
      </c>
      <c r="N459" s="3103">
        <v>2</v>
      </c>
      <c r="O459" s="3100">
        <f>M459/N459</f>
        <v>2</v>
      </c>
      <c r="P459" s="2015">
        <v>39.549999999999997</v>
      </c>
      <c r="Q459" s="2015"/>
      <c r="R459" s="3074">
        <f>M459/C459</f>
        <v>2</v>
      </c>
      <c r="S459" s="3073">
        <f>R459*4*0.8*F459/13.4</f>
        <v>37.779104477611938</v>
      </c>
      <c r="T459" s="3073">
        <f>8*M459</f>
        <v>32</v>
      </c>
      <c r="V459" s="3175">
        <v>0.72499999999999998</v>
      </c>
    </row>
    <row r="460" spans="1:22" s="693" customFormat="1" hidden="1" outlineLevel="2" x14ac:dyDescent="0.15">
      <c r="A460" s="630" t="str">
        <f>CONCATENATE(B460," ",C460," core (",E460," MHz) ",J460," GB")</f>
        <v>AMI db.r3.2xlarge (8vc) 4 core (2500 MHz) 61 GB</v>
      </c>
      <c r="B460" s="2036" t="s">
        <v>1800</v>
      </c>
      <c r="C460" s="2024">
        <f>O460</f>
        <v>4</v>
      </c>
      <c r="D460" s="2561">
        <f>N460</f>
        <v>2</v>
      </c>
      <c r="E460" s="639">
        <v>2500</v>
      </c>
      <c r="F460" s="2011">
        <f>IF(N460=1,O460*P460/1.3,O460*P460)</f>
        <v>158.19999999999999</v>
      </c>
      <c r="G460" s="2015">
        <f t="shared" si="118"/>
        <v>39.549999999999997</v>
      </c>
      <c r="H460" s="2603">
        <f t="shared" si="119"/>
        <v>2</v>
      </c>
      <c r="I460" s="647" t="s">
        <v>335</v>
      </c>
      <c r="J460" s="2643">
        <v>61</v>
      </c>
      <c r="K460" s="2899" t="s">
        <v>1544</v>
      </c>
      <c r="L460" s="2900">
        <f t="shared" si="120"/>
        <v>34952.400000000001</v>
      </c>
      <c r="M460" s="3054" t="str">
        <f>MID(B460, FIND("(",B460,1)+1, FIND(")",B460,1)- FIND("(",B460,1)-3)</f>
        <v>8</v>
      </c>
      <c r="N460" s="3103">
        <v>2</v>
      </c>
      <c r="O460" s="3100">
        <f>M460/N460</f>
        <v>4</v>
      </c>
      <c r="P460" s="2015">
        <v>39.549999999999997</v>
      </c>
      <c r="Q460" s="2015"/>
      <c r="R460" s="3074">
        <f>M460/C460</f>
        <v>2</v>
      </c>
      <c r="S460" s="3073">
        <f>R460*4*0.8*F460/13.4</f>
        <v>75.558208955223876</v>
      </c>
      <c r="T460" s="3073">
        <f>8*M460</f>
        <v>64</v>
      </c>
      <c r="V460" s="3175">
        <v>1.33</v>
      </c>
    </row>
    <row r="461" spans="1:22" s="693" customFormat="1" hidden="1" outlineLevel="2" x14ac:dyDescent="0.15">
      <c r="A461" s="630" t="str">
        <f>CONCATENATE(B461," ",C461," core (",E461," MHz) ",J461," GB")</f>
        <v>AMI db.r3.4xlarge (16vc) 8 core (2500 MHz) 122 GB</v>
      </c>
      <c r="B461" s="2036" t="s">
        <v>1801</v>
      </c>
      <c r="C461" s="2024">
        <f>O461</f>
        <v>8</v>
      </c>
      <c r="D461" s="2561">
        <f>N461</f>
        <v>2</v>
      </c>
      <c r="E461" s="639">
        <v>2500</v>
      </c>
      <c r="F461" s="2011">
        <f>IF(N461=1,O461*P461/1.3,O461*P461)</f>
        <v>316.39999999999998</v>
      </c>
      <c r="G461" s="2015">
        <f t="shared" si="118"/>
        <v>39.549999999999997</v>
      </c>
      <c r="H461" s="2603">
        <f t="shared" si="119"/>
        <v>4</v>
      </c>
      <c r="I461" s="647" t="s">
        <v>335</v>
      </c>
      <c r="J461" s="2643">
        <v>122</v>
      </c>
      <c r="K461" s="2899" t="s">
        <v>1545</v>
      </c>
      <c r="L461" s="2900">
        <f t="shared" si="120"/>
        <v>63991.8</v>
      </c>
      <c r="M461" s="3054" t="str">
        <f>MID(B461, FIND("(",B461,1)+1, FIND(")",B461,1)- FIND("(",B461,1)-3)</f>
        <v>16</v>
      </c>
      <c r="N461" s="3103">
        <v>2</v>
      </c>
      <c r="O461" s="3100">
        <f>M461/N461</f>
        <v>8</v>
      </c>
      <c r="P461" s="2015">
        <v>39.549999999999997</v>
      </c>
      <c r="Q461" s="2015"/>
      <c r="R461" s="3074">
        <f>M461/C461</f>
        <v>2</v>
      </c>
      <c r="S461" s="3073">
        <f>R461*4*0.8*F461/13.4</f>
        <v>151.11641791044775</v>
      </c>
      <c r="T461" s="3073">
        <f>8*M461</f>
        <v>128</v>
      </c>
      <c r="V461" s="3175">
        <v>2.4350000000000001</v>
      </c>
    </row>
    <row r="462" spans="1:22" s="693" customFormat="1" hidden="1" outlineLevel="2" x14ac:dyDescent="0.15">
      <c r="A462" s="630" t="str">
        <f>CONCATENATE(B462," ",C462," core (",E462," MHz) ",J462," GB")</f>
        <v>AMI db.r3.8xlarge (32vc) 16 core (2500 MHz) 244 GB</v>
      </c>
      <c r="B462" s="2036" t="s">
        <v>1802</v>
      </c>
      <c r="C462" s="2024">
        <f>O462</f>
        <v>16</v>
      </c>
      <c r="D462" s="2561">
        <f>N462</f>
        <v>2</v>
      </c>
      <c r="E462" s="639">
        <v>2500</v>
      </c>
      <c r="F462" s="2011">
        <f>IF(N462=1,O462*P462/1.3,O462*P462)</f>
        <v>632.79999999999995</v>
      </c>
      <c r="G462" s="2015">
        <f t="shared" si="118"/>
        <v>39.549999999999997</v>
      </c>
      <c r="H462" s="2603">
        <f t="shared" si="119"/>
        <v>8</v>
      </c>
      <c r="I462" s="647" t="s">
        <v>335</v>
      </c>
      <c r="J462" s="2643">
        <v>244</v>
      </c>
      <c r="K462" s="2899" t="s">
        <v>1540</v>
      </c>
      <c r="L462" s="2900">
        <f t="shared" si="120"/>
        <v>117865.80000000002</v>
      </c>
      <c r="M462" s="3054" t="str">
        <f>MID(B462, FIND("(",B462,1)+1, FIND(")",B462,1)- FIND("(",B462,1)-3)</f>
        <v>32</v>
      </c>
      <c r="N462" s="3103">
        <v>2</v>
      </c>
      <c r="O462" s="3100">
        <f>M462/N462</f>
        <v>16</v>
      </c>
      <c r="P462" s="2015">
        <v>39.549999999999997</v>
      </c>
      <c r="Q462" s="2015"/>
      <c r="R462" s="3074">
        <f>M462/C462</f>
        <v>2</v>
      </c>
      <c r="S462" s="3073">
        <f>R462*4*0.8*F462/13.4</f>
        <v>302.2328358208955</v>
      </c>
      <c r="T462" s="3073">
        <f>8*M462</f>
        <v>256</v>
      </c>
      <c r="V462" s="3175">
        <v>4.4850000000000003</v>
      </c>
    </row>
    <row r="463" spans="1:22" hidden="1" outlineLevel="1" collapsed="1" x14ac:dyDescent="0.15">
      <c r="A463" s="636"/>
      <c r="B463" s="2040"/>
      <c r="C463" s="2041"/>
      <c r="D463" s="641"/>
      <c r="E463" s="2042"/>
      <c r="F463" s="882"/>
      <c r="G463" s="2019"/>
      <c r="H463" s="2608"/>
      <c r="I463" s="649"/>
      <c r="J463" s="649"/>
      <c r="K463" s="649"/>
      <c r="L463" s="649"/>
      <c r="M463" s="649"/>
      <c r="N463" s="649"/>
      <c r="O463" s="649"/>
      <c r="P463" s="649"/>
      <c r="Q463" s="3160"/>
      <c r="R463" s="3074"/>
      <c r="S463" s="3073"/>
      <c r="V463" s="3180"/>
    </row>
    <row r="464" spans="1:22" collapsed="1" x14ac:dyDescent="0.15">
      <c r="A464" s="2907" t="s">
        <v>1597</v>
      </c>
      <c r="B464" s="2908" t="str">
        <f>A464</f>
        <v xml:space="preserve"> ==== Azure Machines Instance ======</v>
      </c>
      <c r="C464" s="3072" t="s">
        <v>1694</v>
      </c>
      <c r="D464" s="2909"/>
      <c r="E464" s="2909"/>
      <c r="F464" s="2909"/>
      <c r="G464" s="2910"/>
      <c r="H464" s="2911"/>
      <c r="I464" s="2912"/>
      <c r="J464" s="2840" t="s">
        <v>132</v>
      </c>
      <c r="K464" s="2838" t="s">
        <v>1336</v>
      </c>
      <c r="L464" s="2896" t="s">
        <v>1674</v>
      </c>
      <c r="M464" s="2896" t="s">
        <v>743</v>
      </c>
      <c r="N464" s="2993" t="s">
        <v>1745</v>
      </c>
      <c r="O464" s="2993" t="s">
        <v>1741</v>
      </c>
      <c r="P464" s="3108" t="s">
        <v>1742</v>
      </c>
      <c r="Q464" s="3108"/>
      <c r="V464" s="3165" t="s">
        <v>1813</v>
      </c>
    </row>
    <row r="465" spans="1:22" hidden="1" outlineLevel="1" x14ac:dyDescent="0.15">
      <c r="A465" s="628" t="s">
        <v>1598</v>
      </c>
      <c r="B465" s="659" t="str">
        <f>A465</f>
        <v xml:space="preserve"> ==== 2017 AZI Platforms ====</v>
      </c>
      <c r="C465" s="656"/>
      <c r="D465" s="2022"/>
      <c r="E465" s="2905"/>
      <c r="F465" s="2906" t="s">
        <v>1746</v>
      </c>
      <c r="G465" s="2017"/>
      <c r="H465" s="3155"/>
      <c r="I465" s="645"/>
      <c r="J465" s="645"/>
      <c r="K465" s="645"/>
      <c r="L465" s="645"/>
      <c r="M465" s="645"/>
      <c r="N465" s="645"/>
      <c r="O465">
        <v>7.4999999999999997E-2</v>
      </c>
      <c r="P465">
        <v>0.14000000000000001</v>
      </c>
      <c r="Q465" s="3159"/>
      <c r="R465" s="2651" t="s">
        <v>1723</v>
      </c>
      <c r="S465" s="31" t="s">
        <v>1699</v>
      </c>
      <c r="V465" s="3166"/>
    </row>
    <row r="466" spans="1:22" hidden="1" outlineLevel="1" x14ac:dyDescent="0.15">
      <c r="A466" s="3057" t="s">
        <v>1769</v>
      </c>
      <c r="B466" s="3102" t="s">
        <v>1749</v>
      </c>
      <c r="C466" s="3102" t="s">
        <v>164</v>
      </c>
      <c r="D466" s="3102" t="s">
        <v>1745</v>
      </c>
      <c r="E466" s="3102" t="s">
        <v>433</v>
      </c>
      <c r="F466" s="3102" t="s">
        <v>1743</v>
      </c>
      <c r="G466" s="3102" t="s">
        <v>274</v>
      </c>
      <c r="H466" s="3102" t="s">
        <v>313</v>
      </c>
      <c r="I466" s="3102" t="s">
        <v>1753</v>
      </c>
      <c r="J466" s="3102" t="s">
        <v>1744</v>
      </c>
      <c r="K466" s="3102"/>
      <c r="L466" s="3171">
        <v>8760</v>
      </c>
      <c r="M466" s="3102" t="str">
        <f>M$370</f>
        <v>vCore</v>
      </c>
      <c r="N466" s="3102" t="str">
        <f>N$370</f>
        <v>Threds/core</v>
      </c>
      <c r="O466" s="3102" t="str">
        <f>O$370</f>
        <v>HostCore</v>
      </c>
      <c r="P466" s="3102" t="str">
        <f>P$370</f>
        <v>Rate2006</v>
      </c>
      <c r="Q466" s="3102"/>
      <c r="V466" s="3167"/>
    </row>
    <row r="467" spans="1:22" hidden="1" outlineLevel="2" x14ac:dyDescent="0.15">
      <c r="A467" s="3136" t="str">
        <f>CONCATENATE(B467," ",C467," core (",H467," chip) ",E467," MHz")&amp;IF(ISBLANK(F467),"**","")</f>
        <v>Xeon E5-2673v4 40 core (2 chip) 2300 MHz</v>
      </c>
      <c r="B467" s="661" t="s">
        <v>1755</v>
      </c>
      <c r="C467" s="2024">
        <v>40</v>
      </c>
      <c r="D467" s="52">
        <v>20</v>
      </c>
      <c r="E467" s="639">
        <v>2300</v>
      </c>
      <c r="F467" s="2192">
        <f>1651</f>
        <v>1651</v>
      </c>
      <c r="G467" s="2015">
        <f>F467/C467</f>
        <v>41.274999999999999</v>
      </c>
      <c r="H467" s="2603">
        <f>C467/D467</f>
        <v>2</v>
      </c>
      <c r="I467" s="646" t="s">
        <v>335</v>
      </c>
      <c r="J467" s="2048">
        <v>120</v>
      </c>
      <c r="K467" s="2647"/>
      <c r="L467" s="1149"/>
      <c r="M467" s="1149"/>
      <c r="N467" s="1149"/>
      <c r="O467" s="1149"/>
      <c r="P467" s="2196"/>
      <c r="Q467" s="2196"/>
      <c r="R467" s="2196"/>
      <c r="S467" s="2196"/>
      <c r="T467" s="1149"/>
      <c r="V467" s="3168"/>
    </row>
    <row r="468" spans="1:22" s="693" customFormat="1" hidden="1" outlineLevel="2" x14ac:dyDescent="0.15">
      <c r="A468" s="630" t="str">
        <f t="shared" ref="A468:A480" si="121">CONCATENATE(B468," ",C468," core (",E468," MHz) ",J468," GB")</f>
        <v>AZI D2v3 (2vc) 2 core (2300 MHz) 8 GB</v>
      </c>
      <c r="B468" s="2036" t="s">
        <v>1599</v>
      </c>
      <c r="C468" s="2024">
        <f>O468</f>
        <v>2</v>
      </c>
      <c r="D468" s="2561">
        <f t="shared" ref="D468:D480" si="122">N468</f>
        <v>2</v>
      </c>
      <c r="E468" s="639">
        <v>2300</v>
      </c>
      <c r="F468" s="2011">
        <f>IF(N468=1,O468*P468/1.3,O468*P468)</f>
        <v>66.701552518358241</v>
      </c>
      <c r="G468" s="2015">
        <f t="shared" ref="G468:G480" si="123">IF(F468=0,"",F468/C468)</f>
        <v>33.350776259179121</v>
      </c>
      <c r="H468" s="2603">
        <f t="shared" ref="H468:H480" si="124">IF(C468=0,"",C468/D468)</f>
        <v>1</v>
      </c>
      <c r="I468" s="647" t="s">
        <v>335</v>
      </c>
      <c r="J468" s="2643">
        <v>8</v>
      </c>
      <c r="K468" s="2899"/>
      <c r="L468" s="2900">
        <f>L$466*V468*3</f>
        <v>5045.76</v>
      </c>
      <c r="M468" s="3054" t="str">
        <f t="shared" ref="M468:M480" si="125">MID(B468, FIND("(",B468,1)+1, FIND(")",B468,1)- FIND("(",B468,1)-3)</f>
        <v>2</v>
      </c>
      <c r="N468" s="3103">
        <v>2</v>
      </c>
      <c r="O468" s="3100">
        <f t="shared" ref="O468:O473" si="126">M468/1</f>
        <v>2</v>
      </c>
      <c r="P468" s="3156">
        <f>G$467*Q468</f>
        <v>33.350776259179121</v>
      </c>
      <c r="Q468" s="3156">
        <f>1-(O$465*LN(C468)+P$465)</f>
        <v>0.80801396145800408</v>
      </c>
      <c r="R468" s="3074">
        <f>M468/C468</f>
        <v>1</v>
      </c>
      <c r="S468" s="3073">
        <f>R468*4*0.8*F468/13.4</f>
        <v>15.928728959607939</v>
      </c>
      <c r="T468" s="3073">
        <f t="shared" ref="T468:T480" si="127">8*M468</f>
        <v>16</v>
      </c>
      <c r="V468" s="3169">
        <v>0.192</v>
      </c>
    </row>
    <row r="469" spans="1:22" s="693" customFormat="1" hidden="1" outlineLevel="2" x14ac:dyDescent="0.15">
      <c r="A469" s="630" t="str">
        <f t="shared" si="121"/>
        <v>AZI D4v3 (4vc) 4 core (2300 MHz) 16 GB</v>
      </c>
      <c r="B469" s="2036" t="s">
        <v>1600</v>
      </c>
      <c r="C469" s="2024">
        <f t="shared" ref="C469:C528" si="128">O469</f>
        <v>4</v>
      </c>
      <c r="D469" s="2561">
        <f t="shared" si="122"/>
        <v>2</v>
      </c>
      <c r="E469" s="639">
        <v>2300</v>
      </c>
      <c r="F469" s="2011">
        <f t="shared" ref="F469:F528" si="129">IF(N469=1,O469*P469/1.3,O469*P469)</f>
        <v>124.82021007343295</v>
      </c>
      <c r="G469" s="2015">
        <f t="shared" si="123"/>
        <v>31.205052518358237</v>
      </c>
      <c r="H469" s="2603">
        <f t="shared" si="124"/>
        <v>2</v>
      </c>
      <c r="I469" s="647" t="s">
        <v>335</v>
      </c>
      <c r="J469" s="2643">
        <v>16</v>
      </c>
      <c r="K469" s="2899"/>
      <c r="L469" s="2900">
        <f t="shared" ref="L469:L473" si="130">L$466*V469*3</f>
        <v>10091.52</v>
      </c>
      <c r="M469" s="3054" t="str">
        <f t="shared" si="125"/>
        <v>4</v>
      </c>
      <c r="N469" s="3103">
        <v>2</v>
      </c>
      <c r="O469" s="3100">
        <f t="shared" si="126"/>
        <v>4</v>
      </c>
      <c r="P469" s="3156">
        <f t="shared" ref="P469:P473" si="131">G$467*Q469</f>
        <v>31.205052518358237</v>
      </c>
      <c r="Q469" s="3156">
        <f>1-(O$465*LN(C469)+P$465)</f>
        <v>0.75602792291600818</v>
      </c>
      <c r="R469" s="3074">
        <f t="shared" ref="R469:R528" si="132">M469/C469</f>
        <v>1</v>
      </c>
      <c r="S469" s="3073">
        <f t="shared" ref="S469:S528" si="133">R469*4*0.8*F469/13.4</f>
        <v>29.807811360819809</v>
      </c>
      <c r="T469" s="3073">
        <f t="shared" si="127"/>
        <v>32</v>
      </c>
      <c r="V469" s="3169">
        <v>0.38400000000000001</v>
      </c>
    </row>
    <row r="470" spans="1:22" s="693" customFormat="1" hidden="1" outlineLevel="2" x14ac:dyDescent="0.15">
      <c r="A470" s="630" t="str">
        <f t="shared" si="121"/>
        <v>AZI D8v3 (8vc) 8 core (2300 MHz) 32 GB</v>
      </c>
      <c r="B470" s="2036" t="s">
        <v>1601</v>
      </c>
      <c r="C470" s="2024">
        <f t="shared" si="128"/>
        <v>8</v>
      </c>
      <c r="D470" s="2561">
        <f t="shared" si="122"/>
        <v>2</v>
      </c>
      <c r="E470" s="639">
        <v>2300</v>
      </c>
      <c r="F470" s="2011">
        <f t="shared" si="129"/>
        <v>232.47463022029885</v>
      </c>
      <c r="G470" s="2015">
        <f t="shared" si="123"/>
        <v>29.059328777537356</v>
      </c>
      <c r="H470" s="2603">
        <f t="shared" si="124"/>
        <v>4</v>
      </c>
      <c r="I470" s="647" t="s">
        <v>335</v>
      </c>
      <c r="J470" s="2643">
        <v>32</v>
      </c>
      <c r="K470" s="2899"/>
      <c r="L470" s="2900">
        <f t="shared" si="130"/>
        <v>20183.04</v>
      </c>
      <c r="M470" s="3054" t="str">
        <f t="shared" si="125"/>
        <v>8</v>
      </c>
      <c r="N470" s="3103">
        <v>2</v>
      </c>
      <c r="O470" s="3100">
        <f t="shared" si="126"/>
        <v>8</v>
      </c>
      <c r="P470" s="3156">
        <f t="shared" si="131"/>
        <v>29.059328777537356</v>
      </c>
      <c r="Q470" s="3156">
        <f t="shared" ref="Q470:Q473" si="134">1-(O$465*LN(C470)+P$465)</f>
        <v>0.70404188437401227</v>
      </c>
      <c r="R470" s="3074">
        <f t="shared" si="132"/>
        <v>1</v>
      </c>
      <c r="S470" s="3073">
        <f t="shared" si="133"/>
        <v>55.516329604847492</v>
      </c>
      <c r="T470" s="3073">
        <f t="shared" si="127"/>
        <v>64</v>
      </c>
      <c r="V470" s="3169">
        <v>0.76800000000000002</v>
      </c>
    </row>
    <row r="471" spans="1:22" s="693" customFormat="1" hidden="1" outlineLevel="2" x14ac:dyDescent="0.15">
      <c r="A471" s="630" t="str">
        <f t="shared" si="121"/>
        <v>AZI D16v3 (16vc) 16 core (2300 MHz) 64 GB</v>
      </c>
      <c r="B471" s="2036" t="s">
        <v>1602</v>
      </c>
      <c r="C471" s="2024">
        <f t="shared" si="128"/>
        <v>16</v>
      </c>
      <c r="D471" s="2561">
        <f t="shared" si="122"/>
        <v>2</v>
      </c>
      <c r="E471" s="639">
        <v>2300</v>
      </c>
      <c r="F471" s="2011">
        <f t="shared" si="129"/>
        <v>430.61768058746361</v>
      </c>
      <c r="G471" s="2015">
        <f t="shared" si="123"/>
        <v>26.913605036716476</v>
      </c>
      <c r="H471" s="2603">
        <f t="shared" si="124"/>
        <v>8</v>
      </c>
      <c r="I471" s="647" t="s">
        <v>335</v>
      </c>
      <c r="J471" s="2643">
        <v>64</v>
      </c>
      <c r="K471" s="2899"/>
      <c r="L471" s="2900">
        <f t="shared" si="130"/>
        <v>40366.080000000002</v>
      </c>
      <c r="M471" s="3054" t="str">
        <f t="shared" si="125"/>
        <v>16</v>
      </c>
      <c r="N471" s="3103">
        <v>2</v>
      </c>
      <c r="O471" s="3100">
        <f t="shared" si="126"/>
        <v>16</v>
      </c>
      <c r="P471" s="3156">
        <f t="shared" si="131"/>
        <v>26.913605036716476</v>
      </c>
      <c r="Q471" s="3156">
        <f t="shared" si="134"/>
        <v>0.65205584583201637</v>
      </c>
      <c r="R471" s="3074">
        <f t="shared" si="132"/>
        <v>1</v>
      </c>
      <c r="S471" s="3073">
        <f t="shared" si="133"/>
        <v>102.83407297611072</v>
      </c>
      <c r="T471" s="3073">
        <f t="shared" si="127"/>
        <v>128</v>
      </c>
      <c r="V471" s="3169">
        <v>1.536</v>
      </c>
    </row>
    <row r="472" spans="1:22" s="693" customFormat="1" hidden="1" outlineLevel="2" x14ac:dyDescent="0.15">
      <c r="A472" s="630" t="str">
        <f t="shared" si="121"/>
        <v>AZI D32v3 (32vc) 32 core (2300 MHz) 128 GB</v>
      </c>
      <c r="B472" s="2036" t="s">
        <v>1603</v>
      </c>
      <c r="C472" s="2024">
        <f t="shared" si="128"/>
        <v>32</v>
      </c>
      <c r="D472" s="2561">
        <f t="shared" si="122"/>
        <v>2</v>
      </c>
      <c r="E472" s="639">
        <v>2300</v>
      </c>
      <c r="F472" s="2011">
        <f t="shared" si="129"/>
        <v>792.57220146865916</v>
      </c>
      <c r="G472" s="2015">
        <f t="shared" si="123"/>
        <v>24.767881295895599</v>
      </c>
      <c r="H472" s="2603">
        <f t="shared" si="124"/>
        <v>16</v>
      </c>
      <c r="I472" s="647" t="s">
        <v>335</v>
      </c>
      <c r="J472" s="2643">
        <v>128</v>
      </c>
      <c r="K472" s="2899"/>
      <c r="L472" s="2900">
        <f t="shared" si="130"/>
        <v>80732.160000000003</v>
      </c>
      <c r="M472" s="3054" t="str">
        <f t="shared" si="125"/>
        <v>32</v>
      </c>
      <c r="N472" s="3103">
        <v>2</v>
      </c>
      <c r="O472" s="3100">
        <f t="shared" si="126"/>
        <v>32</v>
      </c>
      <c r="P472" s="3156">
        <f t="shared" si="131"/>
        <v>24.767881295895599</v>
      </c>
      <c r="Q472" s="3156">
        <f t="shared" si="134"/>
        <v>0.60006980729002057</v>
      </c>
      <c r="R472" s="3074">
        <f t="shared" si="132"/>
        <v>1</v>
      </c>
      <c r="S472" s="3073">
        <f t="shared" si="133"/>
        <v>189.27097348505293</v>
      </c>
      <c r="T472" s="3073">
        <f t="shared" si="127"/>
        <v>256</v>
      </c>
      <c r="V472" s="3169">
        <v>3.0720000000000001</v>
      </c>
    </row>
    <row r="473" spans="1:22" s="693" customFormat="1" hidden="1" outlineLevel="2" x14ac:dyDescent="0.15">
      <c r="A473" s="630" t="str">
        <f t="shared" si="121"/>
        <v>AZI D64v3 (64vc) 64 core (2300 MHz) 256 GB</v>
      </c>
      <c r="B473" s="2036" t="s">
        <v>1604</v>
      </c>
      <c r="C473" s="2024">
        <f t="shared" si="128"/>
        <v>64</v>
      </c>
      <c r="D473" s="2561">
        <f t="shared" si="122"/>
        <v>2</v>
      </c>
      <c r="E473" s="639">
        <v>2300</v>
      </c>
      <c r="F473" s="2011">
        <f t="shared" si="129"/>
        <v>1447.818083524782</v>
      </c>
      <c r="G473" s="2015">
        <f t="shared" si="123"/>
        <v>22.622157555074718</v>
      </c>
      <c r="H473" s="2603">
        <f t="shared" si="124"/>
        <v>32</v>
      </c>
      <c r="I473" s="647" t="s">
        <v>335</v>
      </c>
      <c r="J473" s="2643">
        <v>256</v>
      </c>
      <c r="K473" s="2899"/>
      <c r="L473" s="2900">
        <f t="shared" si="130"/>
        <v>161464.32000000001</v>
      </c>
      <c r="M473" s="3054" t="str">
        <f t="shared" si="125"/>
        <v>64</v>
      </c>
      <c r="N473" s="3103">
        <v>2</v>
      </c>
      <c r="O473" s="3100">
        <f t="shared" si="126"/>
        <v>64</v>
      </c>
      <c r="P473" s="3156">
        <f t="shared" si="131"/>
        <v>22.622157555074718</v>
      </c>
      <c r="Q473" s="3156">
        <f t="shared" si="134"/>
        <v>0.54808376874802467</v>
      </c>
      <c r="R473" s="3074">
        <f t="shared" si="132"/>
        <v>1</v>
      </c>
      <c r="S473" s="3073">
        <f t="shared" si="133"/>
        <v>345.74760203576886</v>
      </c>
      <c r="T473" s="3073">
        <f t="shared" si="127"/>
        <v>512</v>
      </c>
      <c r="V473" s="3169">
        <v>6.1440000000000001</v>
      </c>
    </row>
    <row r="474" spans="1:22" hidden="1" outlineLevel="1" collapsed="1" x14ac:dyDescent="0.15">
      <c r="A474" s="3057" t="s">
        <v>1770</v>
      </c>
      <c r="B474" s="3102" t="str">
        <f>B$466</f>
        <v>AZI Platform</v>
      </c>
      <c r="C474" s="3102" t="str">
        <f t="shared" ref="C474:J474" si="135">C$466</f>
        <v>Server Core</v>
      </c>
      <c r="D474" s="3102" t="str">
        <f t="shared" si="135"/>
        <v>vCore/core</v>
      </c>
      <c r="E474" s="3102" t="str">
        <f t="shared" si="135"/>
        <v>MHz</v>
      </c>
      <c r="F474" s="3102" t="str">
        <f t="shared" si="135"/>
        <v>Rate2006</v>
      </c>
      <c r="G474" s="3102" t="str">
        <f t="shared" si="135"/>
        <v>Per Core</v>
      </c>
      <c r="H474" s="3102" t="str">
        <f t="shared" si="135"/>
        <v>Core</v>
      </c>
      <c r="I474" s="3102" t="str">
        <f t="shared" si="135"/>
        <v>Vendor</v>
      </c>
      <c r="J474" s="3102" t="str">
        <f t="shared" si="135"/>
        <v>vRAM</v>
      </c>
      <c r="K474" s="3102"/>
      <c r="L474" s="3171">
        <v>8760</v>
      </c>
      <c r="M474" s="3102" t="str">
        <f>M$466</f>
        <v>vCore</v>
      </c>
      <c r="N474" s="3102" t="str">
        <f>N$466</f>
        <v>Threds/core</v>
      </c>
      <c r="O474" s="3102" t="str">
        <f>O$466</f>
        <v>HostCore</v>
      </c>
      <c r="P474" s="3102" t="str">
        <f>P$466</f>
        <v>Rate2006</v>
      </c>
      <c r="Q474" s="3102"/>
      <c r="V474" s="3167"/>
    </row>
    <row r="475" spans="1:22" hidden="1" outlineLevel="2" x14ac:dyDescent="0.15">
      <c r="A475" s="3136" t="str">
        <f>CONCATENATE(B475," ",C475," core (",H475," chip) ",E475," MHz")&amp;IF(ISBLANK(F475),"**","")</f>
        <v>Xeon E5-2673v3 24 core (2 chip) 2400 MHz</v>
      </c>
      <c r="B475" s="661" t="s">
        <v>1782</v>
      </c>
      <c r="C475" s="2024">
        <v>24</v>
      </c>
      <c r="D475" s="52">
        <v>12</v>
      </c>
      <c r="E475" s="639">
        <v>2400</v>
      </c>
      <c r="F475" s="2192">
        <f>1042</f>
        <v>1042</v>
      </c>
      <c r="G475" s="2015">
        <f>F475/C475</f>
        <v>43.416666666666664</v>
      </c>
      <c r="H475" s="2603">
        <f>C475/D475</f>
        <v>2</v>
      </c>
      <c r="I475" s="646" t="s">
        <v>335</v>
      </c>
      <c r="J475" s="2048">
        <v>120</v>
      </c>
      <c r="K475" s="2647"/>
      <c r="L475" s="1149"/>
      <c r="M475" s="1149"/>
      <c r="N475" s="1149"/>
      <c r="O475" s="1149"/>
      <c r="P475" s="2196"/>
      <c r="Q475" s="2196"/>
      <c r="R475" s="2196"/>
      <c r="S475" s="2196"/>
      <c r="T475" s="1149"/>
      <c r="V475" s="3168"/>
    </row>
    <row r="476" spans="1:22" s="693" customFormat="1" hidden="1" outlineLevel="2" x14ac:dyDescent="0.15">
      <c r="A476" s="630" t="str">
        <f t="shared" si="121"/>
        <v>AZI D1v2 (1vc) 1 core (2400 MHz) 3.5 GB</v>
      </c>
      <c r="B476" s="2036" t="s">
        <v>1727</v>
      </c>
      <c r="C476" s="2024">
        <f>O476</f>
        <v>1</v>
      </c>
      <c r="D476" s="2561">
        <f t="shared" si="122"/>
        <v>1</v>
      </c>
      <c r="E476" s="639">
        <v>2400</v>
      </c>
      <c r="F476" s="2011">
        <f>IF(N476=1,O476*P476/1.3,O476*P476)</f>
        <v>28.72179487179487</v>
      </c>
      <c r="G476" s="2015">
        <f t="shared" si="123"/>
        <v>28.72179487179487</v>
      </c>
      <c r="H476" s="2603">
        <f t="shared" si="124"/>
        <v>1</v>
      </c>
      <c r="I476" s="647" t="s">
        <v>335</v>
      </c>
      <c r="J476" s="2643">
        <v>3.5</v>
      </c>
      <c r="K476" s="2899"/>
      <c r="L476" s="2900">
        <f>L$474*V476*3</f>
        <v>3679.2000000000003</v>
      </c>
      <c r="M476" s="3054" t="str">
        <f t="shared" si="125"/>
        <v>1</v>
      </c>
      <c r="N476" s="3103">
        <v>1</v>
      </c>
      <c r="O476" s="3100">
        <f>M476/1</f>
        <v>1</v>
      </c>
      <c r="P476" s="3156">
        <f>G$475*Q476</f>
        <v>37.338333333333331</v>
      </c>
      <c r="Q476" s="3156">
        <f>1-(O$465*LN(C476)+P$465)</f>
        <v>0.86</v>
      </c>
      <c r="R476" s="3074">
        <f t="shared" si="132"/>
        <v>1</v>
      </c>
      <c r="S476" s="3073">
        <f t="shared" si="133"/>
        <v>6.8589360887868347</v>
      </c>
      <c r="T476" s="3073">
        <f t="shared" si="127"/>
        <v>8</v>
      </c>
      <c r="V476" s="3169">
        <v>0.14000000000000001</v>
      </c>
    </row>
    <row r="477" spans="1:22" s="693" customFormat="1" hidden="1" outlineLevel="2" x14ac:dyDescent="0.15">
      <c r="A477" s="630" t="str">
        <f t="shared" si="121"/>
        <v>AZI D2v2 (2vc) 2 core (2400 MHz) 7 GB</v>
      </c>
      <c r="B477" s="2036" t="s">
        <v>1728</v>
      </c>
      <c r="C477" s="2024">
        <f t="shared" si="128"/>
        <v>2</v>
      </c>
      <c r="D477" s="2561">
        <f t="shared" si="122"/>
        <v>2</v>
      </c>
      <c r="E477" s="639">
        <v>2400</v>
      </c>
      <c r="F477" s="2011">
        <f t="shared" si="129"/>
        <v>70.162545653270016</v>
      </c>
      <c r="G477" s="2015">
        <f t="shared" si="123"/>
        <v>35.081272826635008</v>
      </c>
      <c r="H477" s="2603">
        <f t="shared" si="124"/>
        <v>1</v>
      </c>
      <c r="I477" s="647" t="s">
        <v>335</v>
      </c>
      <c r="J477" s="2643">
        <v>7</v>
      </c>
      <c r="K477" s="2899"/>
      <c r="L477" s="2900">
        <v>7358.4000000000005</v>
      </c>
      <c r="M477" s="3054" t="str">
        <f t="shared" si="125"/>
        <v>2</v>
      </c>
      <c r="N477" s="3103">
        <v>2</v>
      </c>
      <c r="O477" s="3100">
        <f>M477/1</f>
        <v>2</v>
      </c>
      <c r="P477" s="3156">
        <f t="shared" ref="P477:P480" si="136">G$475*Q477</f>
        <v>35.081272826635008</v>
      </c>
      <c r="Q477" s="3156">
        <f t="shared" ref="Q477:Q480" si="137">1-(O$465*LN(C477)+P$465)</f>
        <v>0.80801396145800408</v>
      </c>
      <c r="R477" s="3074">
        <f t="shared" si="132"/>
        <v>1</v>
      </c>
      <c r="S477" s="3073">
        <f t="shared" si="133"/>
        <v>16.755234782870453</v>
      </c>
      <c r="T477" s="3073">
        <f t="shared" si="127"/>
        <v>16</v>
      </c>
      <c r="V477" s="3169">
        <v>0.28000000000000003</v>
      </c>
    </row>
    <row r="478" spans="1:22" s="693" customFormat="1" hidden="1" outlineLevel="2" x14ac:dyDescent="0.15">
      <c r="A478" s="630" t="str">
        <f t="shared" si="121"/>
        <v>AZI D3v2 (4vc) 4 core (2400 MHz) 14 GB</v>
      </c>
      <c r="B478" s="2036" t="s">
        <v>1729</v>
      </c>
      <c r="C478" s="2024">
        <f t="shared" si="128"/>
        <v>4</v>
      </c>
      <c r="D478" s="2561">
        <f t="shared" si="122"/>
        <v>2</v>
      </c>
      <c r="E478" s="639">
        <v>2400</v>
      </c>
      <c r="F478" s="2011">
        <f t="shared" si="129"/>
        <v>131.29684927974674</v>
      </c>
      <c r="G478" s="2015">
        <f t="shared" si="123"/>
        <v>32.824212319936684</v>
      </c>
      <c r="H478" s="2603">
        <f t="shared" si="124"/>
        <v>2</v>
      </c>
      <c r="I478" s="647" t="s">
        <v>335</v>
      </c>
      <c r="J478" s="2643">
        <v>14</v>
      </c>
      <c r="K478" s="2899"/>
      <c r="L478" s="2900">
        <v>14716.800000000001</v>
      </c>
      <c r="M478" s="3054" t="str">
        <f t="shared" si="125"/>
        <v>4</v>
      </c>
      <c r="N478" s="3103">
        <v>2</v>
      </c>
      <c r="O478" s="3100">
        <f>M478/1</f>
        <v>4</v>
      </c>
      <c r="P478" s="3156">
        <f t="shared" si="136"/>
        <v>32.824212319936684</v>
      </c>
      <c r="Q478" s="3156">
        <f t="shared" si="137"/>
        <v>0.75602792291600818</v>
      </c>
      <c r="R478" s="3074">
        <f t="shared" si="132"/>
        <v>1</v>
      </c>
      <c r="S478" s="3073">
        <f t="shared" si="133"/>
        <v>31.354471469790266</v>
      </c>
      <c r="T478" s="3073">
        <f t="shared" si="127"/>
        <v>32</v>
      </c>
      <c r="V478" s="3169">
        <v>0.56000000000000005</v>
      </c>
    </row>
    <row r="479" spans="1:22" s="693" customFormat="1" hidden="1" outlineLevel="2" x14ac:dyDescent="0.15">
      <c r="A479" s="630" t="str">
        <f t="shared" si="121"/>
        <v>AZI D4v2 (8vc) 8 core (2400 MHz) 28 GB</v>
      </c>
      <c r="B479" s="2036" t="s">
        <v>1730</v>
      </c>
      <c r="C479" s="2024">
        <f t="shared" si="128"/>
        <v>8</v>
      </c>
      <c r="D479" s="2561">
        <f t="shared" si="122"/>
        <v>2</v>
      </c>
      <c r="E479" s="639">
        <v>2400</v>
      </c>
      <c r="F479" s="2011">
        <f t="shared" si="129"/>
        <v>244.53721450590692</v>
      </c>
      <c r="G479" s="2015">
        <f t="shared" si="123"/>
        <v>30.567151813238365</v>
      </c>
      <c r="H479" s="2603">
        <f t="shared" si="124"/>
        <v>4</v>
      </c>
      <c r="I479" s="647" t="s">
        <v>335</v>
      </c>
      <c r="J479" s="2643">
        <v>28</v>
      </c>
      <c r="K479" s="2899"/>
      <c r="L479" s="2900">
        <v>29433.600000000002</v>
      </c>
      <c r="M479" s="3054" t="str">
        <f t="shared" si="125"/>
        <v>8</v>
      </c>
      <c r="N479" s="3103">
        <v>2</v>
      </c>
      <c r="O479" s="3100">
        <f>M479/1</f>
        <v>8</v>
      </c>
      <c r="P479" s="3156">
        <f t="shared" si="136"/>
        <v>30.567151813238365</v>
      </c>
      <c r="Q479" s="3156">
        <f t="shared" si="137"/>
        <v>0.70404188437401227</v>
      </c>
      <c r="R479" s="3074">
        <f t="shared" si="132"/>
        <v>1</v>
      </c>
      <c r="S479" s="3073">
        <f t="shared" si="133"/>
        <v>58.396946747679259</v>
      </c>
      <c r="T479" s="3073">
        <f t="shared" si="127"/>
        <v>64</v>
      </c>
      <c r="V479" s="3169">
        <v>1.1200000000000001</v>
      </c>
    </row>
    <row r="480" spans="1:22" s="693" customFormat="1" hidden="1" outlineLevel="2" x14ac:dyDescent="0.15">
      <c r="A480" s="630" t="str">
        <f t="shared" si="121"/>
        <v>AZI D5v2 (16vc) 16 core (2400 MHz) 56 GB</v>
      </c>
      <c r="B480" s="2036" t="s">
        <v>1731</v>
      </c>
      <c r="C480" s="2024">
        <f t="shared" si="128"/>
        <v>16</v>
      </c>
      <c r="D480" s="2561">
        <f t="shared" si="122"/>
        <v>2</v>
      </c>
      <c r="E480" s="639">
        <v>2400</v>
      </c>
      <c r="F480" s="2011">
        <f t="shared" si="129"/>
        <v>452.96146090464066</v>
      </c>
      <c r="G480" s="2015">
        <f t="shared" si="123"/>
        <v>28.310091306540041</v>
      </c>
      <c r="H480" s="2603">
        <f t="shared" si="124"/>
        <v>8</v>
      </c>
      <c r="I480" s="647" t="s">
        <v>335</v>
      </c>
      <c r="J480" s="2643">
        <v>56</v>
      </c>
      <c r="K480" s="2899"/>
      <c r="L480" s="2900">
        <v>52980.480000000003</v>
      </c>
      <c r="M480" s="3054" t="str">
        <f t="shared" si="125"/>
        <v>16</v>
      </c>
      <c r="N480" s="3103">
        <v>2</v>
      </c>
      <c r="O480" s="3100">
        <f>M480/1</f>
        <v>16</v>
      </c>
      <c r="P480" s="3156">
        <f t="shared" si="136"/>
        <v>28.310091306540041</v>
      </c>
      <c r="Q480" s="3156">
        <f t="shared" si="137"/>
        <v>0.65205584583201637</v>
      </c>
      <c r="R480" s="3074">
        <f t="shared" si="132"/>
        <v>1</v>
      </c>
      <c r="S480" s="3073">
        <f t="shared" si="133"/>
        <v>108.16990111155599</v>
      </c>
      <c r="T480" s="3073">
        <f t="shared" si="127"/>
        <v>128</v>
      </c>
      <c r="V480" s="3169">
        <v>2.016</v>
      </c>
    </row>
    <row r="481" spans="1:22" hidden="1" outlineLevel="1" collapsed="1" x14ac:dyDescent="0.15">
      <c r="A481" s="3057" t="s">
        <v>1771</v>
      </c>
      <c r="B481" s="3102" t="str">
        <f>B$466</f>
        <v>AZI Platform</v>
      </c>
      <c r="C481" s="3102" t="str">
        <f t="shared" ref="C481:J481" si="138">C$466</f>
        <v>Server Core</v>
      </c>
      <c r="D481" s="3102" t="str">
        <f t="shared" si="138"/>
        <v>vCore/core</v>
      </c>
      <c r="E481" s="3102" t="str">
        <f t="shared" si="138"/>
        <v>MHz</v>
      </c>
      <c r="F481" s="3102" t="str">
        <f t="shared" si="138"/>
        <v>Rate2006</v>
      </c>
      <c r="G481" s="3102" t="str">
        <f t="shared" si="138"/>
        <v>Per Core</v>
      </c>
      <c r="H481" s="3102" t="str">
        <f t="shared" si="138"/>
        <v>Core</v>
      </c>
      <c r="I481" s="3102" t="str">
        <f t="shared" si="138"/>
        <v>Vendor</v>
      </c>
      <c r="J481" s="3102" t="str">
        <f t="shared" si="138"/>
        <v>vRAM</v>
      </c>
      <c r="K481" s="3102"/>
      <c r="L481" s="3171">
        <v>8760</v>
      </c>
      <c r="M481" s="3102" t="str">
        <f>M$466</f>
        <v>vCore</v>
      </c>
      <c r="N481" s="3102" t="str">
        <f>N$466</f>
        <v>Threds/core</v>
      </c>
      <c r="O481" s="3102" t="str">
        <f>O$466</f>
        <v>HostCore</v>
      </c>
      <c r="P481" s="3102" t="str">
        <f>P$466</f>
        <v>Rate2006</v>
      </c>
      <c r="Q481" s="3102"/>
      <c r="R481" s="3074"/>
      <c r="S481" s="3073"/>
      <c r="V481" s="3167"/>
    </row>
    <row r="482" spans="1:22" hidden="1" outlineLevel="2" x14ac:dyDescent="0.15">
      <c r="A482" s="3136" t="str">
        <f>CONCATENATE(B482," ",C482," core (",H482," chip) ",E482," MHz")&amp;IF(ISBLANK(F482),"**","")</f>
        <v>Xeon E5-2673v3 24 core (2 chip) 2400 MHz</v>
      </c>
      <c r="B482" s="661" t="s">
        <v>1782</v>
      </c>
      <c r="C482" s="2024">
        <v>24</v>
      </c>
      <c r="D482" s="52">
        <v>12</v>
      </c>
      <c r="E482" s="639">
        <v>2400</v>
      </c>
      <c r="F482" s="2192">
        <f>F475</f>
        <v>1042</v>
      </c>
      <c r="G482" s="2015">
        <f>F482/C482</f>
        <v>43.416666666666664</v>
      </c>
      <c r="H482" s="2603">
        <f>C482/D482</f>
        <v>2</v>
      </c>
      <c r="I482" s="646" t="s">
        <v>335</v>
      </c>
      <c r="J482" s="2048">
        <v>120</v>
      </c>
      <c r="K482" s="2647"/>
      <c r="L482" s="1149"/>
      <c r="M482" s="1149"/>
      <c r="N482" s="1149"/>
      <c r="O482" s="1149"/>
      <c r="P482" s="2196"/>
      <c r="Q482" s="2196"/>
      <c r="R482" s="2196"/>
      <c r="S482" s="2196"/>
      <c r="T482" s="1149"/>
      <c r="V482" s="3168"/>
    </row>
    <row r="483" spans="1:22" s="693" customFormat="1" hidden="1" outlineLevel="2" x14ac:dyDescent="0.15">
      <c r="A483" s="630" t="str">
        <f>CONCATENATE(B483," ",C483," core (",E483," MHz) ",J483," GB")</f>
        <v>AZI F1 (2vc) 2 core (2400 MHz) 2 GB</v>
      </c>
      <c r="B483" s="2036" t="s">
        <v>1605</v>
      </c>
      <c r="C483" s="2024">
        <f t="shared" si="128"/>
        <v>2</v>
      </c>
      <c r="D483" s="2561">
        <v>1</v>
      </c>
      <c r="E483" s="639">
        <v>2400</v>
      </c>
      <c r="F483" s="2011">
        <f t="shared" si="129"/>
        <v>70.162545653270016</v>
      </c>
      <c r="G483" s="2015">
        <f t="shared" ref="G483:G509" si="139">IF(F483=0,"",F483/C483)</f>
        <v>35.081272826635008</v>
      </c>
      <c r="H483" s="2603">
        <f t="shared" ref="H483:H509" si="140">IF(C483=0,"",C483/D483)</f>
        <v>2</v>
      </c>
      <c r="I483" s="647" t="s">
        <v>335</v>
      </c>
      <c r="J483" s="2643">
        <v>2</v>
      </c>
      <c r="K483" s="2899"/>
      <c r="L483" s="2900">
        <f>L$481*V483*3</f>
        <v>2522.88</v>
      </c>
      <c r="M483" s="3054" t="str">
        <f>MID(B483, FIND("(",B483,1)+1, FIND(")",B483,1)- FIND("(",B483,1)-3)</f>
        <v>2</v>
      </c>
      <c r="N483" s="3103">
        <v>2</v>
      </c>
      <c r="O483" s="3100">
        <f>M483/1</f>
        <v>2</v>
      </c>
      <c r="P483" s="3156">
        <f>G$482*Q483</f>
        <v>35.081272826635008</v>
      </c>
      <c r="Q483" s="3156">
        <f>1-(O$465*LN(C483)+P$465)</f>
        <v>0.80801396145800408</v>
      </c>
      <c r="R483" s="3074">
        <f t="shared" si="132"/>
        <v>1</v>
      </c>
      <c r="S483" s="3073">
        <f t="shared" si="133"/>
        <v>16.755234782870453</v>
      </c>
      <c r="T483" s="3073">
        <f>8*M483</f>
        <v>16</v>
      </c>
      <c r="V483" s="3169">
        <v>9.6000000000000002E-2</v>
      </c>
    </row>
    <row r="484" spans="1:22" s="693" customFormat="1" hidden="1" outlineLevel="2" x14ac:dyDescent="0.15">
      <c r="A484" s="630" t="str">
        <f>CONCATENATE(B484," ",C484," core (",E484," MHz) ",J484," GB")</f>
        <v>AZI F2 (4vc) 4 core (2400 MHz) 4 GB</v>
      </c>
      <c r="B484" s="2036" t="s">
        <v>1606</v>
      </c>
      <c r="C484" s="2024">
        <f t="shared" si="128"/>
        <v>4</v>
      </c>
      <c r="D484" s="2561">
        <v>1</v>
      </c>
      <c r="E484" s="639">
        <v>2400</v>
      </c>
      <c r="F484" s="2011">
        <f t="shared" si="129"/>
        <v>131.29684927974674</v>
      </c>
      <c r="G484" s="2015">
        <f t="shared" si="139"/>
        <v>32.824212319936684</v>
      </c>
      <c r="H484" s="2603">
        <f t="shared" si="140"/>
        <v>4</v>
      </c>
      <c r="I484" s="647" t="s">
        <v>335</v>
      </c>
      <c r="J484" s="2643">
        <v>4</v>
      </c>
      <c r="K484" s="2899"/>
      <c r="L484" s="2900">
        <v>5045.76</v>
      </c>
      <c r="M484" s="3054" t="str">
        <f>MID(B484, FIND("(",B484,1)+1, FIND(")",B484,1)- FIND("(",B484,1)-3)</f>
        <v>4</v>
      </c>
      <c r="N484" s="3103">
        <v>2</v>
      </c>
      <c r="O484" s="3100">
        <f>M484/1</f>
        <v>4</v>
      </c>
      <c r="P484" s="3156">
        <f t="shared" ref="P484:P487" si="141">G$482*Q484</f>
        <v>32.824212319936684</v>
      </c>
      <c r="Q484" s="3156">
        <f t="shared" ref="Q484:Q487" si="142">1-(O$465*LN(C484)+P$465)</f>
        <v>0.75602792291600818</v>
      </c>
      <c r="R484" s="3074">
        <f t="shared" si="132"/>
        <v>1</v>
      </c>
      <c r="S484" s="3073">
        <f t="shared" si="133"/>
        <v>31.354471469790266</v>
      </c>
      <c r="T484" s="3073">
        <f>8*M484</f>
        <v>32</v>
      </c>
      <c r="V484" s="3169">
        <v>0.192</v>
      </c>
    </row>
    <row r="485" spans="1:22" s="693" customFormat="1" hidden="1" outlineLevel="2" x14ac:dyDescent="0.15">
      <c r="A485" s="630" t="str">
        <f>CONCATENATE(B485," ",C485," core (",E485," MHz) ",J485," GB")</f>
        <v>AZI F3 (8vc) 8 core (2400 MHz) 8 GB</v>
      </c>
      <c r="B485" s="2036" t="s">
        <v>1607</v>
      </c>
      <c r="C485" s="2024">
        <f t="shared" si="128"/>
        <v>8</v>
      </c>
      <c r="D485" s="2561">
        <v>1</v>
      </c>
      <c r="E485" s="639">
        <v>2400</v>
      </c>
      <c r="F485" s="2011">
        <f t="shared" si="129"/>
        <v>244.53721450590692</v>
      </c>
      <c r="G485" s="2015">
        <f t="shared" si="139"/>
        <v>30.567151813238365</v>
      </c>
      <c r="H485" s="2603">
        <f t="shared" si="140"/>
        <v>8</v>
      </c>
      <c r="I485" s="647" t="s">
        <v>335</v>
      </c>
      <c r="J485" s="2643">
        <v>8</v>
      </c>
      <c r="K485" s="2899"/>
      <c r="L485" s="2900">
        <v>10065.24</v>
      </c>
      <c r="M485" s="3054" t="str">
        <f>MID(B485, FIND("(",B485,1)+1, FIND(")",B485,1)- FIND("(",B485,1)-3)</f>
        <v>8</v>
      </c>
      <c r="N485" s="3103">
        <v>2</v>
      </c>
      <c r="O485" s="3100">
        <f>M485/1</f>
        <v>8</v>
      </c>
      <c r="P485" s="3156">
        <f t="shared" si="141"/>
        <v>30.567151813238365</v>
      </c>
      <c r="Q485" s="3156">
        <f t="shared" si="142"/>
        <v>0.70404188437401227</v>
      </c>
      <c r="R485" s="3074">
        <f t="shared" si="132"/>
        <v>1</v>
      </c>
      <c r="S485" s="3073">
        <f t="shared" si="133"/>
        <v>58.396946747679259</v>
      </c>
      <c r="T485" s="3073">
        <f>8*M485</f>
        <v>64</v>
      </c>
      <c r="V485" s="3169">
        <v>0.38300000000000001</v>
      </c>
    </row>
    <row r="486" spans="1:22" s="693" customFormat="1" hidden="1" outlineLevel="2" x14ac:dyDescent="0.15">
      <c r="A486" s="630" t="str">
        <f>CONCATENATE(B486," ",C486," core (",E486," MHz) ",J486," GB")</f>
        <v>AZI F4 (16vc) 16 core (2400 MHz) 16 GB</v>
      </c>
      <c r="B486" s="2036" t="s">
        <v>1608</v>
      </c>
      <c r="C486" s="2024">
        <f t="shared" si="128"/>
        <v>16</v>
      </c>
      <c r="D486" s="2561">
        <v>1</v>
      </c>
      <c r="E486" s="639">
        <v>2400</v>
      </c>
      <c r="F486" s="2011">
        <f t="shared" si="129"/>
        <v>452.96146090464066</v>
      </c>
      <c r="G486" s="2015">
        <f t="shared" si="139"/>
        <v>28.310091306540041</v>
      </c>
      <c r="H486" s="2603">
        <f t="shared" si="140"/>
        <v>16</v>
      </c>
      <c r="I486" s="647" t="s">
        <v>335</v>
      </c>
      <c r="J486" s="2643">
        <v>16</v>
      </c>
      <c r="K486" s="2899"/>
      <c r="L486" s="2900">
        <v>20130.48</v>
      </c>
      <c r="M486" s="3054" t="str">
        <f>MID(B486, FIND("(",B486,1)+1, FIND(")",B486,1)- FIND("(",B486,1)-3)</f>
        <v>16</v>
      </c>
      <c r="N486" s="3103">
        <v>2</v>
      </c>
      <c r="O486" s="3100">
        <f>M486/1</f>
        <v>16</v>
      </c>
      <c r="P486" s="3156">
        <f t="shared" si="141"/>
        <v>28.310091306540041</v>
      </c>
      <c r="Q486" s="3156">
        <f t="shared" si="142"/>
        <v>0.65205584583201637</v>
      </c>
      <c r="R486" s="3074">
        <f t="shared" si="132"/>
        <v>1</v>
      </c>
      <c r="S486" s="3073">
        <f t="shared" si="133"/>
        <v>108.16990111155599</v>
      </c>
      <c r="T486" s="3073">
        <f>8*M486</f>
        <v>128</v>
      </c>
      <c r="V486" s="3169">
        <v>0.76600000000000001</v>
      </c>
    </row>
    <row r="487" spans="1:22" s="693" customFormat="1" hidden="1" outlineLevel="2" x14ac:dyDescent="0.15">
      <c r="A487" s="630" t="str">
        <f>CONCATENATE(B487," ",C487," core (",E487," MHz) ",J487," GB")</f>
        <v>AZI F5 (32vc) 32 core (2400 MHz) 32 GB</v>
      </c>
      <c r="B487" s="2036" t="s">
        <v>1609</v>
      </c>
      <c r="C487" s="2024">
        <f t="shared" si="128"/>
        <v>32</v>
      </c>
      <c r="D487" s="2561">
        <v>1</v>
      </c>
      <c r="E487" s="639">
        <v>2400</v>
      </c>
      <c r="F487" s="2011">
        <f t="shared" si="129"/>
        <v>833.6969855949352</v>
      </c>
      <c r="G487" s="2015">
        <f t="shared" si="139"/>
        <v>26.053030799841725</v>
      </c>
      <c r="H487" s="2603">
        <f t="shared" si="140"/>
        <v>32</v>
      </c>
      <c r="I487" s="647" t="s">
        <v>335</v>
      </c>
      <c r="J487" s="2643">
        <v>32</v>
      </c>
      <c r="K487" s="2899"/>
      <c r="L487" s="2900">
        <v>40260.959999999999</v>
      </c>
      <c r="M487" s="3054" t="str">
        <f>MID(B487, FIND("(",B487,1)+1, FIND(")",B487,1)- FIND("(",B487,1)-3)</f>
        <v>32</v>
      </c>
      <c r="N487" s="3103">
        <v>2</v>
      </c>
      <c r="O487" s="3100">
        <f>M487/1</f>
        <v>32</v>
      </c>
      <c r="P487" s="3156">
        <f t="shared" si="141"/>
        <v>26.053030799841725</v>
      </c>
      <c r="Q487" s="3156">
        <f t="shared" si="142"/>
        <v>0.60006980729002057</v>
      </c>
      <c r="R487" s="3074">
        <f t="shared" si="132"/>
        <v>1</v>
      </c>
      <c r="S487" s="3073">
        <f t="shared" si="133"/>
        <v>199.09181745550694</v>
      </c>
      <c r="T487" s="3073">
        <f>8*M487</f>
        <v>256</v>
      </c>
      <c r="V487" s="3169">
        <v>1.532</v>
      </c>
    </row>
    <row r="488" spans="1:22" hidden="1" outlineLevel="1" collapsed="1" x14ac:dyDescent="0.15">
      <c r="A488" s="3057" t="s">
        <v>1772</v>
      </c>
      <c r="B488" s="3102" t="str">
        <f>B$466</f>
        <v>AZI Platform</v>
      </c>
      <c r="C488" s="3102" t="str">
        <f t="shared" ref="C488:J488" si="143">C$466</f>
        <v>Server Core</v>
      </c>
      <c r="D488" s="3102" t="str">
        <f t="shared" si="143"/>
        <v>vCore/core</v>
      </c>
      <c r="E488" s="3102" t="str">
        <f t="shared" si="143"/>
        <v>MHz</v>
      </c>
      <c r="F488" s="3102" t="str">
        <f t="shared" si="143"/>
        <v>Rate2006</v>
      </c>
      <c r="G488" s="3102" t="str">
        <f t="shared" si="143"/>
        <v>Per Core</v>
      </c>
      <c r="H488" s="3102" t="str">
        <f t="shared" si="143"/>
        <v>Core</v>
      </c>
      <c r="I488" s="3102" t="str">
        <f t="shared" si="143"/>
        <v>Vendor</v>
      </c>
      <c r="J488" s="3102" t="str">
        <f t="shared" si="143"/>
        <v>vRAM</v>
      </c>
      <c r="K488" s="3102"/>
      <c r="L488" s="3171">
        <v>8760</v>
      </c>
      <c r="M488" s="3102" t="str">
        <f>M$466</f>
        <v>vCore</v>
      </c>
      <c r="N488" s="3102" t="str">
        <f>N$466</f>
        <v>Threds/core</v>
      </c>
      <c r="O488" s="3102" t="str">
        <f>O$466</f>
        <v>HostCore</v>
      </c>
      <c r="P488" s="3102" t="str">
        <f>P$466</f>
        <v>Rate2006</v>
      </c>
      <c r="Q488" s="3102"/>
      <c r="R488" s="3074"/>
      <c r="S488" s="3073"/>
      <c r="V488" s="3167"/>
    </row>
    <row r="489" spans="1:22" hidden="1" outlineLevel="2" x14ac:dyDescent="0.15">
      <c r="A489" s="3136" t="str">
        <f>CONCATENATE(B489," ",C489," core (",H489," chip) ",E489," MHz")&amp;IF(ISBLANK(F489),"**","")</f>
        <v>Xeon E5-2673v4 40 core (2 chip) 2300 MHz</v>
      </c>
      <c r="B489" s="661" t="s">
        <v>1755</v>
      </c>
      <c r="C489" s="2024">
        <v>40</v>
      </c>
      <c r="D489" s="52">
        <v>20</v>
      </c>
      <c r="E489" s="639">
        <v>2300</v>
      </c>
      <c r="F489" s="2192">
        <v>1651</v>
      </c>
      <c r="G489" s="2015">
        <f>F489/C489</f>
        <v>41.274999999999999</v>
      </c>
      <c r="H489" s="2603">
        <f>C489/D489</f>
        <v>2</v>
      </c>
      <c r="I489" s="646" t="s">
        <v>335</v>
      </c>
      <c r="J489" s="2048">
        <v>120</v>
      </c>
      <c r="K489" s="2647"/>
      <c r="L489" s="1149"/>
      <c r="M489" s="1149"/>
      <c r="N489" s="1149"/>
      <c r="O489" s="1149"/>
      <c r="P489" s="2196"/>
      <c r="Q489" s="2196"/>
      <c r="R489" s="2196"/>
      <c r="S489" s="2196"/>
      <c r="T489" s="1149"/>
      <c r="V489" s="3168"/>
    </row>
    <row r="490" spans="1:22" s="693" customFormat="1" hidden="1" outlineLevel="2" x14ac:dyDescent="0.15">
      <c r="A490" s="630" t="str">
        <f t="shared" ref="A490:A509" si="144">CONCATENATE(B490," ",C490," core (",E490," MHz) ",J490," GB")</f>
        <v>AZI E2v3 (2vc) 2 core (2300 MHz) 16 GB</v>
      </c>
      <c r="B490" s="2036" t="s">
        <v>1617</v>
      </c>
      <c r="C490" s="2024">
        <f t="shared" si="128"/>
        <v>2</v>
      </c>
      <c r="D490" s="2561">
        <v>1</v>
      </c>
      <c r="E490" s="639">
        <v>2300</v>
      </c>
      <c r="F490" s="2011">
        <f t="shared" si="129"/>
        <v>66.701552518358241</v>
      </c>
      <c r="G490" s="2015">
        <f t="shared" si="139"/>
        <v>33.350776259179121</v>
      </c>
      <c r="H490" s="2603">
        <f t="shared" si="140"/>
        <v>2</v>
      </c>
      <c r="I490" s="647" t="s">
        <v>335</v>
      </c>
      <c r="J490" s="2643">
        <v>16</v>
      </c>
      <c r="K490" s="2899"/>
      <c r="L490" s="2900">
        <f>L$488*V490*3</f>
        <v>5913</v>
      </c>
      <c r="M490" s="3054" t="str">
        <f t="shared" ref="M490:M509" si="145">MID(B490, FIND("(",B490,1)+1, FIND(")",B490,1)- FIND("(",B490,1)-3)</f>
        <v>2</v>
      </c>
      <c r="N490" s="3103">
        <v>2</v>
      </c>
      <c r="O490" s="3100">
        <f t="shared" ref="O490:O495" si="146">M490/1</f>
        <v>2</v>
      </c>
      <c r="P490" s="3156">
        <f>G$489*Q490</f>
        <v>33.350776259179121</v>
      </c>
      <c r="Q490" s="3156">
        <f>1-(O$465*LN(C490)+P$465)</f>
        <v>0.80801396145800408</v>
      </c>
      <c r="R490" s="3074">
        <f t="shared" si="132"/>
        <v>1</v>
      </c>
      <c r="S490" s="3073">
        <f t="shared" si="133"/>
        <v>15.928728959607939</v>
      </c>
      <c r="T490" s="3073">
        <f t="shared" ref="T490:T502" si="147">8*M490</f>
        <v>16</v>
      </c>
      <c r="V490" s="3169">
        <v>0.22500000000000001</v>
      </c>
    </row>
    <row r="491" spans="1:22" s="693" customFormat="1" hidden="1" outlineLevel="2" x14ac:dyDescent="0.15">
      <c r="A491" s="630" t="str">
        <f t="shared" si="144"/>
        <v>AZI E4v3 (4vc) 4 core (2300 MHz) 32 GB</v>
      </c>
      <c r="B491" s="2036" t="s">
        <v>1618</v>
      </c>
      <c r="C491" s="2024">
        <f t="shared" si="128"/>
        <v>4</v>
      </c>
      <c r="D491" s="2561">
        <v>1</v>
      </c>
      <c r="E491" s="639">
        <v>2300</v>
      </c>
      <c r="F491" s="2011">
        <f t="shared" si="129"/>
        <v>124.82021007343295</v>
      </c>
      <c r="G491" s="2015">
        <f t="shared" si="139"/>
        <v>31.205052518358237</v>
      </c>
      <c r="H491" s="2603">
        <f t="shared" si="140"/>
        <v>4</v>
      </c>
      <c r="I491" s="647" t="s">
        <v>335</v>
      </c>
      <c r="J491" s="2643">
        <v>32</v>
      </c>
      <c r="K491" s="2899"/>
      <c r="L491" s="2900">
        <f>L$488*V491*3</f>
        <v>11826</v>
      </c>
      <c r="M491" s="3054" t="str">
        <f t="shared" si="145"/>
        <v>4</v>
      </c>
      <c r="N491" s="3103">
        <v>2</v>
      </c>
      <c r="O491" s="3100">
        <f t="shared" si="146"/>
        <v>4</v>
      </c>
      <c r="P491" s="3156">
        <f t="shared" ref="P491:P495" si="148">G$489*Q491</f>
        <v>31.205052518358237</v>
      </c>
      <c r="Q491" s="3156">
        <f t="shared" ref="Q491:Q495" si="149">1-(O$465*LN(C491)+P$465)</f>
        <v>0.75602792291600818</v>
      </c>
      <c r="R491" s="3074">
        <f t="shared" si="132"/>
        <v>1</v>
      </c>
      <c r="S491" s="3073">
        <f t="shared" si="133"/>
        <v>29.807811360819809</v>
      </c>
      <c r="T491" s="3073">
        <f t="shared" si="147"/>
        <v>32</v>
      </c>
      <c r="V491" s="3169">
        <v>0.45</v>
      </c>
    </row>
    <row r="492" spans="1:22" s="693" customFormat="1" hidden="1" outlineLevel="2" x14ac:dyDescent="0.15">
      <c r="A492" s="630" t="str">
        <f t="shared" si="144"/>
        <v>AZI E8v3 (8vc) 8 core (2300 MHz) 64 GB</v>
      </c>
      <c r="B492" s="2036" t="s">
        <v>1619</v>
      </c>
      <c r="C492" s="2024">
        <f t="shared" si="128"/>
        <v>8</v>
      </c>
      <c r="D492" s="2561">
        <v>1</v>
      </c>
      <c r="E492" s="639">
        <v>2300</v>
      </c>
      <c r="F492" s="2011">
        <f t="shared" si="129"/>
        <v>232.47463022029885</v>
      </c>
      <c r="G492" s="2015">
        <f t="shared" si="139"/>
        <v>29.059328777537356</v>
      </c>
      <c r="H492" s="2603">
        <f t="shared" si="140"/>
        <v>8</v>
      </c>
      <c r="I492" s="647" t="s">
        <v>335</v>
      </c>
      <c r="J492" s="2643">
        <v>64</v>
      </c>
      <c r="K492" s="2899"/>
      <c r="L492" s="2900">
        <f t="shared" ref="L492:L495" si="150">L$488*V492*3</f>
        <v>23652</v>
      </c>
      <c r="M492" s="3054" t="str">
        <f t="shared" si="145"/>
        <v>8</v>
      </c>
      <c r="N492" s="3103">
        <v>2</v>
      </c>
      <c r="O492" s="3100">
        <f t="shared" si="146"/>
        <v>8</v>
      </c>
      <c r="P492" s="3156">
        <f t="shared" si="148"/>
        <v>29.059328777537356</v>
      </c>
      <c r="Q492" s="3156">
        <f t="shared" si="149"/>
        <v>0.70404188437401227</v>
      </c>
      <c r="R492" s="3074">
        <f t="shared" si="132"/>
        <v>1</v>
      </c>
      <c r="S492" s="3073">
        <f t="shared" si="133"/>
        <v>55.516329604847492</v>
      </c>
      <c r="T492" s="3073">
        <f t="shared" si="147"/>
        <v>64</v>
      </c>
      <c r="V492" s="3169">
        <v>0.9</v>
      </c>
    </row>
    <row r="493" spans="1:22" s="693" customFormat="1" hidden="1" outlineLevel="2" x14ac:dyDescent="0.15">
      <c r="A493" s="630" t="str">
        <f t="shared" si="144"/>
        <v>AZI E16v3 (16vc) 16 core (2300 MHz) 128 GB</v>
      </c>
      <c r="B493" s="2036" t="s">
        <v>1620</v>
      </c>
      <c r="C493" s="2024">
        <f t="shared" si="128"/>
        <v>16</v>
      </c>
      <c r="D493" s="2561">
        <v>1</v>
      </c>
      <c r="E493" s="639">
        <v>2300</v>
      </c>
      <c r="F493" s="2011">
        <f t="shared" si="129"/>
        <v>430.61768058746361</v>
      </c>
      <c r="G493" s="2015">
        <f t="shared" si="139"/>
        <v>26.913605036716476</v>
      </c>
      <c r="H493" s="2603">
        <f t="shared" si="140"/>
        <v>16</v>
      </c>
      <c r="I493" s="647" t="s">
        <v>335</v>
      </c>
      <c r="J493" s="2643">
        <v>128</v>
      </c>
      <c r="K493" s="2899"/>
      <c r="L493" s="2900">
        <f t="shared" si="150"/>
        <v>47304</v>
      </c>
      <c r="M493" s="3054" t="str">
        <f t="shared" si="145"/>
        <v>16</v>
      </c>
      <c r="N493" s="3103">
        <v>2</v>
      </c>
      <c r="O493" s="3100">
        <f t="shared" si="146"/>
        <v>16</v>
      </c>
      <c r="P493" s="3156">
        <f t="shared" si="148"/>
        <v>26.913605036716476</v>
      </c>
      <c r="Q493" s="3156">
        <f t="shared" si="149"/>
        <v>0.65205584583201637</v>
      </c>
      <c r="R493" s="3074">
        <f t="shared" si="132"/>
        <v>1</v>
      </c>
      <c r="S493" s="3073">
        <f t="shared" si="133"/>
        <v>102.83407297611072</v>
      </c>
      <c r="T493" s="3073">
        <f t="shared" si="147"/>
        <v>128</v>
      </c>
      <c r="V493" s="3169">
        <v>1.8</v>
      </c>
    </row>
    <row r="494" spans="1:22" s="693" customFormat="1" hidden="1" outlineLevel="2" x14ac:dyDescent="0.15">
      <c r="A494" s="630" t="str">
        <f t="shared" si="144"/>
        <v>AZI E32v3 (32vc) 32 core (2300 MHz) 256 GB</v>
      </c>
      <c r="B494" s="2036" t="s">
        <v>1621</v>
      </c>
      <c r="C494" s="2024">
        <f t="shared" si="128"/>
        <v>32</v>
      </c>
      <c r="D494" s="2561">
        <v>1</v>
      </c>
      <c r="E494" s="639">
        <v>2300</v>
      </c>
      <c r="F494" s="2011">
        <f t="shared" si="129"/>
        <v>792.57220146865916</v>
      </c>
      <c r="G494" s="2015">
        <f t="shared" si="139"/>
        <v>24.767881295895599</v>
      </c>
      <c r="H494" s="2603">
        <f t="shared" si="140"/>
        <v>32</v>
      </c>
      <c r="I494" s="647" t="s">
        <v>335</v>
      </c>
      <c r="J494" s="2643">
        <v>256</v>
      </c>
      <c r="K494" s="2899"/>
      <c r="L494" s="2900">
        <f t="shared" si="150"/>
        <v>94608</v>
      </c>
      <c r="M494" s="3054" t="str">
        <f t="shared" si="145"/>
        <v>32</v>
      </c>
      <c r="N494" s="3103">
        <v>2</v>
      </c>
      <c r="O494" s="3100">
        <f t="shared" si="146"/>
        <v>32</v>
      </c>
      <c r="P494" s="3156">
        <f t="shared" si="148"/>
        <v>24.767881295895599</v>
      </c>
      <c r="Q494" s="3156">
        <f t="shared" si="149"/>
        <v>0.60006980729002057</v>
      </c>
      <c r="R494" s="3074">
        <f t="shared" si="132"/>
        <v>1</v>
      </c>
      <c r="S494" s="3073">
        <f t="shared" si="133"/>
        <v>189.27097348505293</v>
      </c>
      <c r="T494" s="3073">
        <f t="shared" si="147"/>
        <v>256</v>
      </c>
      <c r="V494" s="3169">
        <v>3.6</v>
      </c>
    </row>
    <row r="495" spans="1:22" s="693" customFormat="1" hidden="1" outlineLevel="2" x14ac:dyDescent="0.15">
      <c r="A495" s="630" t="str">
        <f t="shared" si="144"/>
        <v>AZI E64v3 (64vc) 64 core (2300 MHz) 432 GB</v>
      </c>
      <c r="B495" s="2036" t="s">
        <v>1622</v>
      </c>
      <c r="C495" s="2024">
        <f t="shared" si="128"/>
        <v>64</v>
      </c>
      <c r="D495" s="2561">
        <v>1</v>
      </c>
      <c r="E495" s="639">
        <v>2300</v>
      </c>
      <c r="F495" s="2011">
        <f t="shared" si="129"/>
        <v>1447.818083524782</v>
      </c>
      <c r="G495" s="2015">
        <f t="shared" si="139"/>
        <v>22.622157555074718</v>
      </c>
      <c r="H495" s="2603">
        <f t="shared" si="140"/>
        <v>64</v>
      </c>
      <c r="I495" s="647" t="s">
        <v>335</v>
      </c>
      <c r="J495" s="2643">
        <v>432</v>
      </c>
      <c r="K495" s="2899"/>
      <c r="L495" s="2900">
        <f t="shared" si="150"/>
        <v>178336.08</v>
      </c>
      <c r="M495" s="3054" t="str">
        <f t="shared" si="145"/>
        <v>64</v>
      </c>
      <c r="N495" s="3103">
        <v>2</v>
      </c>
      <c r="O495" s="3100">
        <f t="shared" si="146"/>
        <v>64</v>
      </c>
      <c r="P495" s="3156">
        <f t="shared" si="148"/>
        <v>22.622157555074718</v>
      </c>
      <c r="Q495" s="3156">
        <f t="shared" si="149"/>
        <v>0.54808376874802467</v>
      </c>
      <c r="R495" s="3074">
        <f t="shared" si="132"/>
        <v>1</v>
      </c>
      <c r="S495" s="3073">
        <f t="shared" si="133"/>
        <v>345.74760203576886</v>
      </c>
      <c r="T495" s="3073">
        <f t="shared" si="147"/>
        <v>512</v>
      </c>
      <c r="V495" s="3169">
        <v>6.7859999999999996</v>
      </c>
    </row>
    <row r="496" spans="1:22" hidden="1" outlineLevel="1" collapsed="1" x14ac:dyDescent="0.15">
      <c r="A496" s="3057" t="s">
        <v>1773</v>
      </c>
      <c r="B496" s="3102" t="str">
        <f>B$466</f>
        <v>AZI Platform</v>
      </c>
      <c r="C496" s="3102" t="str">
        <f t="shared" ref="C496:J496" si="151">C$466</f>
        <v>Server Core</v>
      </c>
      <c r="D496" s="3102" t="str">
        <f t="shared" si="151"/>
        <v>vCore/core</v>
      </c>
      <c r="E496" s="3102" t="str">
        <f t="shared" si="151"/>
        <v>MHz</v>
      </c>
      <c r="F496" s="3102" t="str">
        <f t="shared" si="151"/>
        <v>Rate2006</v>
      </c>
      <c r="G496" s="3102" t="str">
        <f t="shared" si="151"/>
        <v>Per Core</v>
      </c>
      <c r="H496" s="3102" t="str">
        <f t="shared" si="151"/>
        <v>Core</v>
      </c>
      <c r="I496" s="3102" t="str">
        <f t="shared" si="151"/>
        <v>Vendor</v>
      </c>
      <c r="J496" s="3102" t="str">
        <f t="shared" si="151"/>
        <v>vRAM</v>
      </c>
      <c r="K496" s="3102"/>
      <c r="L496" s="3171">
        <v>8760</v>
      </c>
      <c r="M496" s="3102" t="str">
        <f>M$466</f>
        <v>vCore</v>
      </c>
      <c r="N496" s="3102" t="str">
        <f>N$466</f>
        <v>Threds/core</v>
      </c>
      <c r="O496" s="3102" t="str">
        <f>O$466</f>
        <v>HostCore</v>
      </c>
      <c r="P496" s="3102" t="str">
        <f>P$466</f>
        <v>Rate2006</v>
      </c>
      <c r="Q496" s="3102"/>
      <c r="R496" s="3074"/>
      <c r="S496" s="3073"/>
      <c r="V496" s="3167"/>
    </row>
    <row r="497" spans="1:22" hidden="1" outlineLevel="2" x14ac:dyDescent="0.15">
      <c r="A497" s="3136" t="str">
        <f>CONCATENATE(B497," ",C497," core (",H497," chip) ",E497," MHz")&amp;IF(ISBLANK(F497),"**","")</f>
        <v>Xeon E5-2673v3 24 core (2 chip) 2400 MHz</v>
      </c>
      <c r="B497" s="661" t="s">
        <v>1782</v>
      </c>
      <c r="C497" s="2024">
        <v>24</v>
      </c>
      <c r="D497" s="52">
        <v>12</v>
      </c>
      <c r="E497" s="639">
        <v>2400</v>
      </c>
      <c r="F497" s="2192">
        <v>1042</v>
      </c>
      <c r="G497" s="2015">
        <f>F497/C497</f>
        <v>43.416666666666664</v>
      </c>
      <c r="H497" s="2603">
        <f>C497/D497</f>
        <v>2</v>
      </c>
      <c r="I497" s="646" t="s">
        <v>335</v>
      </c>
      <c r="J497" s="2048">
        <v>120</v>
      </c>
      <c r="K497" s="2647"/>
      <c r="L497" s="1149"/>
      <c r="M497" s="1149"/>
      <c r="N497" s="1149"/>
      <c r="O497" s="1149"/>
      <c r="P497" s="2196"/>
      <c r="Q497" s="2196"/>
      <c r="R497" s="2196"/>
      <c r="S497" s="2196"/>
      <c r="T497" s="1149"/>
      <c r="V497" s="3168"/>
    </row>
    <row r="498" spans="1:22" s="693" customFormat="1" hidden="1" outlineLevel="2" x14ac:dyDescent="0.15">
      <c r="A498" s="630" t="str">
        <f t="shared" si="144"/>
        <v>AZI D11v2 (2vc) 2 core (2400 MHz) 14 GB</v>
      </c>
      <c r="B498" s="2036" t="s">
        <v>1628</v>
      </c>
      <c r="C498" s="2024">
        <f t="shared" si="128"/>
        <v>2</v>
      </c>
      <c r="D498" s="2561">
        <v>1</v>
      </c>
      <c r="E498" s="639">
        <v>2400</v>
      </c>
      <c r="F498" s="2011">
        <f t="shared" si="129"/>
        <v>70.162545653270016</v>
      </c>
      <c r="G498" s="2015">
        <f t="shared" si="139"/>
        <v>35.081272826635008</v>
      </c>
      <c r="H498" s="2603">
        <f t="shared" si="140"/>
        <v>2</v>
      </c>
      <c r="I498" s="647" t="s">
        <v>335</v>
      </c>
      <c r="J498" s="2643">
        <v>14</v>
      </c>
      <c r="K498" s="2899"/>
      <c r="L498" s="2900">
        <f>L$496*V498*3</f>
        <v>8672.4000000000015</v>
      </c>
      <c r="M498" s="3054" t="str">
        <f t="shared" si="145"/>
        <v>2</v>
      </c>
      <c r="N498" s="3103">
        <v>2</v>
      </c>
      <c r="O498" s="3100">
        <f>M498/1</f>
        <v>2</v>
      </c>
      <c r="P498" s="3156">
        <f>G$497*Q498</f>
        <v>35.081272826635008</v>
      </c>
      <c r="Q498" s="3156">
        <f>1-(O$465*LN(C498)+P$465)</f>
        <v>0.80801396145800408</v>
      </c>
      <c r="R498" s="3074">
        <f t="shared" si="132"/>
        <v>1</v>
      </c>
      <c r="S498" s="3073">
        <f t="shared" si="133"/>
        <v>16.755234782870453</v>
      </c>
      <c r="T498" s="3073">
        <f t="shared" si="147"/>
        <v>16</v>
      </c>
      <c r="V498" s="3170">
        <v>0.33</v>
      </c>
    </row>
    <row r="499" spans="1:22" s="693" customFormat="1" hidden="1" outlineLevel="2" x14ac:dyDescent="0.15">
      <c r="A499" s="630" t="str">
        <f t="shared" si="144"/>
        <v>AZI D12v2 (4vc) 4 core (2400 MHz) 28 GB</v>
      </c>
      <c r="B499" s="2036" t="s">
        <v>1629</v>
      </c>
      <c r="C499" s="2024">
        <f t="shared" si="128"/>
        <v>4</v>
      </c>
      <c r="D499" s="2561">
        <v>1</v>
      </c>
      <c r="E499" s="639">
        <v>2400</v>
      </c>
      <c r="F499" s="2011">
        <f t="shared" si="129"/>
        <v>131.29684927974674</v>
      </c>
      <c r="G499" s="2015">
        <f t="shared" si="139"/>
        <v>32.824212319936684</v>
      </c>
      <c r="H499" s="2603">
        <f t="shared" si="140"/>
        <v>4</v>
      </c>
      <c r="I499" s="647" t="s">
        <v>335</v>
      </c>
      <c r="J499" s="2643">
        <v>28</v>
      </c>
      <c r="K499" s="2899"/>
      <c r="L499" s="2900">
        <f t="shared" ref="L499:L502" si="152">L$496*V499*3</f>
        <v>17134.560000000001</v>
      </c>
      <c r="M499" s="3054" t="str">
        <f t="shared" si="145"/>
        <v>4</v>
      </c>
      <c r="N499" s="3103">
        <v>2</v>
      </c>
      <c r="O499" s="3100">
        <f>M499/1</f>
        <v>4</v>
      </c>
      <c r="P499" s="3156">
        <f t="shared" ref="P499:P502" si="153">G$497*Q499</f>
        <v>32.824212319936684</v>
      </c>
      <c r="Q499" s="3156">
        <f t="shared" ref="Q499:Q502" si="154">1-(O$465*LN(C499)+P$465)</f>
        <v>0.75602792291600818</v>
      </c>
      <c r="R499" s="3074">
        <f t="shared" si="132"/>
        <v>1</v>
      </c>
      <c r="S499" s="3073">
        <f t="shared" si="133"/>
        <v>31.354471469790266</v>
      </c>
      <c r="T499" s="3073">
        <f t="shared" si="147"/>
        <v>32</v>
      </c>
      <c r="V499" s="3170">
        <v>0.65200000000000002</v>
      </c>
    </row>
    <row r="500" spans="1:22" s="693" customFormat="1" hidden="1" outlineLevel="2" x14ac:dyDescent="0.15">
      <c r="A500" s="630" t="str">
        <f t="shared" si="144"/>
        <v>AZI D13v2 (8vc) 8 core (2400 MHz) 56 GB</v>
      </c>
      <c r="B500" s="2036" t="s">
        <v>1630</v>
      </c>
      <c r="C500" s="2024">
        <f t="shared" si="128"/>
        <v>8</v>
      </c>
      <c r="D500" s="2561">
        <v>1</v>
      </c>
      <c r="E500" s="639">
        <v>2400</v>
      </c>
      <c r="F500" s="2011">
        <f t="shared" si="129"/>
        <v>244.53721450590692</v>
      </c>
      <c r="G500" s="2015">
        <f t="shared" si="139"/>
        <v>30.567151813238365</v>
      </c>
      <c r="H500" s="2603">
        <f t="shared" si="140"/>
        <v>8</v>
      </c>
      <c r="I500" s="647" t="s">
        <v>335</v>
      </c>
      <c r="J500" s="2643">
        <v>56</v>
      </c>
      <c r="K500" s="2899"/>
      <c r="L500" s="2900">
        <f t="shared" si="152"/>
        <v>30826.44</v>
      </c>
      <c r="M500" s="3054" t="str">
        <f t="shared" si="145"/>
        <v>8</v>
      </c>
      <c r="N500" s="3103">
        <v>2</v>
      </c>
      <c r="O500" s="3100">
        <f>M500/1</f>
        <v>8</v>
      </c>
      <c r="P500" s="3156">
        <f t="shared" si="153"/>
        <v>30.567151813238365</v>
      </c>
      <c r="Q500" s="3156">
        <f t="shared" si="154"/>
        <v>0.70404188437401227</v>
      </c>
      <c r="R500" s="3074">
        <f t="shared" si="132"/>
        <v>1</v>
      </c>
      <c r="S500" s="3073">
        <f t="shared" si="133"/>
        <v>58.396946747679259</v>
      </c>
      <c r="T500" s="3073">
        <f t="shared" si="147"/>
        <v>64</v>
      </c>
      <c r="V500" s="3170">
        <v>1.173</v>
      </c>
    </row>
    <row r="501" spans="1:22" s="693" customFormat="1" hidden="1" outlineLevel="2" x14ac:dyDescent="0.15">
      <c r="A501" s="630" t="str">
        <f t="shared" si="144"/>
        <v>AZI D14v2 (16vc) 16 core (2400 MHz) 112 GB</v>
      </c>
      <c r="B501" s="2036" t="s">
        <v>1631</v>
      </c>
      <c r="C501" s="2024">
        <f t="shared" si="128"/>
        <v>16</v>
      </c>
      <c r="D501" s="2561">
        <v>1</v>
      </c>
      <c r="E501" s="639">
        <v>2400</v>
      </c>
      <c r="F501" s="2011">
        <f t="shared" si="129"/>
        <v>452.96146090464066</v>
      </c>
      <c r="G501" s="2015">
        <f t="shared" si="139"/>
        <v>28.310091306540041</v>
      </c>
      <c r="H501" s="2603">
        <f t="shared" si="140"/>
        <v>16</v>
      </c>
      <c r="I501" s="647" t="s">
        <v>335</v>
      </c>
      <c r="J501" s="2643">
        <v>112</v>
      </c>
      <c r="K501" s="2899"/>
      <c r="L501" s="2900">
        <f t="shared" si="152"/>
        <v>55477.08</v>
      </c>
      <c r="M501" s="3054" t="str">
        <f t="shared" si="145"/>
        <v>16</v>
      </c>
      <c r="N501" s="3103">
        <v>2</v>
      </c>
      <c r="O501" s="3100">
        <f>M501/1</f>
        <v>16</v>
      </c>
      <c r="P501" s="3156">
        <f t="shared" si="153"/>
        <v>28.310091306540041</v>
      </c>
      <c r="Q501" s="3156">
        <f t="shared" si="154"/>
        <v>0.65205584583201637</v>
      </c>
      <c r="R501" s="3074">
        <f t="shared" si="132"/>
        <v>1</v>
      </c>
      <c r="S501" s="3073">
        <f t="shared" si="133"/>
        <v>108.16990111155599</v>
      </c>
      <c r="T501" s="3073">
        <f t="shared" si="147"/>
        <v>128</v>
      </c>
      <c r="V501" s="3170">
        <v>2.1110000000000002</v>
      </c>
    </row>
    <row r="502" spans="1:22" s="693" customFormat="1" hidden="1" outlineLevel="2" x14ac:dyDescent="0.15">
      <c r="A502" s="630" t="str">
        <f t="shared" si="144"/>
        <v>AZI D15v2 (20vc) 20 core (2400 MHz) 140 GB</v>
      </c>
      <c r="B502" s="2036" t="s">
        <v>1632</v>
      </c>
      <c r="C502" s="2024">
        <f t="shared" si="128"/>
        <v>20</v>
      </c>
      <c r="D502" s="2561">
        <v>1</v>
      </c>
      <c r="E502" s="639">
        <v>2400</v>
      </c>
      <c r="F502" s="2011">
        <f t="shared" si="129"/>
        <v>551.66960235146303</v>
      </c>
      <c r="G502" s="2015">
        <f t="shared" si="139"/>
        <v>27.583480117573153</v>
      </c>
      <c r="H502" s="2603">
        <f t="shared" si="140"/>
        <v>20</v>
      </c>
      <c r="I502" s="647" t="s">
        <v>335</v>
      </c>
      <c r="J502" s="2643">
        <v>140</v>
      </c>
      <c r="K502" s="2899"/>
      <c r="L502" s="2900">
        <f t="shared" si="152"/>
        <v>69352.92</v>
      </c>
      <c r="M502" s="3054" t="str">
        <f t="shared" si="145"/>
        <v>20</v>
      </c>
      <c r="N502" s="3103">
        <v>2</v>
      </c>
      <c r="O502" s="3100">
        <f>M502/1</f>
        <v>20</v>
      </c>
      <c r="P502" s="3156">
        <f t="shared" si="153"/>
        <v>27.583480117573149</v>
      </c>
      <c r="Q502" s="3156">
        <f t="shared" si="154"/>
        <v>0.63532007948345071</v>
      </c>
      <c r="R502" s="3074">
        <f t="shared" si="132"/>
        <v>1</v>
      </c>
      <c r="S502" s="3073">
        <f t="shared" si="133"/>
        <v>131.74199459139416</v>
      </c>
      <c r="T502" s="3073">
        <f t="shared" si="147"/>
        <v>160</v>
      </c>
      <c r="V502" s="3170">
        <v>2.6389999999999998</v>
      </c>
    </row>
    <row r="503" spans="1:22" hidden="1" outlineLevel="1" collapsed="1" x14ac:dyDescent="0.15">
      <c r="A503" s="3057" t="s">
        <v>1774</v>
      </c>
      <c r="B503" s="3102" t="str">
        <f>B$466</f>
        <v>AZI Platform</v>
      </c>
      <c r="C503" s="3102" t="str">
        <f t="shared" ref="C503:J503" si="155">C$466</f>
        <v>Server Core</v>
      </c>
      <c r="D503" s="3102" t="str">
        <f t="shared" si="155"/>
        <v>vCore/core</v>
      </c>
      <c r="E503" s="3102" t="str">
        <f t="shared" si="155"/>
        <v>MHz</v>
      </c>
      <c r="F503" s="3102" t="str">
        <f t="shared" si="155"/>
        <v>Rate2006</v>
      </c>
      <c r="G503" s="3102" t="str">
        <f t="shared" si="155"/>
        <v>Per Core</v>
      </c>
      <c r="H503" s="3102" t="str">
        <f t="shared" si="155"/>
        <v>Core</v>
      </c>
      <c r="I503" s="3102" t="str">
        <f t="shared" si="155"/>
        <v>Vendor</v>
      </c>
      <c r="J503" s="3102" t="str">
        <f t="shared" si="155"/>
        <v>vRAM</v>
      </c>
      <c r="K503" s="3102"/>
      <c r="L503" s="3171">
        <v>8760</v>
      </c>
      <c r="M503" s="3102" t="str">
        <f>M$466</f>
        <v>vCore</v>
      </c>
      <c r="N503" s="3102" t="str">
        <f>N$466</f>
        <v>Threds/core</v>
      </c>
      <c r="O503" s="3102" t="str">
        <f>O$466</f>
        <v>HostCore</v>
      </c>
      <c r="P503" s="3102" t="str">
        <f>P$466</f>
        <v>Rate2006</v>
      </c>
      <c r="Q503" s="3102"/>
      <c r="R503" s="3074"/>
      <c r="S503" s="3073"/>
      <c r="V503" s="3167"/>
    </row>
    <row r="504" spans="1:22" hidden="1" outlineLevel="2" x14ac:dyDescent="0.15">
      <c r="A504" s="3136" t="str">
        <f>CONCATENATE(B504," ",C504," core (",H504," chip) ",E504," MHz")&amp;IF(ISBLANK(F504),"**","")</f>
        <v>Xeon E5-2698Bv3 32 core (2 chip) 2000 MHz</v>
      </c>
      <c r="B504" s="661" t="s">
        <v>1810</v>
      </c>
      <c r="C504" s="2024">
        <v>32</v>
      </c>
      <c r="D504" s="52">
        <v>16</v>
      </c>
      <c r="E504" s="639">
        <v>2000</v>
      </c>
      <c r="F504" s="2192">
        <v>1122</v>
      </c>
      <c r="G504" s="2015">
        <f>F504/C504</f>
        <v>35.0625</v>
      </c>
      <c r="H504" s="2603">
        <f>C504/D504</f>
        <v>2</v>
      </c>
      <c r="I504" s="646" t="s">
        <v>335</v>
      </c>
      <c r="J504" s="2048">
        <v>120</v>
      </c>
      <c r="K504" s="2647"/>
      <c r="L504" s="1149"/>
      <c r="M504" s="1149"/>
      <c r="N504" s="1149"/>
      <c r="O504" s="1149"/>
      <c r="P504" s="2196"/>
      <c r="Q504" s="2196"/>
      <c r="R504" s="2196"/>
      <c r="S504" s="2196"/>
      <c r="T504" s="1149"/>
      <c r="V504" s="3168"/>
    </row>
    <row r="505" spans="1:22" s="693" customFormat="1" hidden="1" outlineLevel="2" x14ac:dyDescent="0.15">
      <c r="A505" s="630" t="str">
        <f t="shared" si="144"/>
        <v>AZI G1 (2vc) 2 core (2000 MHz) 28 GB</v>
      </c>
      <c r="B505" s="2036" t="s">
        <v>1655</v>
      </c>
      <c r="C505" s="2024">
        <f t="shared" si="128"/>
        <v>2</v>
      </c>
      <c r="D505" s="2561">
        <v>1</v>
      </c>
      <c r="E505" s="639">
        <f>E504</f>
        <v>2000</v>
      </c>
      <c r="F505" s="2011">
        <f t="shared" si="129"/>
        <v>56.661979047242539</v>
      </c>
      <c r="G505" s="2015">
        <f t="shared" si="139"/>
        <v>28.33098952362127</v>
      </c>
      <c r="H505" s="2603">
        <f t="shared" si="140"/>
        <v>2</v>
      </c>
      <c r="I505" s="647" t="s">
        <v>335</v>
      </c>
      <c r="J505" s="2643">
        <v>28</v>
      </c>
      <c r="K505" s="2899"/>
      <c r="L505" s="2900">
        <f>L$503*V505*3</f>
        <v>16030.8</v>
      </c>
      <c r="M505" s="3054" t="str">
        <f t="shared" si="145"/>
        <v>2</v>
      </c>
      <c r="N505" s="3103">
        <v>2</v>
      </c>
      <c r="O505" s="3100">
        <f>M505/1</f>
        <v>2</v>
      </c>
      <c r="P505" s="3156">
        <f>G$504*Q505</f>
        <v>28.33098952362127</v>
      </c>
      <c r="Q505" s="3156">
        <f>1-(O$465*LN(C505)+P$465)</f>
        <v>0.80801396145800408</v>
      </c>
      <c r="R505" s="3074">
        <f t="shared" si="132"/>
        <v>1</v>
      </c>
      <c r="S505" s="3073">
        <f t="shared" si="133"/>
        <v>13.531218876953442</v>
      </c>
      <c r="T505" s="3073">
        <f>8*M505</f>
        <v>16</v>
      </c>
      <c r="V505" s="3169">
        <v>0.61</v>
      </c>
    </row>
    <row r="506" spans="1:22" s="693" customFormat="1" hidden="1" outlineLevel="2" x14ac:dyDescent="0.15">
      <c r="A506" s="630" t="str">
        <f t="shared" si="144"/>
        <v>AZI G2 (4vc) 4 core (2000 MHz) 56 GB</v>
      </c>
      <c r="B506" s="2036" t="s">
        <v>1656</v>
      </c>
      <c r="C506" s="2024">
        <f t="shared" si="128"/>
        <v>4</v>
      </c>
      <c r="D506" s="2561">
        <v>1</v>
      </c>
      <c r="E506" s="639">
        <f t="shared" ref="E506:E509" si="156">E505</f>
        <v>2000</v>
      </c>
      <c r="F506" s="2011">
        <f t="shared" si="129"/>
        <v>106.03291618897015</v>
      </c>
      <c r="G506" s="2015">
        <f t="shared" si="139"/>
        <v>26.508229047242537</v>
      </c>
      <c r="H506" s="2603">
        <f t="shared" si="140"/>
        <v>4</v>
      </c>
      <c r="I506" s="647" t="s">
        <v>335</v>
      </c>
      <c r="J506" s="2643">
        <v>56</v>
      </c>
      <c r="K506" s="2899"/>
      <c r="L506" s="2900">
        <f t="shared" ref="L506:L509" si="157">L$503*V506*3</f>
        <v>32061.599999999999</v>
      </c>
      <c r="M506" s="3054" t="str">
        <f t="shared" si="145"/>
        <v>4</v>
      </c>
      <c r="N506" s="3103">
        <v>2</v>
      </c>
      <c r="O506" s="3100">
        <f>M506/1</f>
        <v>4</v>
      </c>
      <c r="P506" s="3156">
        <f t="shared" ref="P506:P509" si="158">G$504*Q506</f>
        <v>26.508229047242537</v>
      </c>
      <c r="Q506" s="3156">
        <f t="shared" ref="Q506:Q509" si="159">1-(O$465*LN(C506)+P$465)</f>
        <v>0.75602792291600818</v>
      </c>
      <c r="R506" s="3074">
        <f t="shared" si="132"/>
        <v>1</v>
      </c>
      <c r="S506" s="3073">
        <f t="shared" si="133"/>
        <v>25.321293418261529</v>
      </c>
      <c r="T506" s="3073">
        <f>8*M506</f>
        <v>32</v>
      </c>
      <c r="V506" s="3169">
        <v>1.22</v>
      </c>
    </row>
    <row r="507" spans="1:22" s="693" customFormat="1" hidden="1" outlineLevel="2" x14ac:dyDescent="0.15">
      <c r="A507" s="630" t="str">
        <f t="shared" si="144"/>
        <v>AZI G3 (8vc) 8 core (2000 MHz) 112 GB</v>
      </c>
      <c r="B507" s="2036" t="s">
        <v>1657</v>
      </c>
      <c r="C507" s="2024">
        <f t="shared" si="128"/>
        <v>8</v>
      </c>
      <c r="D507" s="2561">
        <v>1</v>
      </c>
      <c r="E507" s="639">
        <f t="shared" si="156"/>
        <v>2000</v>
      </c>
      <c r="F507" s="2011">
        <f t="shared" si="129"/>
        <v>197.48374856691044</v>
      </c>
      <c r="G507" s="2015">
        <f t="shared" si="139"/>
        <v>24.685468570863804</v>
      </c>
      <c r="H507" s="2603">
        <f t="shared" si="140"/>
        <v>8</v>
      </c>
      <c r="I507" s="647" t="s">
        <v>335</v>
      </c>
      <c r="J507" s="2643">
        <v>112</v>
      </c>
      <c r="K507" s="2899"/>
      <c r="L507" s="2900">
        <f t="shared" si="157"/>
        <v>64123.199999999997</v>
      </c>
      <c r="M507" s="3054" t="str">
        <f t="shared" si="145"/>
        <v>8</v>
      </c>
      <c r="N507" s="3103">
        <v>2</v>
      </c>
      <c r="O507" s="3100">
        <f>M507/1</f>
        <v>8</v>
      </c>
      <c r="P507" s="3156">
        <f t="shared" si="158"/>
        <v>24.685468570863804</v>
      </c>
      <c r="Q507" s="3156">
        <f t="shared" si="159"/>
        <v>0.70404188437401227</v>
      </c>
      <c r="R507" s="3074">
        <f t="shared" si="132"/>
        <v>1</v>
      </c>
      <c r="S507" s="3073">
        <f t="shared" si="133"/>
        <v>47.160298165232341</v>
      </c>
      <c r="T507" s="3073">
        <f>8*M507</f>
        <v>64</v>
      </c>
      <c r="V507" s="3169">
        <v>2.44</v>
      </c>
    </row>
    <row r="508" spans="1:22" s="693" customFormat="1" hidden="1" outlineLevel="2" x14ac:dyDescent="0.15">
      <c r="A508" s="630" t="str">
        <f t="shared" si="144"/>
        <v>AZI G4 (16vc) 16 core (2000 MHz) 224 GB</v>
      </c>
      <c r="B508" s="2036" t="s">
        <v>1658</v>
      </c>
      <c r="C508" s="2024">
        <f t="shared" si="128"/>
        <v>16</v>
      </c>
      <c r="D508" s="2561">
        <v>1</v>
      </c>
      <c r="E508" s="639">
        <f t="shared" si="156"/>
        <v>2000</v>
      </c>
      <c r="F508" s="2011">
        <f t="shared" si="129"/>
        <v>365.80332951176121</v>
      </c>
      <c r="G508" s="2015">
        <f t="shared" si="139"/>
        <v>22.862708094485075</v>
      </c>
      <c r="H508" s="2603">
        <f t="shared" si="140"/>
        <v>16</v>
      </c>
      <c r="I508" s="647" t="s">
        <v>335</v>
      </c>
      <c r="J508" s="2643">
        <v>224</v>
      </c>
      <c r="K508" s="2899"/>
      <c r="L508" s="2900">
        <f t="shared" si="157"/>
        <v>128246.39999999999</v>
      </c>
      <c r="M508" s="3054" t="str">
        <f t="shared" si="145"/>
        <v>16</v>
      </c>
      <c r="N508" s="3103">
        <v>2</v>
      </c>
      <c r="O508" s="3100">
        <f>M508/1</f>
        <v>16</v>
      </c>
      <c r="P508" s="3156">
        <f t="shared" si="158"/>
        <v>22.862708094485075</v>
      </c>
      <c r="Q508" s="3156">
        <f t="shared" si="159"/>
        <v>0.65205584583201637</v>
      </c>
      <c r="R508" s="3074">
        <f t="shared" si="132"/>
        <v>1</v>
      </c>
      <c r="S508" s="3073">
        <f t="shared" si="133"/>
        <v>87.356018987883274</v>
      </c>
      <c r="T508" s="3073">
        <f>8*M508</f>
        <v>128</v>
      </c>
      <c r="V508" s="3169">
        <v>4.88</v>
      </c>
    </row>
    <row r="509" spans="1:22" s="693" customFormat="1" hidden="1" outlineLevel="2" x14ac:dyDescent="0.15">
      <c r="A509" s="630" t="str">
        <f t="shared" si="144"/>
        <v>AZI G5 (32vc) 32 core (2000 MHz) 448 GB</v>
      </c>
      <c r="B509" s="2036" t="s">
        <v>1659</v>
      </c>
      <c r="C509" s="2024">
        <f t="shared" si="128"/>
        <v>32</v>
      </c>
      <c r="D509" s="2561">
        <v>1</v>
      </c>
      <c r="E509" s="639">
        <f t="shared" si="156"/>
        <v>2000</v>
      </c>
      <c r="F509" s="2011">
        <f t="shared" si="129"/>
        <v>673.27832377940308</v>
      </c>
      <c r="G509" s="2015">
        <f t="shared" si="139"/>
        <v>21.039947618106346</v>
      </c>
      <c r="H509" s="2603">
        <f t="shared" si="140"/>
        <v>32</v>
      </c>
      <c r="I509" s="647" t="s">
        <v>335</v>
      </c>
      <c r="J509" s="2643">
        <v>448</v>
      </c>
      <c r="K509" s="2899"/>
      <c r="L509" s="2900">
        <f t="shared" si="157"/>
        <v>230738.39999999997</v>
      </c>
      <c r="M509" s="3054" t="str">
        <f t="shared" si="145"/>
        <v>32</v>
      </c>
      <c r="N509" s="3103">
        <v>2</v>
      </c>
      <c r="O509" s="3100">
        <f>M509/1</f>
        <v>32</v>
      </c>
      <c r="P509" s="3156">
        <f t="shared" si="158"/>
        <v>21.039947618106346</v>
      </c>
      <c r="Q509" s="3156">
        <f t="shared" si="159"/>
        <v>0.60006980729002057</v>
      </c>
      <c r="R509" s="3074">
        <f t="shared" si="132"/>
        <v>1</v>
      </c>
      <c r="S509" s="3073">
        <f t="shared" si="133"/>
        <v>160.78288329060373</v>
      </c>
      <c r="T509" s="3073">
        <f>8*M509</f>
        <v>256</v>
      </c>
      <c r="V509" s="3169">
        <v>8.7799999999999994</v>
      </c>
    </row>
    <row r="510" spans="1:22" hidden="1" outlineLevel="1" collapsed="1" x14ac:dyDescent="0.15">
      <c r="A510" s="3057" t="s">
        <v>1806</v>
      </c>
      <c r="B510" s="3102" t="str">
        <f>B$466</f>
        <v>AZI Platform</v>
      </c>
      <c r="C510" s="3102" t="str">
        <f t="shared" ref="C510:J510" si="160">C$466</f>
        <v>Server Core</v>
      </c>
      <c r="D510" s="3102" t="str">
        <f t="shared" si="160"/>
        <v>vCore/core</v>
      </c>
      <c r="E510" s="3102" t="str">
        <f t="shared" si="160"/>
        <v>MHz</v>
      </c>
      <c r="F510" s="3102" t="str">
        <f t="shared" si="160"/>
        <v>Rate2006</v>
      </c>
      <c r="G510" s="3102" t="str">
        <f t="shared" si="160"/>
        <v>Per Core</v>
      </c>
      <c r="H510" s="3102" t="str">
        <f t="shared" si="160"/>
        <v>Core</v>
      </c>
      <c r="I510" s="3102" t="str">
        <f t="shared" si="160"/>
        <v>Vendor</v>
      </c>
      <c r="J510" s="3102" t="str">
        <f t="shared" si="160"/>
        <v>vRAM</v>
      </c>
      <c r="K510" s="3102"/>
      <c r="L510" s="3171">
        <v>2000</v>
      </c>
      <c r="M510" s="3102" t="str">
        <f>M$466</f>
        <v>vCore</v>
      </c>
      <c r="N510" s="3102" t="str">
        <f>N$466</f>
        <v>Threds/core</v>
      </c>
      <c r="O510" s="3102" t="str">
        <f>O$466</f>
        <v>HostCore</v>
      </c>
      <c r="P510" s="3102" t="str">
        <f>P$466</f>
        <v>Rate2006</v>
      </c>
      <c r="Q510" s="3102"/>
      <c r="R510" s="3074"/>
      <c r="S510" s="3073"/>
      <c r="V510" s="3167"/>
    </row>
    <row r="511" spans="1:22" hidden="1" outlineLevel="2" x14ac:dyDescent="0.15">
      <c r="A511" s="3136" t="str">
        <f>CONCATENATE(B511," ",C511," core (",H511," chip) ",E511," MHz")&amp;IF(ISBLANK(F511),"**","")</f>
        <v>Xeon E5-2698Bv3 32 core (2 chip) 2000 MHz</v>
      </c>
      <c r="B511" s="3157" t="str">
        <f>B504</f>
        <v>Xeon E5-2698Bv3</v>
      </c>
      <c r="C511" s="2024">
        <f>C504</f>
        <v>32</v>
      </c>
      <c r="D511" s="3158">
        <f>D504</f>
        <v>16</v>
      </c>
      <c r="E511" s="639">
        <f>E504</f>
        <v>2000</v>
      </c>
      <c r="F511" s="2192">
        <f>F504</f>
        <v>1122</v>
      </c>
      <c r="G511" s="2015">
        <f>F511/C511</f>
        <v>35.0625</v>
      </c>
      <c r="H511" s="2603">
        <f>C511/D511</f>
        <v>2</v>
      </c>
      <c r="I511" s="646" t="s">
        <v>335</v>
      </c>
      <c r="J511" s="2048">
        <v>120</v>
      </c>
      <c r="K511" s="2647"/>
      <c r="L511" s="1149"/>
      <c r="M511" s="1149"/>
      <c r="N511" s="1149"/>
      <c r="O511" s="1149"/>
      <c r="P511" s="2196"/>
      <c r="Q511" s="2196"/>
      <c r="R511" s="2196"/>
      <c r="S511" s="2196"/>
      <c r="T511" s="1149"/>
      <c r="U511" s="1378" t="s">
        <v>1808</v>
      </c>
      <c r="V511" s="3168"/>
    </row>
    <row r="512" spans="1:22" s="693" customFormat="1" hidden="1" outlineLevel="2" x14ac:dyDescent="0.15">
      <c r="A512" s="630" t="str">
        <f t="shared" ref="A512:A520" si="161">CONCATENATE(B512," ",C512," core (",E512," MHz) ",J512," GB")</f>
        <v>AZI NC6 (6vc) 6 core (2000 MHz) 56 GB</v>
      </c>
      <c r="B512" s="2036" t="s">
        <v>1660</v>
      </c>
      <c r="C512" s="2024">
        <f t="shared" si="128"/>
        <v>6</v>
      </c>
      <c r="D512" s="2561">
        <f t="shared" ref="D512:D520" si="162">N512</f>
        <v>2</v>
      </c>
      <c r="E512" s="639">
        <f>E511</f>
        <v>2000</v>
      </c>
      <c r="F512" s="2011">
        <f t="shared" si="129"/>
        <v>152.65189512458608</v>
      </c>
      <c r="G512" s="2015">
        <f>IF(F512=0,"",F512/C512)</f>
        <v>25.441982520764345</v>
      </c>
      <c r="H512" s="2603">
        <f>IF(C512=0,"",C512/D512)</f>
        <v>3</v>
      </c>
      <c r="I512" s="647" t="s">
        <v>335</v>
      </c>
      <c r="J512" s="2643">
        <v>56</v>
      </c>
      <c r="K512" s="2899"/>
      <c r="L512" s="2900">
        <f>L$510*V512*3</f>
        <v>6504</v>
      </c>
      <c r="M512" s="3054" t="str">
        <f t="shared" ref="M512:M520" si="163">MID(B512, FIND("(",B512,1)+1, FIND(")",B512,1)- FIND("(",B512,1)-3)</f>
        <v>6</v>
      </c>
      <c r="N512" s="3103">
        <v>2</v>
      </c>
      <c r="O512" s="3100">
        <f>M512/1</f>
        <v>6</v>
      </c>
      <c r="P512" s="3156">
        <f>G$511*Q512</f>
        <v>25.441982520764348</v>
      </c>
      <c r="Q512" s="3156">
        <f>1-(O$465*LN(C512)+P$465)</f>
        <v>0.72561803980789585</v>
      </c>
      <c r="R512" s="3074">
        <f t="shared" si="132"/>
        <v>1</v>
      </c>
      <c r="S512" s="3073">
        <f>R512*4*0.8*F512/13.4</f>
        <v>36.454183910348917</v>
      </c>
      <c r="T512" s="3073">
        <f t="shared" ref="T512:T520" si="164">8*M512</f>
        <v>48</v>
      </c>
      <c r="U512" s="3154">
        <v>1</v>
      </c>
      <c r="V512" s="3169">
        <v>1.0840000000000001</v>
      </c>
    </row>
    <row r="513" spans="1:22" s="693" customFormat="1" hidden="1" outlineLevel="2" x14ac:dyDescent="0.15">
      <c r="A513" s="630" t="str">
        <f t="shared" si="161"/>
        <v>AZI NC12 (12vc) 12 core (2000 MHz) 112 GB</v>
      </c>
      <c r="B513" s="2036" t="s">
        <v>1661</v>
      </c>
      <c r="C513" s="2024">
        <f t="shared" si="128"/>
        <v>12</v>
      </c>
      <c r="D513" s="2561">
        <f t="shared" si="162"/>
        <v>2</v>
      </c>
      <c r="E513" s="639">
        <f t="shared" ref="E513:E515" si="165">E512</f>
        <v>2000</v>
      </c>
      <c r="F513" s="2011">
        <f t="shared" si="129"/>
        <v>283.43066453262736</v>
      </c>
      <c r="G513" s="2015">
        <f>IF(F513=0,"",F513/C513)</f>
        <v>23.619222044385612</v>
      </c>
      <c r="H513" s="2603">
        <f>IF(C513=0,"",C513/D513)</f>
        <v>6</v>
      </c>
      <c r="I513" s="647" t="s">
        <v>335</v>
      </c>
      <c r="J513" s="2643">
        <v>112</v>
      </c>
      <c r="K513" s="2899"/>
      <c r="L513" s="2900">
        <f t="shared" ref="L513:L515" si="166">L$510*V513*3</f>
        <v>13008</v>
      </c>
      <c r="M513" s="3054" t="str">
        <f t="shared" si="163"/>
        <v>12</v>
      </c>
      <c r="N513" s="3103">
        <v>2</v>
      </c>
      <c r="O513" s="3100">
        <f>M513/1</f>
        <v>12</v>
      </c>
      <c r="P513" s="3156">
        <f t="shared" ref="P513:P515" si="167">G$511*Q513</f>
        <v>23.619222044385616</v>
      </c>
      <c r="Q513" s="3156">
        <f t="shared" ref="Q513:Q515" si="168">1-(O$465*LN(C513)+P$465)</f>
        <v>0.67363200126589995</v>
      </c>
      <c r="R513" s="3074">
        <f t="shared" si="132"/>
        <v>1</v>
      </c>
      <c r="S513" s="3073">
        <f t="shared" si="133"/>
        <v>67.684934813761757</v>
      </c>
      <c r="T513" s="3073">
        <f t="shared" si="164"/>
        <v>96</v>
      </c>
      <c r="U513" s="3154">
        <v>2</v>
      </c>
      <c r="V513" s="3169">
        <v>2.1680000000000001</v>
      </c>
    </row>
    <row r="514" spans="1:22" s="693" customFormat="1" hidden="1" outlineLevel="2" x14ac:dyDescent="0.15">
      <c r="A514" s="630" t="str">
        <f t="shared" si="161"/>
        <v>AZI NC24 (24vc) 24 core (2000 MHz) 224 GB</v>
      </c>
      <c r="B514" s="2036" t="s">
        <v>1662</v>
      </c>
      <c r="C514" s="2024">
        <f t="shared" si="128"/>
        <v>24</v>
      </c>
      <c r="D514" s="2561">
        <f t="shared" si="162"/>
        <v>2</v>
      </c>
      <c r="E514" s="639">
        <f t="shared" si="165"/>
        <v>2000</v>
      </c>
      <c r="F514" s="2011">
        <f t="shared" si="129"/>
        <v>523.11507763216525</v>
      </c>
      <c r="G514" s="2015">
        <f>IF(F514=0,"",F514/C514)</f>
        <v>21.796461568006887</v>
      </c>
      <c r="H514" s="2603">
        <f>IF(C514=0,"",C514/D514)</f>
        <v>12</v>
      </c>
      <c r="I514" s="647" t="s">
        <v>335</v>
      </c>
      <c r="J514" s="2643">
        <v>224</v>
      </c>
      <c r="K514" s="2899"/>
      <c r="L514" s="2900">
        <f t="shared" si="166"/>
        <v>26016</v>
      </c>
      <c r="M514" s="3054" t="str">
        <f t="shared" si="163"/>
        <v>24</v>
      </c>
      <c r="N514" s="3103">
        <v>2</v>
      </c>
      <c r="O514" s="3100">
        <f>M514/1</f>
        <v>24</v>
      </c>
      <c r="P514" s="3156">
        <f t="shared" si="167"/>
        <v>21.796461568006887</v>
      </c>
      <c r="Q514" s="3156">
        <f t="shared" si="168"/>
        <v>0.62164596272390404</v>
      </c>
      <c r="R514" s="3074">
        <f t="shared" si="132"/>
        <v>1</v>
      </c>
      <c r="S514" s="3073">
        <f t="shared" si="133"/>
        <v>124.9230036136514</v>
      </c>
      <c r="T514" s="3073">
        <f t="shared" si="164"/>
        <v>192</v>
      </c>
      <c r="U514" s="3154">
        <v>4</v>
      </c>
      <c r="V514" s="3169">
        <v>4.3360000000000003</v>
      </c>
    </row>
    <row r="515" spans="1:22" s="693" customFormat="1" hidden="1" outlineLevel="2" x14ac:dyDescent="0.15">
      <c r="A515" s="630" t="str">
        <f t="shared" si="161"/>
        <v>AZI NC24r (24vc) 24 core (2000 MHz) 224 GB</v>
      </c>
      <c r="B515" s="2036" t="s">
        <v>1663</v>
      </c>
      <c r="C515" s="2024">
        <f t="shared" si="128"/>
        <v>24</v>
      </c>
      <c r="D515" s="2561">
        <f t="shared" si="162"/>
        <v>2</v>
      </c>
      <c r="E515" s="639">
        <f t="shared" si="165"/>
        <v>2000</v>
      </c>
      <c r="F515" s="2011">
        <f t="shared" si="129"/>
        <v>523.11507763216525</v>
      </c>
      <c r="G515" s="2015">
        <f>IF(F515=0,"",F515/C515)</f>
        <v>21.796461568006887</v>
      </c>
      <c r="H515" s="2603">
        <f>IF(C515=0,"",C515/D515)</f>
        <v>12</v>
      </c>
      <c r="I515" s="647" t="s">
        <v>335</v>
      </c>
      <c r="J515" s="2643">
        <v>224</v>
      </c>
      <c r="K515" s="2899"/>
      <c r="L515" s="2900">
        <f t="shared" si="166"/>
        <v>28620</v>
      </c>
      <c r="M515" s="3054" t="str">
        <f t="shared" si="163"/>
        <v>24</v>
      </c>
      <c r="N515" s="3103">
        <v>2</v>
      </c>
      <c r="O515" s="3100">
        <f>M515/1</f>
        <v>24</v>
      </c>
      <c r="P515" s="3156">
        <f t="shared" si="167"/>
        <v>21.796461568006887</v>
      </c>
      <c r="Q515" s="3156">
        <f t="shared" si="168"/>
        <v>0.62164596272390404</v>
      </c>
      <c r="R515" s="3074">
        <f t="shared" si="132"/>
        <v>1</v>
      </c>
      <c r="S515" s="3073">
        <f t="shared" si="133"/>
        <v>124.9230036136514</v>
      </c>
      <c r="T515" s="3073">
        <f t="shared" si="164"/>
        <v>192</v>
      </c>
      <c r="V515" s="3169">
        <v>4.7699999999999996</v>
      </c>
    </row>
    <row r="516" spans="1:22" hidden="1" outlineLevel="1" collapsed="1" x14ac:dyDescent="0.15">
      <c r="A516" s="3057" t="s">
        <v>1805</v>
      </c>
      <c r="B516" s="3102" t="str">
        <f>B$466</f>
        <v>AZI Platform</v>
      </c>
      <c r="C516" s="3102" t="str">
        <f t="shared" ref="C516:J516" si="169">C$466</f>
        <v>Server Core</v>
      </c>
      <c r="D516" s="3102" t="str">
        <f t="shared" si="169"/>
        <v>vCore/core</v>
      </c>
      <c r="E516" s="3102" t="str">
        <f t="shared" si="169"/>
        <v>MHz</v>
      </c>
      <c r="F516" s="3102" t="str">
        <f t="shared" si="169"/>
        <v>Rate2006</v>
      </c>
      <c r="G516" s="3102" t="str">
        <f t="shared" si="169"/>
        <v>Per Core</v>
      </c>
      <c r="H516" s="3102" t="str">
        <f t="shared" si="169"/>
        <v>Core</v>
      </c>
      <c r="I516" s="3102" t="str">
        <f t="shared" si="169"/>
        <v>Vendor</v>
      </c>
      <c r="J516" s="3102" t="str">
        <f t="shared" si="169"/>
        <v>vRAM</v>
      </c>
      <c r="K516" s="3102"/>
      <c r="L516" s="3171">
        <v>2000</v>
      </c>
      <c r="M516" s="3102" t="str">
        <f>M$466</f>
        <v>vCore</v>
      </c>
      <c r="N516" s="3102" t="str">
        <f>N$466</f>
        <v>Threds/core</v>
      </c>
      <c r="O516" s="3102" t="str">
        <f>O$466</f>
        <v>HostCore</v>
      </c>
      <c r="P516" s="3102" t="str">
        <f>P$466</f>
        <v>Rate2006</v>
      </c>
      <c r="Q516" s="3102"/>
      <c r="R516" s="3074"/>
      <c r="S516" s="3073"/>
      <c r="V516" s="3167"/>
    </row>
    <row r="517" spans="1:22" hidden="1" outlineLevel="2" x14ac:dyDescent="0.15">
      <c r="A517" s="3136" t="str">
        <f>CONCATENATE(B517," ",C517," core (",H517," chip) ",E517," MHz")&amp;IF(ISBLANK(F517),"**","")</f>
        <v>Xeon E5-2698Bv3 32 core (2 chip) 2000 MHz</v>
      </c>
      <c r="B517" s="661" t="str">
        <f>B511</f>
        <v>Xeon E5-2698Bv3</v>
      </c>
      <c r="C517" s="2024">
        <v>32</v>
      </c>
      <c r="D517" s="2561">
        <f>D511</f>
        <v>16</v>
      </c>
      <c r="E517" s="639">
        <f>E511</f>
        <v>2000</v>
      </c>
      <c r="F517" s="2192">
        <f>F511</f>
        <v>1122</v>
      </c>
      <c r="G517" s="2015">
        <f>F517/C517</f>
        <v>35.0625</v>
      </c>
      <c r="H517" s="2603">
        <f>C517/D517</f>
        <v>2</v>
      </c>
      <c r="I517" s="646" t="s">
        <v>335</v>
      </c>
      <c r="J517" s="2048">
        <v>120</v>
      </c>
      <c r="K517" s="2647"/>
      <c r="L517" s="1149"/>
      <c r="M517" s="1149"/>
      <c r="N517" s="1149"/>
      <c r="O517" s="1149"/>
      <c r="P517" s="2196"/>
      <c r="Q517" s="2196"/>
      <c r="R517" s="2196"/>
      <c r="S517" s="2196"/>
      <c r="T517" s="1149"/>
      <c r="U517" s="1378" t="s">
        <v>1808</v>
      </c>
      <c r="V517" s="3168"/>
    </row>
    <row r="518" spans="1:22" s="693" customFormat="1" hidden="1" outlineLevel="2" x14ac:dyDescent="0.15">
      <c r="A518" s="630" t="str">
        <f t="shared" si="161"/>
        <v>AZI NV6 (6vc) 6 core (2000 MHz) 56 GB</v>
      </c>
      <c r="B518" s="2036" t="s">
        <v>1664</v>
      </c>
      <c r="C518" s="2024">
        <f t="shared" si="128"/>
        <v>6</v>
      </c>
      <c r="D518" s="2561">
        <f t="shared" si="162"/>
        <v>2</v>
      </c>
      <c r="E518" s="639">
        <f>E517</f>
        <v>2000</v>
      </c>
      <c r="F518" s="2011">
        <f>IF(N518=1,O518*P518/1.3,O518*P518)</f>
        <v>152.65189512458608</v>
      </c>
      <c r="G518" s="2015">
        <f>IF(F518=0,"",F518/C518)</f>
        <v>25.441982520764345</v>
      </c>
      <c r="H518" s="2603">
        <f>IF(C518=0,"",C518/D518)</f>
        <v>3</v>
      </c>
      <c r="I518" s="647" t="s">
        <v>335</v>
      </c>
      <c r="J518" s="2643">
        <v>56</v>
      </c>
      <c r="K518" s="2899"/>
      <c r="L518" s="2900">
        <f>L$516*V518*3</f>
        <v>8640</v>
      </c>
      <c r="M518" s="3054" t="str">
        <f t="shared" si="163"/>
        <v>6</v>
      </c>
      <c r="N518" s="3103">
        <v>2</v>
      </c>
      <c r="O518" s="3100">
        <f>M518/1</f>
        <v>6</v>
      </c>
      <c r="P518" s="3156">
        <f>G$517*Q518</f>
        <v>25.441982520764348</v>
      </c>
      <c r="Q518" s="3156">
        <f>1-(O$465*LN(C518)+P$465)</f>
        <v>0.72561803980789585</v>
      </c>
      <c r="R518" s="3074">
        <f t="shared" si="132"/>
        <v>1</v>
      </c>
      <c r="S518" s="3073">
        <f t="shared" si="133"/>
        <v>36.454183910348917</v>
      </c>
      <c r="T518" s="3073">
        <f t="shared" si="164"/>
        <v>48</v>
      </c>
      <c r="U518" s="3154">
        <v>1</v>
      </c>
      <c r="V518" s="3169">
        <v>1.44</v>
      </c>
    </row>
    <row r="519" spans="1:22" s="693" customFormat="1" hidden="1" outlineLevel="2" x14ac:dyDescent="0.15">
      <c r="A519" s="630" t="str">
        <f t="shared" si="161"/>
        <v>AZI NV12 (12vc) 12 core (2000 MHz) 112 GB</v>
      </c>
      <c r="B519" s="2036" t="s">
        <v>1665</v>
      </c>
      <c r="C519" s="2024">
        <f t="shared" si="128"/>
        <v>12</v>
      </c>
      <c r="D519" s="2561">
        <f t="shared" si="162"/>
        <v>2</v>
      </c>
      <c r="E519" s="639">
        <f t="shared" ref="E519:E520" si="170">E518</f>
        <v>2000</v>
      </c>
      <c r="F519" s="2011">
        <f t="shared" si="129"/>
        <v>283.43066453262736</v>
      </c>
      <c r="G519" s="2015">
        <f>IF(F519=0,"",F519/C519)</f>
        <v>23.619222044385612</v>
      </c>
      <c r="H519" s="2603">
        <f>IF(C519=0,"",C519/D519)</f>
        <v>6</v>
      </c>
      <c r="I519" s="647" t="s">
        <v>335</v>
      </c>
      <c r="J519" s="2643">
        <v>112</v>
      </c>
      <c r="K519" s="2899"/>
      <c r="L519" s="2900">
        <f t="shared" ref="L519:L520" si="171">L$516*V519*3</f>
        <v>17280</v>
      </c>
      <c r="M519" s="3054" t="str">
        <f t="shared" si="163"/>
        <v>12</v>
      </c>
      <c r="N519" s="3103">
        <v>2</v>
      </c>
      <c r="O519" s="3100">
        <f>M519/1</f>
        <v>12</v>
      </c>
      <c r="P519" s="3156">
        <f t="shared" ref="P519:P520" si="172">G$517*Q519</f>
        <v>23.619222044385616</v>
      </c>
      <c r="Q519" s="3156">
        <f t="shared" ref="Q519:Q520" si="173">1-(O$465*LN(C519)+P$465)</f>
        <v>0.67363200126589995</v>
      </c>
      <c r="R519" s="3074">
        <f t="shared" si="132"/>
        <v>1</v>
      </c>
      <c r="S519" s="3073">
        <f t="shared" si="133"/>
        <v>67.684934813761757</v>
      </c>
      <c r="T519" s="3073">
        <f t="shared" si="164"/>
        <v>96</v>
      </c>
      <c r="U519" s="3154">
        <v>2</v>
      </c>
      <c r="V519" s="3169">
        <v>2.88</v>
      </c>
    </row>
    <row r="520" spans="1:22" s="693" customFormat="1" hidden="1" outlineLevel="2" x14ac:dyDescent="0.15">
      <c r="A520" s="630" t="str">
        <f t="shared" si="161"/>
        <v>AZI NV24 (24vc) 24 core (2000 MHz) 224 GB</v>
      </c>
      <c r="B520" s="2036" t="s">
        <v>1666</v>
      </c>
      <c r="C520" s="2024">
        <f t="shared" si="128"/>
        <v>24</v>
      </c>
      <c r="D520" s="2561">
        <f t="shared" si="162"/>
        <v>2</v>
      </c>
      <c r="E520" s="639">
        <f t="shared" si="170"/>
        <v>2000</v>
      </c>
      <c r="F520" s="2011">
        <f t="shared" si="129"/>
        <v>523.11507763216525</v>
      </c>
      <c r="G520" s="2015">
        <f>IF(F520=0,"",F520/C520)</f>
        <v>21.796461568006887</v>
      </c>
      <c r="H520" s="2603">
        <f>IF(C520=0,"",C520/D520)</f>
        <v>12</v>
      </c>
      <c r="I520" s="647" t="s">
        <v>335</v>
      </c>
      <c r="J520" s="2643">
        <v>224</v>
      </c>
      <c r="K520" s="2899"/>
      <c r="L520" s="2900">
        <f t="shared" si="171"/>
        <v>34620</v>
      </c>
      <c r="M520" s="3054" t="str">
        <f t="shared" si="163"/>
        <v>24</v>
      </c>
      <c r="N520" s="3103">
        <v>2</v>
      </c>
      <c r="O520" s="3100">
        <f>M520/1</f>
        <v>24</v>
      </c>
      <c r="P520" s="3156">
        <f t="shared" si="172"/>
        <v>21.796461568006887</v>
      </c>
      <c r="Q520" s="3156">
        <f t="shared" si="173"/>
        <v>0.62164596272390404</v>
      </c>
      <c r="R520" s="3074">
        <f t="shared" si="132"/>
        <v>1</v>
      </c>
      <c r="S520" s="3073">
        <f t="shared" si="133"/>
        <v>124.9230036136514</v>
      </c>
      <c r="T520" s="3073">
        <f t="shared" si="164"/>
        <v>192</v>
      </c>
      <c r="U520" s="3154">
        <v>4</v>
      </c>
      <c r="V520" s="3169">
        <v>5.77</v>
      </c>
    </row>
    <row r="521" spans="1:22" hidden="1" outlineLevel="1" collapsed="1" x14ac:dyDescent="0.15">
      <c r="A521" s="3057" t="s">
        <v>1775</v>
      </c>
      <c r="B521" s="3102" t="str">
        <f>B$466</f>
        <v>AZI Platform</v>
      </c>
      <c r="C521" s="3102" t="str">
        <f t="shared" ref="C521:J521" si="174">C$466</f>
        <v>Server Core</v>
      </c>
      <c r="D521" s="3102" t="str">
        <f t="shared" si="174"/>
        <v>vCore/core</v>
      </c>
      <c r="E521" s="3102" t="str">
        <f t="shared" si="174"/>
        <v>MHz</v>
      </c>
      <c r="F521" s="3102" t="str">
        <f t="shared" si="174"/>
        <v>Rate2006</v>
      </c>
      <c r="G521" s="3102" t="str">
        <f t="shared" si="174"/>
        <v>Per Core</v>
      </c>
      <c r="H521" s="3102" t="str">
        <f t="shared" si="174"/>
        <v>Core</v>
      </c>
      <c r="I521" s="3102" t="str">
        <f t="shared" si="174"/>
        <v>Vendor</v>
      </c>
      <c r="J521" s="3102" t="str">
        <f t="shared" si="174"/>
        <v>vRAM</v>
      </c>
      <c r="K521" s="3102"/>
      <c r="L521" s="3171">
        <v>8760</v>
      </c>
      <c r="M521" s="3102" t="str">
        <f>M$466</f>
        <v>vCore</v>
      </c>
      <c r="N521" s="3102" t="str">
        <f>N$466</f>
        <v>Threds/core</v>
      </c>
      <c r="O521" s="3102" t="str">
        <f>O$466</f>
        <v>HostCore</v>
      </c>
      <c r="P521" s="3102" t="str">
        <f>P$466</f>
        <v>Rate2006</v>
      </c>
      <c r="Q521" s="3102"/>
      <c r="R521" s="3074"/>
      <c r="S521" s="3073"/>
      <c r="V521" s="3167"/>
    </row>
    <row r="522" spans="1:22" hidden="1" outlineLevel="2" x14ac:dyDescent="0.15">
      <c r="A522" s="3136" t="str">
        <f>CONCATENATE(B522," ",C522," core (",H522," chip) ",E522," MHz")&amp;IF(ISBLANK(F522),"**","")</f>
        <v>Xeon E5-2667v3 16 core (1 chip) 3200 MHz</v>
      </c>
      <c r="B522" s="661" t="s">
        <v>1034</v>
      </c>
      <c r="C522" s="2024">
        <v>16</v>
      </c>
      <c r="D522" s="2561">
        <v>16</v>
      </c>
      <c r="E522" s="639">
        <v>3200</v>
      </c>
      <c r="F522" s="2192">
        <v>833</v>
      </c>
      <c r="G522" s="2015">
        <f>F522/C522</f>
        <v>52.0625</v>
      </c>
      <c r="H522" s="2603">
        <f>C522/D522</f>
        <v>1</v>
      </c>
      <c r="I522" s="646" t="s">
        <v>335</v>
      </c>
      <c r="J522" s="2048">
        <v>120</v>
      </c>
      <c r="K522" s="2647"/>
      <c r="L522" s="1149"/>
      <c r="M522" s="1149"/>
      <c r="N522" s="1149"/>
      <c r="O522" s="1149"/>
      <c r="P522" s="2196"/>
      <c r="Q522" s="2196"/>
      <c r="R522" s="2196"/>
      <c r="S522" s="2196"/>
      <c r="T522" s="1149"/>
      <c r="U522" s="1378" t="s">
        <v>1808</v>
      </c>
    </row>
    <row r="523" spans="1:22" s="693" customFormat="1" hidden="1" outlineLevel="2" x14ac:dyDescent="0.15">
      <c r="A523" s="630" t="str">
        <f t="shared" ref="A523:A528" si="175">CONCATENATE(B523," ",C523," core (",E523," MHz) ",J523," GB")</f>
        <v>AZI H8 (8vc) 8 core (2400 MHz) 56 GB</v>
      </c>
      <c r="B523" s="2036" t="s">
        <v>1667</v>
      </c>
      <c r="C523" s="2024">
        <f t="shared" si="128"/>
        <v>8</v>
      </c>
      <c r="D523" s="2561">
        <f t="shared" ref="D523:D528" si="176">N523</f>
        <v>2</v>
      </c>
      <c r="E523" s="639">
        <v>2400</v>
      </c>
      <c r="F523" s="2011">
        <f>IF(N523=1,O523*P523/1.3,O523*P523)</f>
        <v>293.23344484177613</v>
      </c>
      <c r="G523" s="2015">
        <f t="shared" ref="G523:G528" si="177">IF(F523=0,"",F523/C523)</f>
        <v>36.654180605222017</v>
      </c>
      <c r="H523" s="2603">
        <f t="shared" ref="H523:H528" si="178">IF(C523=0,"",C523/D523)</f>
        <v>4</v>
      </c>
      <c r="I523" s="647" t="s">
        <v>335</v>
      </c>
      <c r="J523" s="2643">
        <v>56</v>
      </c>
      <c r="K523" s="2899"/>
      <c r="L523" s="2900">
        <f>L$521*V523*3</f>
        <v>46095.12</v>
      </c>
      <c r="M523" s="3054" t="str">
        <f t="shared" ref="M523:M528" si="179">MID(B523, FIND("(",B523,1)+1, FIND(")",B523,1)- FIND("(",B523,1)-3)</f>
        <v>8</v>
      </c>
      <c r="N523" s="3103">
        <v>2</v>
      </c>
      <c r="O523" s="3100">
        <f t="shared" ref="O523:O528" si="180">M523/1</f>
        <v>8</v>
      </c>
      <c r="P523" s="3156">
        <f>G$522*Q523</f>
        <v>36.654180605222017</v>
      </c>
      <c r="Q523" s="3156">
        <f>1-(O$465*LN(C523)+P$465)</f>
        <v>0.70404188437401227</v>
      </c>
      <c r="R523" s="3074">
        <f t="shared" si="132"/>
        <v>1</v>
      </c>
      <c r="S523" s="3073">
        <f t="shared" si="133"/>
        <v>70.025897275648035</v>
      </c>
      <c r="T523" s="3073">
        <f t="shared" ref="T523:T528" si="181">8*M523</f>
        <v>64</v>
      </c>
      <c r="V523" s="3169">
        <v>1.754</v>
      </c>
    </row>
    <row r="524" spans="1:22" s="693" customFormat="1" hidden="1" outlineLevel="2" x14ac:dyDescent="0.15">
      <c r="A524" s="630" t="str">
        <f t="shared" si="175"/>
        <v>AZI H16 (16vc) 16 core (2400 MHz) 112 GB</v>
      </c>
      <c r="B524" s="2036" t="s">
        <v>1668</v>
      </c>
      <c r="C524" s="2024">
        <f t="shared" si="128"/>
        <v>16</v>
      </c>
      <c r="D524" s="2561">
        <f t="shared" si="176"/>
        <v>2</v>
      </c>
      <c r="E524" s="639">
        <v>2400</v>
      </c>
      <c r="F524" s="2011">
        <f t="shared" si="129"/>
        <v>543.16251957806958</v>
      </c>
      <c r="G524" s="2015">
        <f t="shared" si="177"/>
        <v>33.947657473629349</v>
      </c>
      <c r="H524" s="2603">
        <f t="shared" si="178"/>
        <v>8</v>
      </c>
      <c r="I524" s="647" t="s">
        <v>335</v>
      </c>
      <c r="J524" s="2643">
        <v>112</v>
      </c>
      <c r="K524" s="2899"/>
      <c r="L524" s="2900">
        <f t="shared" ref="L524:L528" si="182">L$521*V524*3</f>
        <v>92190.24</v>
      </c>
      <c r="M524" s="3054" t="str">
        <f t="shared" si="179"/>
        <v>16</v>
      </c>
      <c r="N524" s="3103">
        <v>2</v>
      </c>
      <c r="O524" s="3100">
        <f t="shared" si="180"/>
        <v>16</v>
      </c>
      <c r="P524" s="3156">
        <f t="shared" ref="P524:P528" si="183">G$522*Q524</f>
        <v>33.947657473629349</v>
      </c>
      <c r="Q524" s="3156">
        <f t="shared" ref="Q524:Q528" si="184">1-(O$465*LN(C524)+P$465)</f>
        <v>0.65205584583201637</v>
      </c>
      <c r="R524" s="3074">
        <f t="shared" si="132"/>
        <v>1</v>
      </c>
      <c r="S524" s="3073">
        <f t="shared" si="133"/>
        <v>129.71045243655394</v>
      </c>
      <c r="T524" s="3073">
        <f t="shared" si="181"/>
        <v>128</v>
      </c>
      <c r="V524" s="3169">
        <v>3.508</v>
      </c>
    </row>
    <row r="525" spans="1:22" s="693" customFormat="1" hidden="1" outlineLevel="2" x14ac:dyDescent="0.15">
      <c r="A525" s="630" t="str">
        <f t="shared" si="175"/>
        <v>AZI H8m (8vc) 8 core (2400 MHz) 112 GB</v>
      </c>
      <c r="B525" s="2036" t="s">
        <v>1669</v>
      </c>
      <c r="C525" s="2024">
        <f t="shared" si="128"/>
        <v>8</v>
      </c>
      <c r="D525" s="2561">
        <f t="shared" si="176"/>
        <v>2</v>
      </c>
      <c r="E525" s="639">
        <v>2400</v>
      </c>
      <c r="F525" s="2011">
        <f>IF(N525=1,O525*P525/1.3,O525*P525)</f>
        <v>293.23344484177613</v>
      </c>
      <c r="G525" s="2015">
        <f t="shared" si="177"/>
        <v>36.654180605222017</v>
      </c>
      <c r="H525" s="2603">
        <f t="shared" si="178"/>
        <v>4</v>
      </c>
      <c r="I525" s="647" t="s">
        <v>335</v>
      </c>
      <c r="J525" s="2643">
        <v>112</v>
      </c>
      <c r="K525" s="2899"/>
      <c r="L525" s="2900">
        <f t="shared" si="182"/>
        <v>61758</v>
      </c>
      <c r="M525" s="3054" t="str">
        <f t="shared" si="179"/>
        <v>8</v>
      </c>
      <c r="N525" s="3103">
        <v>2</v>
      </c>
      <c r="O525" s="3100">
        <f t="shared" si="180"/>
        <v>8</v>
      </c>
      <c r="P525" s="3156">
        <f t="shared" si="183"/>
        <v>36.654180605222017</v>
      </c>
      <c r="Q525" s="3156">
        <f t="shared" si="184"/>
        <v>0.70404188437401227</v>
      </c>
      <c r="R525" s="3074">
        <f>M525/C525</f>
        <v>1</v>
      </c>
      <c r="S525" s="3073">
        <f t="shared" si="133"/>
        <v>70.025897275648035</v>
      </c>
      <c r="T525" s="3073">
        <f t="shared" si="181"/>
        <v>64</v>
      </c>
      <c r="V525" s="3169">
        <v>2.35</v>
      </c>
    </row>
    <row r="526" spans="1:22" s="693" customFormat="1" hidden="1" outlineLevel="2" x14ac:dyDescent="0.15">
      <c r="A526" s="630" t="str">
        <f t="shared" si="175"/>
        <v>AZI H16m (16vc) 16 core (2400 MHz) 224 GB</v>
      </c>
      <c r="B526" s="2036" t="s">
        <v>1670</v>
      </c>
      <c r="C526" s="2024">
        <f t="shared" si="128"/>
        <v>16</v>
      </c>
      <c r="D526" s="2561">
        <f t="shared" si="176"/>
        <v>2</v>
      </c>
      <c r="E526" s="639">
        <v>2400</v>
      </c>
      <c r="F526" s="2011">
        <f t="shared" si="129"/>
        <v>543.16251957806958</v>
      </c>
      <c r="G526" s="2015">
        <f t="shared" si="177"/>
        <v>33.947657473629349</v>
      </c>
      <c r="H526" s="2603">
        <f t="shared" si="178"/>
        <v>8</v>
      </c>
      <c r="I526" s="647" t="s">
        <v>335</v>
      </c>
      <c r="J526" s="2643">
        <v>224</v>
      </c>
      <c r="K526" s="2899"/>
      <c r="L526" s="2900">
        <f t="shared" si="182"/>
        <v>123489.72</v>
      </c>
      <c r="M526" s="3054" t="str">
        <f t="shared" si="179"/>
        <v>16</v>
      </c>
      <c r="N526" s="3103">
        <v>2</v>
      </c>
      <c r="O526" s="3100">
        <f t="shared" si="180"/>
        <v>16</v>
      </c>
      <c r="P526" s="3156">
        <f t="shared" si="183"/>
        <v>33.947657473629349</v>
      </c>
      <c r="Q526" s="3156">
        <f t="shared" si="184"/>
        <v>0.65205584583201637</v>
      </c>
      <c r="R526" s="3074">
        <f t="shared" si="132"/>
        <v>1</v>
      </c>
      <c r="S526" s="3073">
        <f t="shared" si="133"/>
        <v>129.71045243655394</v>
      </c>
      <c r="T526" s="3073">
        <f t="shared" si="181"/>
        <v>128</v>
      </c>
      <c r="V526" s="3169">
        <v>4.6989999999999998</v>
      </c>
    </row>
    <row r="527" spans="1:22" s="693" customFormat="1" hidden="1" outlineLevel="2" x14ac:dyDescent="0.15">
      <c r="A527" s="630" t="str">
        <f t="shared" si="175"/>
        <v>AZI H16mr (16vc) 16 core (2400 MHz) 224 GB</v>
      </c>
      <c r="B527" s="2036" t="s">
        <v>1671</v>
      </c>
      <c r="C527" s="2024">
        <f t="shared" si="128"/>
        <v>16</v>
      </c>
      <c r="D527" s="2561">
        <f t="shared" si="176"/>
        <v>2</v>
      </c>
      <c r="E527" s="639">
        <v>2400</v>
      </c>
      <c r="F527" s="2011">
        <f t="shared" si="129"/>
        <v>543.16251957806958</v>
      </c>
      <c r="G527" s="2015">
        <f t="shared" si="177"/>
        <v>33.947657473629349</v>
      </c>
      <c r="H527" s="2603">
        <f t="shared" si="178"/>
        <v>8</v>
      </c>
      <c r="I527" s="647" t="s">
        <v>335</v>
      </c>
      <c r="J527" s="2643">
        <v>224</v>
      </c>
      <c r="K527" s="2899"/>
      <c r="L527" s="2900">
        <f t="shared" si="182"/>
        <v>135841.31999999998</v>
      </c>
      <c r="M527" s="3054" t="str">
        <f t="shared" si="179"/>
        <v>16</v>
      </c>
      <c r="N527" s="3103">
        <v>2</v>
      </c>
      <c r="O527" s="3100">
        <f t="shared" si="180"/>
        <v>16</v>
      </c>
      <c r="P527" s="3156">
        <f t="shared" si="183"/>
        <v>33.947657473629349</v>
      </c>
      <c r="Q527" s="3156">
        <f t="shared" si="184"/>
        <v>0.65205584583201637</v>
      </c>
      <c r="R527" s="3074">
        <f t="shared" si="132"/>
        <v>1</v>
      </c>
      <c r="S527" s="3073">
        <f t="shared" si="133"/>
        <v>129.71045243655394</v>
      </c>
      <c r="T527" s="3073">
        <f t="shared" si="181"/>
        <v>128</v>
      </c>
      <c r="V527" s="3169">
        <v>5.1689999999999996</v>
      </c>
    </row>
    <row r="528" spans="1:22" s="693" customFormat="1" hidden="1" outlineLevel="2" x14ac:dyDescent="0.15">
      <c r="A528" s="630" t="str">
        <f t="shared" si="175"/>
        <v>AZI H16r (16vc) 16 core (2400 MHz) 112 GB</v>
      </c>
      <c r="B528" s="2036" t="s">
        <v>1672</v>
      </c>
      <c r="C528" s="2024">
        <f t="shared" si="128"/>
        <v>16</v>
      </c>
      <c r="D528" s="2561">
        <f t="shared" si="176"/>
        <v>2</v>
      </c>
      <c r="E528" s="639">
        <v>2400</v>
      </c>
      <c r="F528" s="2011">
        <f t="shared" si="129"/>
        <v>543.16251957806958</v>
      </c>
      <c r="G528" s="2015">
        <f t="shared" si="177"/>
        <v>33.947657473629349</v>
      </c>
      <c r="H528" s="2603">
        <f t="shared" si="178"/>
        <v>8</v>
      </c>
      <c r="I528" s="647" t="s">
        <v>335</v>
      </c>
      <c r="J528" s="2643">
        <v>112</v>
      </c>
      <c r="K528" s="2899"/>
      <c r="L528" s="2900">
        <f t="shared" si="182"/>
        <v>101414.51999999999</v>
      </c>
      <c r="M528" s="3054" t="str">
        <f t="shared" si="179"/>
        <v>16</v>
      </c>
      <c r="N528" s="3103">
        <v>2</v>
      </c>
      <c r="O528" s="3100">
        <f t="shared" si="180"/>
        <v>16</v>
      </c>
      <c r="P528" s="3156">
        <f t="shared" si="183"/>
        <v>33.947657473629349</v>
      </c>
      <c r="Q528" s="3156">
        <f t="shared" si="184"/>
        <v>0.65205584583201637</v>
      </c>
      <c r="R528" s="3074">
        <f t="shared" si="132"/>
        <v>1</v>
      </c>
      <c r="S528" s="3073">
        <f t="shared" si="133"/>
        <v>129.71045243655394</v>
      </c>
      <c r="T528" s="3073">
        <f t="shared" si="181"/>
        <v>128</v>
      </c>
      <c r="V528" s="3169">
        <v>3.859</v>
      </c>
    </row>
    <row r="529" spans="1:22" hidden="1" outlineLevel="1" collapsed="1" x14ac:dyDescent="0.15">
      <c r="A529" s="628" t="s">
        <v>1700</v>
      </c>
      <c r="B529" s="659" t="str">
        <f>A529</f>
        <v xml:space="preserve"> ==== 2017 AZIDB AzureSQL Platforms ====</v>
      </c>
      <c r="C529" s="656"/>
      <c r="D529" s="2022"/>
      <c r="E529" s="2905"/>
      <c r="F529" s="2906" t="s">
        <v>1746</v>
      </c>
      <c r="G529" s="2017"/>
      <c r="H529" s="2606"/>
      <c r="I529" s="645"/>
      <c r="J529" s="645"/>
      <c r="K529" s="645"/>
      <c r="L529" s="645"/>
      <c r="M529" s="645"/>
      <c r="N529" s="645"/>
      <c r="O529" s="645"/>
      <c r="P529" s="645" t="s">
        <v>408</v>
      </c>
      <c r="Q529" s="3159"/>
      <c r="R529" s="2651" t="s">
        <v>1723</v>
      </c>
      <c r="S529" s="31" t="s">
        <v>1699</v>
      </c>
      <c r="V529" s="3166"/>
    </row>
    <row r="530" spans="1:22" hidden="1" outlineLevel="2" x14ac:dyDescent="0.15">
      <c r="A530" s="3136" t="str">
        <f>CONCATENATE(B530," ",C530," core (",H530," chip) ",E530," MHz")&amp;IF(ISBLANK(F530),"**","")</f>
        <v>Xeon E5-2667v3 16 core (2 chip) 3200 MHz</v>
      </c>
      <c r="B530" s="661" t="s">
        <v>1034</v>
      </c>
      <c r="C530" s="2024">
        <v>16</v>
      </c>
      <c r="D530" s="52">
        <v>8</v>
      </c>
      <c r="E530" s="639">
        <v>3200</v>
      </c>
      <c r="F530" s="2192">
        <v>833</v>
      </c>
      <c r="G530" s="2015">
        <f>F530/C530</f>
        <v>52.0625</v>
      </c>
      <c r="H530" s="2603">
        <f>C530/D530</f>
        <v>2</v>
      </c>
      <c r="I530" s="646" t="s">
        <v>335</v>
      </c>
      <c r="J530" s="2048">
        <v>120</v>
      </c>
      <c r="K530" s="2647"/>
      <c r="L530" s="1149"/>
      <c r="M530" s="1149"/>
      <c r="N530" s="1149"/>
      <c r="O530" s="1149"/>
      <c r="P530" s="2196"/>
      <c r="Q530" s="2196"/>
      <c r="R530" s="2196"/>
      <c r="S530" s="2196"/>
      <c r="T530" s="1149"/>
      <c r="V530" s="3168"/>
    </row>
    <row r="531" spans="1:22" hidden="1" outlineLevel="1" collapsed="1" x14ac:dyDescent="0.15">
      <c r="A531" s="3057" t="s">
        <v>1701</v>
      </c>
      <c r="B531" s="3102" t="str">
        <f>B$466</f>
        <v>AZI Platform</v>
      </c>
      <c r="C531" s="3102" t="str">
        <f t="shared" ref="C531:J531" si="185">C$466</f>
        <v>Server Core</v>
      </c>
      <c r="D531" s="3102" t="str">
        <f t="shared" si="185"/>
        <v>vCore/core</v>
      </c>
      <c r="E531" s="3102" t="str">
        <f t="shared" si="185"/>
        <v>MHz</v>
      </c>
      <c r="F531" s="3102" t="str">
        <f t="shared" si="185"/>
        <v>Rate2006</v>
      </c>
      <c r="G531" s="3102" t="str">
        <f t="shared" si="185"/>
        <v>Per Core</v>
      </c>
      <c r="H531" s="3102" t="str">
        <f t="shared" si="185"/>
        <v>Core</v>
      </c>
      <c r="I531" s="3102" t="str">
        <f t="shared" si="185"/>
        <v>Vendor</v>
      </c>
      <c r="J531" s="3102" t="str">
        <f t="shared" si="185"/>
        <v>vRAM</v>
      </c>
      <c r="K531" s="3102" t="s">
        <v>1750</v>
      </c>
      <c r="L531" s="3171">
        <v>8760</v>
      </c>
      <c r="M531" s="3102" t="str">
        <f>M$466</f>
        <v>vCore</v>
      </c>
      <c r="N531" s="3102" t="str">
        <f>N$466</f>
        <v>Threds/core</v>
      </c>
      <c r="O531" s="3102" t="str">
        <f>O$466</f>
        <v>HostCore</v>
      </c>
      <c r="P531" s="3102" t="str">
        <f>P$466</f>
        <v>Rate2006</v>
      </c>
      <c r="Q531" s="3102"/>
      <c r="R531" s="2651"/>
      <c r="V531" s="3167"/>
    </row>
    <row r="532" spans="1:22" hidden="1" outlineLevel="2" x14ac:dyDescent="0.15">
      <c r="A532" s="3136" t="str">
        <f>CONCATENATE(B532," ",C532," core (",H532," chip) ",E532," MHz")&amp;IF(ISBLANK(F532),"**","")</f>
        <v>Xeon E5-2673v3 24 core (2 chip) 2400 MHz</v>
      </c>
      <c r="B532" s="661" t="s">
        <v>1782</v>
      </c>
      <c r="C532" s="2024">
        <v>24</v>
      </c>
      <c r="D532" s="52">
        <v>12</v>
      </c>
      <c r="E532" s="639">
        <v>2400</v>
      </c>
      <c r="F532" s="2192">
        <v>1042</v>
      </c>
      <c r="G532" s="2015">
        <f>F532/C532</f>
        <v>43.416666666666664</v>
      </c>
      <c r="H532" s="2603">
        <f>C532/D532</f>
        <v>2</v>
      </c>
      <c r="I532" s="646" t="s">
        <v>335</v>
      </c>
      <c r="J532" s="2048">
        <v>120</v>
      </c>
      <c r="K532" s="2647"/>
      <c r="L532" s="1149"/>
      <c r="M532" s="1149"/>
      <c r="N532" s="1149"/>
      <c r="O532" s="1149"/>
      <c r="P532" s="2196"/>
      <c r="Q532" s="2196"/>
      <c r="R532" s="2196"/>
      <c r="S532" s="2196"/>
      <c r="T532" s="1149"/>
    </row>
    <row r="533" spans="1:22" s="693" customFormat="1" hidden="1" outlineLevel="2" x14ac:dyDescent="0.15">
      <c r="A533" s="630" t="str">
        <f>CONCATENATE(B533," ",C533," core (",E533," MHz) ",J533," GB")</f>
        <v>AZISQL S0 (1vc) 1 core (2400 MHz) 4 GB</v>
      </c>
      <c r="B533" s="2036" t="s">
        <v>1706</v>
      </c>
      <c r="C533" s="2024">
        <f>O533</f>
        <v>1</v>
      </c>
      <c r="D533" s="2561">
        <v>1</v>
      </c>
      <c r="E533" s="639">
        <v>2400</v>
      </c>
      <c r="F533" s="2011">
        <f t="shared" ref="F533:F544" si="186">IF(N533=1,O533*P533/1.3,O533*P533)</f>
        <v>28.72179487179487</v>
      </c>
      <c r="G533" s="2015">
        <f>IF(F533=0,"",F533/C533)</f>
        <v>28.72179487179487</v>
      </c>
      <c r="H533" s="2603">
        <f>IF(C533=0,"",C533/D533)</f>
        <v>1</v>
      </c>
      <c r="I533" s="647" t="s">
        <v>335</v>
      </c>
      <c r="J533" s="2643">
        <v>4</v>
      </c>
      <c r="K533" s="2903">
        <v>10</v>
      </c>
      <c r="L533" s="2900">
        <f>L$531*V533*3</f>
        <v>530.85599999999999</v>
      </c>
      <c r="M533" s="3054" t="str">
        <f>MID(B533, FIND("(",B533,1)+1, FIND(")",B533,1)- FIND("(",B533,1)-3)</f>
        <v>1</v>
      </c>
      <c r="N533" s="3103">
        <v>1</v>
      </c>
      <c r="O533" s="3100">
        <f>M533/1</f>
        <v>1</v>
      </c>
      <c r="P533" s="3156">
        <f>G$532*Q533</f>
        <v>37.338333333333331</v>
      </c>
      <c r="Q533" s="3156">
        <f>1-(O$465*LN(C533)+P$465)</f>
        <v>0.86</v>
      </c>
      <c r="R533" s="3074">
        <f>M533/C533</f>
        <v>1</v>
      </c>
      <c r="S533" s="3073">
        <f>R533*4*0.8*F533/13.4</f>
        <v>6.8589360887868347</v>
      </c>
      <c r="T533" s="3073">
        <f>8*M533</f>
        <v>8</v>
      </c>
      <c r="V533" s="3169">
        <v>2.0199999999999999E-2</v>
      </c>
    </row>
    <row r="534" spans="1:22" s="693" customFormat="1" hidden="1" outlineLevel="2" x14ac:dyDescent="0.15">
      <c r="A534" s="630" t="str">
        <f>CONCATENATE(B534," ",C534," core (",E534," MHz) ",J534," GB")</f>
        <v>AZISQL S1 (1vc) 1 core (2400 MHz) 4 GB</v>
      </c>
      <c r="B534" s="2036" t="s">
        <v>1702</v>
      </c>
      <c r="C534" s="2024">
        <f t="shared" ref="C534:C544" si="187">O534</f>
        <v>1</v>
      </c>
      <c r="D534" s="2561">
        <v>1</v>
      </c>
      <c r="E534" s="639">
        <v>2400</v>
      </c>
      <c r="F534" s="2011">
        <f t="shared" si="186"/>
        <v>28.72179487179487</v>
      </c>
      <c r="G534" s="2015">
        <f>IF(F534=0,"",F534/C534)</f>
        <v>28.72179487179487</v>
      </c>
      <c r="H534" s="2603">
        <f>IF(C534=0,"",C534/D534)</f>
        <v>1</v>
      </c>
      <c r="I534" s="647" t="s">
        <v>335</v>
      </c>
      <c r="J534" s="2643">
        <v>4</v>
      </c>
      <c r="K534" s="2903">
        <v>20</v>
      </c>
      <c r="L534" s="2900">
        <f t="shared" ref="L534:L536" si="188">L$531*V534*3</f>
        <v>1061.712</v>
      </c>
      <c r="M534" s="3054" t="str">
        <f>MID(B534, FIND("(",B534,1)+1, FIND(")",B534,1)- FIND("(",B534,1)-3)</f>
        <v>1</v>
      </c>
      <c r="N534" s="3103">
        <v>1</v>
      </c>
      <c r="O534" s="3100">
        <f>M534/1</f>
        <v>1</v>
      </c>
      <c r="P534" s="3156">
        <f t="shared" ref="P534:P536" si="189">G$532*Q534</f>
        <v>37.338333333333331</v>
      </c>
      <c r="Q534" s="3156">
        <f t="shared" ref="Q534:Q536" si="190">1-(O$465*LN(C534)+P$465)</f>
        <v>0.86</v>
      </c>
      <c r="R534" s="3074">
        <f>M534/C534</f>
        <v>1</v>
      </c>
      <c r="S534" s="3073">
        <f>R534*4*0.8*F534/13.4</f>
        <v>6.8589360887868347</v>
      </c>
      <c r="T534" s="3073">
        <f>8*M534</f>
        <v>8</v>
      </c>
      <c r="V534" s="3169">
        <v>4.0399999999999998E-2</v>
      </c>
    </row>
    <row r="535" spans="1:22" s="693" customFormat="1" hidden="1" outlineLevel="2" x14ac:dyDescent="0.15">
      <c r="A535" s="630" t="str">
        <f>CONCATENATE(B535," ",C535," core (",E535," MHz) ",J535," GB")</f>
        <v>AZISQL S2 (1vc) 1 core (2400 MHz) 4 GB</v>
      </c>
      <c r="B535" s="2036" t="s">
        <v>1703</v>
      </c>
      <c r="C535" s="2024">
        <f t="shared" si="187"/>
        <v>1</v>
      </c>
      <c r="D535" s="2561">
        <v>1</v>
      </c>
      <c r="E535" s="639">
        <v>2400</v>
      </c>
      <c r="F535" s="2011">
        <f t="shared" si="186"/>
        <v>28.72179487179487</v>
      </c>
      <c r="G535" s="2015">
        <f>IF(F535=0,"",F535/C535)</f>
        <v>28.72179487179487</v>
      </c>
      <c r="H535" s="2603">
        <f>IF(C535=0,"",C535/D535)</f>
        <v>1</v>
      </c>
      <c r="I535" s="647" t="s">
        <v>335</v>
      </c>
      <c r="J535" s="2643">
        <v>4</v>
      </c>
      <c r="K535" s="2903">
        <v>50</v>
      </c>
      <c r="L535" s="2900">
        <f t="shared" si="188"/>
        <v>2651.652</v>
      </c>
      <c r="M535" s="3054" t="str">
        <f>MID(B535, FIND("(",B535,1)+1, FIND(")",B535,1)- FIND("(",B535,1)-3)</f>
        <v>1</v>
      </c>
      <c r="N535" s="3103">
        <v>1</v>
      </c>
      <c r="O535" s="3100">
        <f>M535/1</f>
        <v>1</v>
      </c>
      <c r="P535" s="3156">
        <f t="shared" si="189"/>
        <v>37.338333333333331</v>
      </c>
      <c r="Q535" s="3156">
        <f t="shared" si="190"/>
        <v>0.86</v>
      </c>
      <c r="R535" s="3074">
        <f>M535/C535</f>
        <v>1</v>
      </c>
      <c r="S535" s="3073">
        <f>R535*4*0.8*F535/13.4</f>
        <v>6.8589360887868347</v>
      </c>
      <c r="T535" s="3073">
        <f>8*M535</f>
        <v>8</v>
      </c>
      <c r="V535" s="3169">
        <v>0.1009</v>
      </c>
    </row>
    <row r="536" spans="1:22" s="693" customFormat="1" hidden="1" outlineLevel="2" x14ac:dyDescent="0.15">
      <c r="A536" s="630" t="str">
        <f>CONCATENATE(B536," ",C536," core (",E536," MHz) ",J536," GB")</f>
        <v>AZISQL S3 (1vc) 1 core (2400 MHz) 4 GB</v>
      </c>
      <c r="B536" s="2036" t="s">
        <v>1704</v>
      </c>
      <c r="C536" s="2024">
        <f t="shared" si="187"/>
        <v>1</v>
      </c>
      <c r="D536" s="2561">
        <v>1</v>
      </c>
      <c r="E536" s="639">
        <v>2400</v>
      </c>
      <c r="F536" s="2011">
        <f t="shared" si="186"/>
        <v>28.72179487179487</v>
      </c>
      <c r="G536" s="2015">
        <f>IF(F536=0,"",F536/C536)</f>
        <v>28.72179487179487</v>
      </c>
      <c r="H536" s="2603">
        <f>IF(C536=0,"",C536/D536)</f>
        <v>1</v>
      </c>
      <c r="I536" s="647" t="s">
        <v>335</v>
      </c>
      <c r="J536" s="2643">
        <v>4</v>
      </c>
      <c r="K536" s="2903">
        <v>100</v>
      </c>
      <c r="L536" s="2900">
        <f t="shared" si="188"/>
        <v>5300.6759999999995</v>
      </c>
      <c r="M536" s="3054" t="str">
        <f>MID(B536, FIND("(",B536,1)+1, FIND(")",B536,1)- FIND("(",B536,1)-3)</f>
        <v>1</v>
      </c>
      <c r="N536" s="3103">
        <v>1</v>
      </c>
      <c r="O536" s="3100">
        <f>M536/1</f>
        <v>1</v>
      </c>
      <c r="P536" s="3156">
        <f t="shared" si="189"/>
        <v>37.338333333333331</v>
      </c>
      <c r="Q536" s="3156">
        <f t="shared" si="190"/>
        <v>0.86</v>
      </c>
      <c r="R536" s="3074">
        <f>M536/C536</f>
        <v>1</v>
      </c>
      <c r="S536" s="3073">
        <f>R536*4*0.8*F536/13.4</f>
        <v>6.8589360887868347</v>
      </c>
      <c r="T536" s="3073">
        <f>8*M536</f>
        <v>8</v>
      </c>
      <c r="V536" s="3169">
        <v>0.20169999999999999</v>
      </c>
    </row>
    <row r="537" spans="1:22" hidden="1" outlineLevel="1" collapsed="1" x14ac:dyDescent="0.15">
      <c r="A537" s="3057" t="s">
        <v>1707</v>
      </c>
      <c r="B537" s="3102" t="str">
        <f>B$466</f>
        <v>AZI Platform</v>
      </c>
      <c r="C537" s="3102" t="str">
        <f t="shared" ref="C537:J537" si="191">C$466</f>
        <v>Server Core</v>
      </c>
      <c r="D537" s="3102" t="str">
        <f t="shared" si="191"/>
        <v>vCore/core</v>
      </c>
      <c r="E537" s="3102" t="str">
        <f t="shared" si="191"/>
        <v>MHz</v>
      </c>
      <c r="F537" s="3102" t="str">
        <f t="shared" si="191"/>
        <v>Rate2006</v>
      </c>
      <c r="G537" s="3102" t="str">
        <f t="shared" si="191"/>
        <v>Per Core</v>
      </c>
      <c r="H537" s="3102" t="str">
        <f t="shared" si="191"/>
        <v>Core</v>
      </c>
      <c r="I537" s="3102" t="str">
        <f t="shared" si="191"/>
        <v>Vendor</v>
      </c>
      <c r="J537" s="3102" t="str">
        <f t="shared" si="191"/>
        <v>vRAM</v>
      </c>
      <c r="K537" s="3102" t="s">
        <v>1750</v>
      </c>
      <c r="L537" s="3171">
        <v>8760</v>
      </c>
      <c r="M537" s="3102" t="str">
        <f>M$466</f>
        <v>vCore</v>
      </c>
      <c r="N537" s="3102" t="str">
        <f>N$466</f>
        <v>Threds/core</v>
      </c>
      <c r="O537" s="3102" t="str">
        <f>O$466</f>
        <v>HostCore</v>
      </c>
      <c r="P537" s="3102" t="str">
        <f>P$466</f>
        <v>Rate2006</v>
      </c>
      <c r="Q537" s="3102"/>
      <c r="R537" s="2651"/>
      <c r="V537" s="3167"/>
    </row>
    <row r="538" spans="1:22" hidden="1" outlineLevel="2" x14ac:dyDescent="0.15">
      <c r="A538" s="3136" t="str">
        <f>CONCATENATE(B538," ",C538," core (",H538," chip) ",E538," MHz")&amp;IF(ISBLANK(F538),"**","")</f>
        <v>Xeon E5-2673v3 24 core (2 chip) 2400 MHz</v>
      </c>
      <c r="B538" s="661" t="s">
        <v>1782</v>
      </c>
      <c r="C538" s="2024">
        <v>24</v>
      </c>
      <c r="D538" s="52">
        <v>12</v>
      </c>
      <c r="E538" s="639">
        <v>2400</v>
      </c>
      <c r="F538" s="2192">
        <v>1042</v>
      </c>
      <c r="G538" s="2015">
        <f>F538/C538</f>
        <v>43.416666666666664</v>
      </c>
      <c r="H538" s="2603">
        <f>C538/D538</f>
        <v>2</v>
      </c>
      <c r="I538" s="646" t="s">
        <v>335</v>
      </c>
      <c r="J538" s="2048">
        <v>120</v>
      </c>
      <c r="K538" s="2647"/>
      <c r="L538" s="1149"/>
      <c r="M538" s="1149"/>
      <c r="N538" s="1149"/>
      <c r="O538" s="1149"/>
      <c r="P538" s="2196"/>
      <c r="Q538" s="2196"/>
      <c r="R538" s="2196"/>
      <c r="S538" s="2196"/>
      <c r="T538" s="1149"/>
      <c r="V538" s="3168"/>
    </row>
    <row r="539" spans="1:22" s="693" customFormat="1" hidden="1" outlineLevel="2" x14ac:dyDescent="0.15">
      <c r="A539" s="630" t="str">
        <f t="shared" ref="A539:A544" si="192">CONCATENATE(B539," ",C539," core (",E539," MHz) ",J539," GB")</f>
        <v>AZISQL P1 (2vc) 2 core (2400 MHz) 7 GB</v>
      </c>
      <c r="B539" s="2036" t="s">
        <v>1708</v>
      </c>
      <c r="C539" s="2024">
        <f t="shared" si="187"/>
        <v>2</v>
      </c>
      <c r="D539" s="2561">
        <f t="shared" ref="D539:D544" si="193">N539</f>
        <v>2</v>
      </c>
      <c r="E539" s="639">
        <v>2400</v>
      </c>
      <c r="F539" s="2011">
        <f t="shared" si="186"/>
        <v>70.162545653270016</v>
      </c>
      <c r="G539" s="2015">
        <f t="shared" ref="G539:G544" si="194">IF(F539=0,"",F539/C539)</f>
        <v>35.081272826635008</v>
      </c>
      <c r="H539" s="2603">
        <f t="shared" ref="H539:H544" si="195">IF(C539=0,"",C539/D539)</f>
        <v>1</v>
      </c>
      <c r="I539" s="647" t="s">
        <v>335</v>
      </c>
      <c r="J539" s="2643">
        <v>7</v>
      </c>
      <c r="K539" s="2903">
        <v>125</v>
      </c>
      <c r="L539" s="2900">
        <f>L$537*V539*3</f>
        <v>16427.628000000001</v>
      </c>
      <c r="M539" s="3054" t="str">
        <f t="shared" ref="M539:M544" si="196">MID(B539, FIND("(",B539,1)+1, FIND(")",B539,1)- FIND("(",B539,1)-3)</f>
        <v>2</v>
      </c>
      <c r="N539" s="3103">
        <v>2</v>
      </c>
      <c r="O539" s="3100">
        <f t="shared" ref="O539:O544" si="197">M539/1</f>
        <v>2</v>
      </c>
      <c r="P539" s="3156">
        <f>G$538*Q539</f>
        <v>35.081272826635008</v>
      </c>
      <c r="Q539" s="3156">
        <f>1-(O$465*LN(C539)+P$465)</f>
        <v>0.80801396145800408</v>
      </c>
      <c r="R539" s="3074">
        <f t="shared" ref="R539:R544" si="198">M539/C539</f>
        <v>1</v>
      </c>
      <c r="S539" s="3073">
        <f t="shared" ref="S539:S544" si="199">R539*4*0.8*F539/13.4</f>
        <v>16.755234782870453</v>
      </c>
      <c r="T539" s="3073">
        <f t="shared" ref="T539:T544" si="200">8*M539</f>
        <v>16</v>
      </c>
      <c r="V539" s="3169">
        <v>0.62509999999999999</v>
      </c>
    </row>
    <row r="540" spans="1:22" s="693" customFormat="1" hidden="1" outlineLevel="2" x14ac:dyDescent="0.15">
      <c r="A540" s="630" t="str">
        <f t="shared" si="192"/>
        <v>AZISQL P2 (2vc) 2 core (2400 MHz) 8 GB</v>
      </c>
      <c r="B540" s="2036" t="s">
        <v>1709</v>
      </c>
      <c r="C540" s="2024">
        <f t="shared" si="187"/>
        <v>2</v>
      </c>
      <c r="D540" s="2561">
        <f t="shared" si="193"/>
        <v>2</v>
      </c>
      <c r="E540" s="639">
        <v>2400</v>
      </c>
      <c r="F540" s="2011">
        <f t="shared" si="186"/>
        <v>70.162545653270016</v>
      </c>
      <c r="G540" s="2015">
        <f t="shared" si="194"/>
        <v>35.081272826635008</v>
      </c>
      <c r="H540" s="2603">
        <f t="shared" si="195"/>
        <v>1</v>
      </c>
      <c r="I540" s="647" t="s">
        <v>335</v>
      </c>
      <c r="J540" s="2643">
        <v>8</v>
      </c>
      <c r="K540" s="2903">
        <v>250</v>
      </c>
      <c r="L540" s="2900">
        <f t="shared" ref="L540:L544" si="201">L$537*V540*3</f>
        <v>32850</v>
      </c>
      <c r="M540" s="3054" t="str">
        <f t="shared" si="196"/>
        <v>2</v>
      </c>
      <c r="N540" s="3103">
        <v>2</v>
      </c>
      <c r="O540" s="3100">
        <f t="shared" si="197"/>
        <v>2</v>
      </c>
      <c r="P540" s="3156">
        <f t="shared" ref="P540:P544" si="202">G$538*Q540</f>
        <v>35.081272826635008</v>
      </c>
      <c r="Q540" s="3156">
        <f t="shared" ref="Q540:Q544" si="203">1-(O$465*LN(C540)+P$465)</f>
        <v>0.80801396145800408</v>
      </c>
      <c r="R540" s="3074">
        <f t="shared" si="198"/>
        <v>1</v>
      </c>
      <c r="S540" s="3073">
        <f t="shared" si="199"/>
        <v>16.755234782870453</v>
      </c>
      <c r="T540" s="3073">
        <f t="shared" si="200"/>
        <v>16</v>
      </c>
      <c r="V540" s="3169">
        <v>1.25</v>
      </c>
    </row>
    <row r="541" spans="1:22" s="693" customFormat="1" hidden="1" outlineLevel="2" x14ac:dyDescent="0.15">
      <c r="A541" s="630" t="str">
        <f t="shared" si="192"/>
        <v>AZISQL P4 (2vc) 2 core (2400 MHz) 14 GB</v>
      </c>
      <c r="B541" s="2036" t="s">
        <v>1710</v>
      </c>
      <c r="C541" s="2024">
        <f t="shared" si="187"/>
        <v>2</v>
      </c>
      <c r="D541" s="2561">
        <f t="shared" si="193"/>
        <v>2</v>
      </c>
      <c r="E541" s="639">
        <v>2400</v>
      </c>
      <c r="F541" s="2011">
        <f t="shared" si="186"/>
        <v>70.162545653270016</v>
      </c>
      <c r="G541" s="2015">
        <f t="shared" si="194"/>
        <v>35.081272826635008</v>
      </c>
      <c r="H541" s="2603">
        <f t="shared" si="195"/>
        <v>1</v>
      </c>
      <c r="I541" s="647" t="s">
        <v>335</v>
      </c>
      <c r="J541" s="2643">
        <v>14</v>
      </c>
      <c r="K541" s="2903">
        <v>500</v>
      </c>
      <c r="L541" s="2900">
        <f t="shared" si="201"/>
        <v>65700</v>
      </c>
      <c r="M541" s="3054" t="str">
        <f t="shared" si="196"/>
        <v>2</v>
      </c>
      <c r="N541" s="3103">
        <v>2</v>
      </c>
      <c r="O541" s="3100">
        <f t="shared" si="197"/>
        <v>2</v>
      </c>
      <c r="P541" s="3156">
        <f t="shared" si="202"/>
        <v>35.081272826635008</v>
      </c>
      <c r="Q541" s="3156">
        <f t="shared" si="203"/>
        <v>0.80801396145800408</v>
      </c>
      <c r="R541" s="3074">
        <f t="shared" si="198"/>
        <v>1</v>
      </c>
      <c r="S541" s="3073">
        <f t="shared" si="199"/>
        <v>16.755234782870453</v>
      </c>
      <c r="T541" s="3073">
        <f t="shared" si="200"/>
        <v>16</v>
      </c>
      <c r="V541" s="3169">
        <v>2.5</v>
      </c>
    </row>
    <row r="542" spans="1:22" s="693" customFormat="1" hidden="1" outlineLevel="2" x14ac:dyDescent="0.15">
      <c r="A542" s="630" t="str">
        <f t="shared" si="192"/>
        <v>AZISQL P6 (4vc) 4 core (2400 MHz) 28 GB</v>
      </c>
      <c r="B542" s="2036" t="s">
        <v>1711</v>
      </c>
      <c r="C542" s="2024">
        <f t="shared" si="187"/>
        <v>4</v>
      </c>
      <c r="D542" s="2561">
        <f t="shared" si="193"/>
        <v>2</v>
      </c>
      <c r="E542" s="639">
        <v>2400</v>
      </c>
      <c r="F542" s="2011">
        <f t="shared" si="186"/>
        <v>131.29684927974674</v>
      </c>
      <c r="G542" s="2015">
        <f t="shared" si="194"/>
        <v>32.824212319936684</v>
      </c>
      <c r="H542" s="2603">
        <f t="shared" si="195"/>
        <v>2</v>
      </c>
      <c r="I542" s="647" t="s">
        <v>335</v>
      </c>
      <c r="J542" s="2643">
        <v>28</v>
      </c>
      <c r="K542" s="2903">
        <v>1000</v>
      </c>
      <c r="L542" s="2900">
        <f t="shared" si="201"/>
        <v>131400</v>
      </c>
      <c r="M542" s="3054" t="str">
        <f t="shared" si="196"/>
        <v>4</v>
      </c>
      <c r="N542" s="3103">
        <v>2</v>
      </c>
      <c r="O542" s="3100">
        <f t="shared" si="197"/>
        <v>4</v>
      </c>
      <c r="P542" s="3156">
        <f t="shared" si="202"/>
        <v>32.824212319936684</v>
      </c>
      <c r="Q542" s="3156">
        <f t="shared" si="203"/>
        <v>0.75602792291600818</v>
      </c>
      <c r="R542" s="3074">
        <f t="shared" si="198"/>
        <v>1</v>
      </c>
      <c r="S542" s="3073">
        <f t="shared" si="199"/>
        <v>31.354471469790266</v>
      </c>
      <c r="T542" s="3073">
        <f t="shared" si="200"/>
        <v>32</v>
      </c>
      <c r="V542" s="3169">
        <v>5</v>
      </c>
    </row>
    <row r="543" spans="1:22" s="693" customFormat="1" hidden="1" outlineLevel="2" x14ac:dyDescent="0.15">
      <c r="A543" s="630" t="str">
        <f t="shared" si="192"/>
        <v>AZISQL P11 (8vc) 8 core (2400 MHz) 56 GB</v>
      </c>
      <c r="B543" s="2036" t="s">
        <v>1712</v>
      </c>
      <c r="C543" s="2024">
        <f t="shared" si="187"/>
        <v>8</v>
      </c>
      <c r="D543" s="2561">
        <f t="shared" si="193"/>
        <v>2</v>
      </c>
      <c r="E543" s="639">
        <v>2400</v>
      </c>
      <c r="F543" s="2011">
        <f t="shared" si="186"/>
        <v>244.53721450590692</v>
      </c>
      <c r="G543" s="2015">
        <f t="shared" si="194"/>
        <v>30.567151813238365</v>
      </c>
      <c r="H543" s="2603">
        <f t="shared" si="195"/>
        <v>4</v>
      </c>
      <c r="I543" s="647" t="s">
        <v>335</v>
      </c>
      <c r="J543" s="2643">
        <v>56</v>
      </c>
      <c r="K543" s="2903">
        <v>1750</v>
      </c>
      <c r="L543" s="2900">
        <f t="shared" si="201"/>
        <v>247263.26399999997</v>
      </c>
      <c r="M543" s="3054" t="str">
        <f t="shared" si="196"/>
        <v>8</v>
      </c>
      <c r="N543" s="3103">
        <v>2</v>
      </c>
      <c r="O543" s="3100">
        <f t="shared" si="197"/>
        <v>8</v>
      </c>
      <c r="P543" s="3156">
        <f t="shared" si="202"/>
        <v>30.567151813238365</v>
      </c>
      <c r="Q543" s="3156">
        <f t="shared" si="203"/>
        <v>0.70404188437401227</v>
      </c>
      <c r="R543" s="3074">
        <f t="shared" si="198"/>
        <v>1</v>
      </c>
      <c r="S543" s="3073">
        <f t="shared" si="199"/>
        <v>58.396946747679259</v>
      </c>
      <c r="T543" s="3073">
        <f t="shared" si="200"/>
        <v>64</v>
      </c>
      <c r="V543" s="3169">
        <v>9.4087999999999994</v>
      </c>
    </row>
    <row r="544" spans="1:22" s="693" customFormat="1" hidden="1" outlineLevel="2" x14ac:dyDescent="0.15">
      <c r="A544" s="630" t="str">
        <f t="shared" si="192"/>
        <v>AZISQL P15 (16vc) 16 core (2400 MHz) 112 GB</v>
      </c>
      <c r="B544" s="2036" t="s">
        <v>1713</v>
      </c>
      <c r="C544" s="2024">
        <f t="shared" si="187"/>
        <v>16</v>
      </c>
      <c r="D544" s="2561">
        <f t="shared" si="193"/>
        <v>2</v>
      </c>
      <c r="E544" s="639">
        <v>2400</v>
      </c>
      <c r="F544" s="2011">
        <f t="shared" si="186"/>
        <v>452.96146090464066</v>
      </c>
      <c r="G544" s="2015">
        <f t="shared" si="194"/>
        <v>28.310091306540041</v>
      </c>
      <c r="H544" s="2603">
        <f t="shared" si="195"/>
        <v>8</v>
      </c>
      <c r="I544" s="647" t="s">
        <v>335</v>
      </c>
      <c r="J544" s="2643">
        <v>112</v>
      </c>
      <c r="K544" s="2903">
        <v>4000</v>
      </c>
      <c r="L544" s="2900">
        <f t="shared" si="201"/>
        <v>565282.80000000005</v>
      </c>
      <c r="M544" s="3054" t="str">
        <f t="shared" si="196"/>
        <v>16</v>
      </c>
      <c r="N544" s="3103">
        <v>2</v>
      </c>
      <c r="O544" s="3100">
        <f t="shared" si="197"/>
        <v>16</v>
      </c>
      <c r="P544" s="3156">
        <f t="shared" si="202"/>
        <v>28.310091306540041</v>
      </c>
      <c r="Q544" s="3156">
        <f t="shared" si="203"/>
        <v>0.65205584583201637</v>
      </c>
      <c r="R544" s="3074">
        <f t="shared" si="198"/>
        <v>1</v>
      </c>
      <c r="S544" s="3073">
        <f t="shared" si="199"/>
        <v>108.16990111155599</v>
      </c>
      <c r="T544" s="3073">
        <f t="shared" si="200"/>
        <v>128</v>
      </c>
      <c r="V544" s="3169">
        <v>21.51</v>
      </c>
    </row>
    <row r="545" spans="1:22" hidden="1" outlineLevel="1" collapsed="1" x14ac:dyDescent="0.15">
      <c r="A545" s="636"/>
      <c r="B545" s="2040"/>
      <c r="C545" s="2041"/>
      <c r="D545" s="641"/>
      <c r="E545" s="2042"/>
      <c r="F545" s="882"/>
      <c r="G545" s="2019"/>
      <c r="H545" s="2608"/>
      <c r="I545" s="649"/>
      <c r="J545" s="649"/>
      <c r="K545" s="649"/>
      <c r="L545" s="649"/>
      <c r="M545" s="649"/>
      <c r="N545" s="649"/>
      <c r="O545" s="649"/>
      <c r="P545" s="649"/>
      <c r="Q545" s="3160"/>
      <c r="R545" s="3074"/>
      <c r="S545" s="3073"/>
      <c r="V545" s="3164"/>
    </row>
    <row r="546" spans="1:22" collapsed="1" x14ac:dyDescent="0.15">
      <c r="A546" s="627" t="s">
        <v>1733</v>
      </c>
      <c r="B546" s="662" t="str">
        <f>A546</f>
        <v xml:space="preserve"> ==== UNIX Server Candidates ======</v>
      </c>
      <c r="C546" s="657"/>
      <c r="D546" s="2027"/>
      <c r="E546" s="2028"/>
      <c r="F546" s="2013"/>
      <c r="G546" s="2018"/>
      <c r="H546" s="2605"/>
      <c r="I546" s="644"/>
      <c r="J546" s="673"/>
      <c r="K546" s="2651"/>
    </row>
    <row r="547" spans="1:22" hidden="1" outlineLevel="1" x14ac:dyDescent="0.15">
      <c r="A547" s="627" t="s">
        <v>457</v>
      </c>
      <c r="B547" s="662" t="str">
        <f>A547</f>
        <v xml:space="preserve"> ==== Sun Solaris Candidates ======</v>
      </c>
      <c r="C547" s="657"/>
      <c r="D547" s="2027"/>
      <c r="E547" s="2028"/>
      <c r="F547" s="2013"/>
      <c r="G547" s="2018"/>
      <c r="H547" s="2605"/>
      <c r="I547" s="644"/>
      <c r="J547" s="673"/>
      <c r="K547" s="2651"/>
    </row>
    <row r="548" spans="1:22" hidden="1" outlineLevel="1" x14ac:dyDescent="0.15">
      <c r="A548" s="628" t="s">
        <v>158</v>
      </c>
      <c r="B548" s="659" t="str">
        <f>A548</f>
        <v xml:space="preserve"> ==== 2010 Server Platforms ====</v>
      </c>
      <c r="C548" s="656"/>
      <c r="D548" s="2022"/>
      <c r="E548" s="2023"/>
      <c r="F548" s="2010"/>
      <c r="G548" s="2017"/>
      <c r="H548" s="2606"/>
      <c r="I548" s="645"/>
      <c r="J548" s="673"/>
      <c r="K548" s="2651"/>
    </row>
    <row r="549" spans="1:22" hidden="1" outlineLevel="2" x14ac:dyDescent="0.15">
      <c r="A549" s="632" t="str">
        <f>CONCATENATE(B549," ",C549," core (",H549," chip) ",E549," MHz")</f>
        <v>Sun SPARC64 VII 4 core (1 chip) 2750 MHz</v>
      </c>
      <c r="B549" s="2030" t="s">
        <v>195</v>
      </c>
      <c r="C549" s="2031">
        <v>4</v>
      </c>
      <c r="D549" s="51">
        <v>4</v>
      </c>
      <c r="E549" s="639">
        <v>2750</v>
      </c>
      <c r="F549" s="2011">
        <v>45.4</v>
      </c>
      <c r="G549" s="2015">
        <f>F549/C549</f>
        <v>11.35</v>
      </c>
      <c r="H549" s="2607">
        <f>C549/D549</f>
        <v>1</v>
      </c>
      <c r="I549" s="646" t="s">
        <v>416</v>
      </c>
      <c r="J549" s="673"/>
      <c r="K549" s="2651"/>
    </row>
    <row r="550" spans="1:22" hidden="1" outlineLevel="2" x14ac:dyDescent="0.15">
      <c r="A550" s="632" t="str">
        <f>CONCATENATE(B550," ",C550," core (",H550," chip) ",E550," MHz")</f>
        <v>Sun UltraSPARC IV+ 144 core (72 chip) 1500 MHz</v>
      </c>
      <c r="B550" s="2030" t="s">
        <v>194</v>
      </c>
      <c r="C550" s="2031">
        <v>144</v>
      </c>
      <c r="D550" s="51">
        <v>2</v>
      </c>
      <c r="E550" s="639">
        <v>1500</v>
      </c>
      <c r="F550" s="2011">
        <v>23.38095238095238</v>
      </c>
      <c r="G550" s="2015">
        <f>F550/C550</f>
        <v>0.16236772486772486</v>
      </c>
      <c r="H550" s="2607">
        <f>C550/D550</f>
        <v>72</v>
      </c>
      <c r="I550" s="646" t="s">
        <v>416</v>
      </c>
      <c r="J550" s="673"/>
      <c r="K550" s="2651"/>
    </row>
    <row r="551" spans="1:22" hidden="1" outlineLevel="2" x14ac:dyDescent="0.15">
      <c r="A551" s="632" t="str">
        <f>CONCATENATE(B551," ",C551," core (",H551," chip) ",E551," MHz")</f>
        <v>Sun UltraSPARC II 2 core (2 chip) 296 MHz</v>
      </c>
      <c r="B551" s="2030" t="s">
        <v>193</v>
      </c>
      <c r="C551" s="2031">
        <v>2</v>
      </c>
      <c r="D551" s="51">
        <v>1</v>
      </c>
      <c r="E551" s="639">
        <v>296</v>
      </c>
      <c r="F551" s="2011">
        <v>1</v>
      </c>
      <c r="G551" s="2015">
        <f>F551/C551</f>
        <v>0.5</v>
      </c>
      <c r="H551" s="2607">
        <f>C551/D551</f>
        <v>2</v>
      </c>
      <c r="I551" s="646" t="s">
        <v>416</v>
      </c>
      <c r="J551" s="673"/>
      <c r="K551" s="2651"/>
    </row>
    <row r="552" spans="1:22" hidden="1" outlineLevel="1" collapsed="1" x14ac:dyDescent="0.15">
      <c r="A552" s="627" t="s">
        <v>458</v>
      </c>
      <c r="B552" s="662" t="s">
        <v>158</v>
      </c>
      <c r="C552" s="657"/>
      <c r="D552" s="2027"/>
      <c r="E552" s="2028"/>
      <c r="F552" s="2013"/>
      <c r="G552" s="2018"/>
      <c r="H552" s="2605"/>
      <c r="I552" s="644"/>
      <c r="J552" s="673"/>
      <c r="K552" s="2651"/>
    </row>
    <row r="553" spans="1:22" hidden="1" outlineLevel="1" x14ac:dyDescent="0.15">
      <c r="A553" s="628" t="s">
        <v>158</v>
      </c>
      <c r="B553" s="659" t="str">
        <f>A553</f>
        <v xml:space="preserve"> ==== 2010 Server Platforms ====</v>
      </c>
      <c r="C553" s="656"/>
      <c r="D553" s="2022"/>
      <c r="E553" s="2023"/>
      <c r="F553" s="2010"/>
      <c r="G553" s="2017"/>
      <c r="H553" s="2606"/>
      <c r="I553" s="645"/>
      <c r="J553" s="673"/>
      <c r="K553" s="2651"/>
    </row>
    <row r="554" spans="1:22" hidden="1" outlineLevel="2" x14ac:dyDescent="0.15">
      <c r="A554" s="633" t="str">
        <f>CONCATENATE(B554," ",C554," core (",H554," chip) ",E554," MHz")</f>
        <v>Itanium 2 9350 32 core (8 chip) 1730 MHz</v>
      </c>
      <c r="B554" s="2032" t="s">
        <v>192</v>
      </c>
      <c r="C554" s="2033">
        <v>32</v>
      </c>
      <c r="D554" s="51">
        <v>4</v>
      </c>
      <c r="E554" s="639">
        <v>1730</v>
      </c>
      <c r="F554" s="2011">
        <v>507</v>
      </c>
      <c r="G554" s="2015">
        <f>F554/C554</f>
        <v>15.84375</v>
      </c>
      <c r="H554" s="2607">
        <f>C554/D554</f>
        <v>8</v>
      </c>
      <c r="I554" s="646" t="s">
        <v>322</v>
      </c>
      <c r="J554" s="673"/>
      <c r="K554" s="2651"/>
    </row>
    <row r="555" spans="1:22" hidden="1" outlineLevel="2" x14ac:dyDescent="0.15">
      <c r="A555" s="633" t="str">
        <f t="shared" ref="A555:A563" si="204">CONCATENATE(B555," ",C555," core (",H555," chip) ",E555," MHz")</f>
        <v>Itanium 24 core (24 chip) 1600 MHz</v>
      </c>
      <c r="B555" s="2032" t="s">
        <v>322</v>
      </c>
      <c r="C555" s="2033">
        <v>24</v>
      </c>
      <c r="D555" s="51">
        <v>1</v>
      </c>
      <c r="E555" s="639">
        <v>1600</v>
      </c>
      <c r="F555" s="2011">
        <v>195.23809523809524</v>
      </c>
      <c r="G555" s="2015">
        <f t="shared" ref="G555:G563" si="205">F555/C555</f>
        <v>8.1349206349206344</v>
      </c>
      <c r="H555" s="2607">
        <f t="shared" ref="H555:H563" si="206">C555/D555</f>
        <v>24</v>
      </c>
      <c r="I555" s="646" t="s">
        <v>322</v>
      </c>
      <c r="J555" s="673"/>
      <c r="K555" s="2651"/>
    </row>
    <row r="556" spans="1:22" hidden="1" outlineLevel="2" x14ac:dyDescent="0.15">
      <c r="A556" s="633" t="str">
        <f t="shared" si="204"/>
        <v>Itanium 8 core (8 chip) 1600 MHz</v>
      </c>
      <c r="B556" s="2032" t="s">
        <v>322</v>
      </c>
      <c r="C556" s="2033">
        <v>8</v>
      </c>
      <c r="D556" s="51">
        <v>1</v>
      </c>
      <c r="E556" s="639">
        <v>1600</v>
      </c>
      <c r="F556" s="2011">
        <v>63.80952380952381</v>
      </c>
      <c r="G556" s="2015">
        <f t="shared" si="205"/>
        <v>7.9761904761904763</v>
      </c>
      <c r="H556" s="2607">
        <f t="shared" si="206"/>
        <v>8</v>
      </c>
      <c r="I556" s="646" t="s">
        <v>322</v>
      </c>
      <c r="J556" s="673"/>
      <c r="K556" s="2651"/>
    </row>
    <row r="557" spans="1:22" hidden="1" outlineLevel="2" x14ac:dyDescent="0.15">
      <c r="A557" s="633" t="str">
        <f t="shared" si="204"/>
        <v>Itanium 12 core (12 chip) 1600 MHz</v>
      </c>
      <c r="B557" s="2032" t="s">
        <v>322</v>
      </c>
      <c r="C557" s="2033">
        <v>12</v>
      </c>
      <c r="D557" s="51">
        <v>1</v>
      </c>
      <c r="E557" s="639">
        <v>1600</v>
      </c>
      <c r="F557" s="2011">
        <v>95.238095238095241</v>
      </c>
      <c r="G557" s="2015">
        <f t="shared" si="205"/>
        <v>7.9365079365079367</v>
      </c>
      <c r="H557" s="2607">
        <f t="shared" si="206"/>
        <v>12</v>
      </c>
      <c r="I557" s="646" t="s">
        <v>322</v>
      </c>
      <c r="J557" s="673"/>
      <c r="K557" s="2651"/>
    </row>
    <row r="558" spans="1:22" hidden="1" outlineLevel="2" x14ac:dyDescent="0.15">
      <c r="A558" s="633" t="str">
        <f t="shared" si="204"/>
        <v>Itanium 16 core (16 chip) 1600 MHz</v>
      </c>
      <c r="B558" s="2032" t="s">
        <v>322</v>
      </c>
      <c r="C558" s="2033">
        <v>16</v>
      </c>
      <c r="D558" s="51">
        <v>1</v>
      </c>
      <c r="E558" s="639">
        <v>1600</v>
      </c>
      <c r="F558" s="2011">
        <v>126.66666666666666</v>
      </c>
      <c r="G558" s="2015">
        <f t="shared" si="205"/>
        <v>7.9166666666666661</v>
      </c>
      <c r="H558" s="2607">
        <f t="shared" si="206"/>
        <v>16</v>
      </c>
      <c r="I558" s="646" t="s">
        <v>322</v>
      </c>
      <c r="J558" s="673"/>
      <c r="K558" s="2651"/>
    </row>
    <row r="559" spans="1:22" hidden="1" outlineLevel="2" x14ac:dyDescent="0.15">
      <c r="A559" s="633" t="str">
        <f t="shared" si="204"/>
        <v>Itanium 3 core (3 chip) 1600 MHz</v>
      </c>
      <c r="B559" s="2032" t="s">
        <v>322</v>
      </c>
      <c r="C559" s="2033">
        <v>3</v>
      </c>
      <c r="D559" s="51">
        <v>1</v>
      </c>
      <c r="E559" s="639">
        <v>1600</v>
      </c>
      <c r="F559" s="2011">
        <v>16.904761904761905</v>
      </c>
      <c r="G559" s="2015">
        <f t="shared" si="205"/>
        <v>5.6349206349206353</v>
      </c>
      <c r="H559" s="2607">
        <f t="shared" si="206"/>
        <v>3</v>
      </c>
      <c r="I559" s="646" t="s">
        <v>322</v>
      </c>
      <c r="J559" s="673"/>
      <c r="K559" s="2651"/>
    </row>
    <row r="560" spans="1:22" hidden="1" outlineLevel="2" x14ac:dyDescent="0.15">
      <c r="A560" s="633" t="str">
        <f t="shared" si="204"/>
        <v>Itanium 12 core (12 chip) 1600 MHz</v>
      </c>
      <c r="B560" s="2032" t="s">
        <v>322</v>
      </c>
      <c r="C560" s="2033">
        <f>(C558+C561)/2</f>
        <v>12</v>
      </c>
      <c r="D560" s="51">
        <v>1</v>
      </c>
      <c r="E560" s="639">
        <v>1600</v>
      </c>
      <c r="F560" s="2011">
        <v>79.523809523809518</v>
      </c>
      <c r="G560" s="2015">
        <f t="shared" si="205"/>
        <v>6.6269841269841265</v>
      </c>
      <c r="H560" s="2607">
        <f t="shared" si="206"/>
        <v>12</v>
      </c>
      <c r="I560" s="646" t="s">
        <v>322</v>
      </c>
      <c r="J560" s="673"/>
      <c r="K560" s="2651"/>
    </row>
    <row r="561" spans="1:11" hidden="1" outlineLevel="2" x14ac:dyDescent="0.15">
      <c r="A561" s="633" t="str">
        <f t="shared" si="204"/>
        <v>PA-8801 8 core (4 chip) 1000 MHz</v>
      </c>
      <c r="B561" s="2034" t="s">
        <v>444</v>
      </c>
      <c r="C561" s="2035">
        <v>8</v>
      </c>
      <c r="D561" s="51">
        <v>2</v>
      </c>
      <c r="E561" s="639">
        <v>1000</v>
      </c>
      <c r="F561" s="2011">
        <v>34.857142857142854</v>
      </c>
      <c r="G561" s="2015">
        <f t="shared" si="205"/>
        <v>4.3571428571428568</v>
      </c>
      <c r="H561" s="2607">
        <f t="shared" si="206"/>
        <v>4</v>
      </c>
      <c r="I561" s="646" t="s">
        <v>323</v>
      </c>
      <c r="J561" s="673"/>
      <c r="K561" s="2651"/>
    </row>
    <row r="562" spans="1:11" hidden="1" outlineLevel="2" x14ac:dyDescent="0.15">
      <c r="A562" s="633" t="str">
        <f t="shared" si="204"/>
        <v>PA-8802 16 core (8 chip) 1000 MHz</v>
      </c>
      <c r="B562" s="2034" t="s">
        <v>445</v>
      </c>
      <c r="C562" s="2035">
        <v>16</v>
      </c>
      <c r="D562" s="51">
        <v>2</v>
      </c>
      <c r="E562" s="639">
        <v>1000</v>
      </c>
      <c r="F562" s="2011">
        <v>67.142857142857139</v>
      </c>
      <c r="G562" s="2015">
        <f t="shared" si="205"/>
        <v>4.1964285714285712</v>
      </c>
      <c r="H562" s="2607">
        <f t="shared" si="206"/>
        <v>8</v>
      </c>
      <c r="I562" s="646" t="s">
        <v>323</v>
      </c>
      <c r="J562" s="673"/>
      <c r="K562" s="2651"/>
    </row>
    <row r="563" spans="1:11" hidden="1" outlineLevel="2" x14ac:dyDescent="0.15">
      <c r="A563" s="633" t="str">
        <f t="shared" si="204"/>
        <v>PA-8800 4 core (4 chip) 875 MHz</v>
      </c>
      <c r="B563" s="2034" t="s">
        <v>443</v>
      </c>
      <c r="C563" s="2035">
        <v>4</v>
      </c>
      <c r="D563" s="51">
        <v>1</v>
      </c>
      <c r="E563" s="639">
        <v>875</v>
      </c>
      <c r="F563" s="2011">
        <v>12.857142857142856</v>
      </c>
      <c r="G563" s="2015">
        <f t="shared" si="205"/>
        <v>3.214285714285714</v>
      </c>
      <c r="H563" s="2607">
        <f t="shared" si="206"/>
        <v>4</v>
      </c>
      <c r="I563" s="646" t="s">
        <v>323</v>
      </c>
      <c r="J563" s="673"/>
      <c r="K563" s="2651"/>
    </row>
    <row r="564" spans="1:11" hidden="1" outlineLevel="1" collapsed="1" x14ac:dyDescent="0.15">
      <c r="A564" s="627" t="s">
        <v>459</v>
      </c>
      <c r="B564" s="662" t="str">
        <f>A564</f>
        <v xml:space="preserve"> ==== IBM AIX Candidates ======</v>
      </c>
      <c r="C564" s="657"/>
      <c r="D564" s="2027"/>
      <c r="E564" s="2028"/>
      <c r="F564" s="2013"/>
      <c r="G564" s="2018"/>
      <c r="H564" s="2605"/>
      <c r="I564" s="644"/>
      <c r="J564" s="673"/>
      <c r="K564" s="2651"/>
    </row>
    <row r="565" spans="1:11" hidden="1" outlineLevel="1" x14ac:dyDescent="0.15">
      <c r="A565" s="628" t="s">
        <v>158</v>
      </c>
      <c r="B565" s="659" t="str">
        <f>A565</f>
        <v xml:space="preserve"> ==== 2010 Server Platforms ====</v>
      </c>
      <c r="C565" s="656"/>
      <c r="D565" s="2022"/>
      <c r="E565" s="2023"/>
      <c r="F565" s="2010"/>
      <c r="G565" s="2017"/>
      <c r="H565" s="2606"/>
      <c r="I565" s="645"/>
      <c r="J565" s="673"/>
      <c r="K565" s="2651"/>
    </row>
    <row r="566" spans="1:11" hidden="1" outlineLevel="2" x14ac:dyDescent="0.15">
      <c r="A566" s="634" t="str">
        <f>CONCATENATE(B566," ",C566," core (",H566," chip) ",E566," MHz")</f>
        <v>IBM p7 32 core (8 chip) 4140 MHz</v>
      </c>
      <c r="B566" s="2036" t="s">
        <v>191</v>
      </c>
      <c r="C566" s="2037">
        <v>32</v>
      </c>
      <c r="D566" s="51">
        <v>4</v>
      </c>
      <c r="E566" s="639">
        <v>4140</v>
      </c>
      <c r="F566" s="2011">
        <v>1310</v>
      </c>
      <c r="G566" s="2015">
        <f>F566/C566</f>
        <v>40.9375</v>
      </c>
      <c r="H566" s="2607">
        <f>C566/D566</f>
        <v>8</v>
      </c>
      <c r="I566" s="646" t="s">
        <v>324</v>
      </c>
      <c r="J566" s="673"/>
      <c r="K566" s="2651"/>
    </row>
    <row r="567" spans="1:11" hidden="1" outlineLevel="2" x14ac:dyDescent="0.15">
      <c r="A567" s="634" t="str">
        <f>CONCATENATE(B567," ",C567," core (",H567," chip) ",E567," MHz")</f>
        <v>IBM p7 64 core (8 chip) 3860 MHz</v>
      </c>
      <c r="B567" s="2036" t="s">
        <v>191</v>
      </c>
      <c r="C567" s="2037">
        <v>64</v>
      </c>
      <c r="D567" s="51">
        <v>8</v>
      </c>
      <c r="E567" s="639">
        <v>3860</v>
      </c>
      <c r="F567" s="2011">
        <v>2340</v>
      </c>
      <c r="G567" s="2015">
        <f>F567/C567</f>
        <v>36.5625</v>
      </c>
      <c r="H567" s="2607">
        <f>C567/D567</f>
        <v>8</v>
      </c>
      <c r="I567" s="646" t="s">
        <v>324</v>
      </c>
      <c r="J567" s="673"/>
      <c r="K567" s="2651"/>
    </row>
    <row r="568" spans="1:11" hidden="1" outlineLevel="2" x14ac:dyDescent="0.15">
      <c r="A568" s="634" t="str">
        <f>CONCATENATE(B568," ",C568," core (",H568," chip) ",E568," MHz")</f>
        <v>IBM p7 16 core (2 chip) 3000 MHz</v>
      </c>
      <c r="B568" s="2036" t="s">
        <v>191</v>
      </c>
      <c r="C568" s="2037">
        <v>16</v>
      </c>
      <c r="D568" s="55">
        <v>8</v>
      </c>
      <c r="E568" s="639">
        <v>3000</v>
      </c>
      <c r="F568" s="2011">
        <v>586</v>
      </c>
      <c r="G568" s="2015">
        <f>F568/C568</f>
        <v>36.625</v>
      </c>
      <c r="H568" s="2607">
        <f>C568/D568</f>
        <v>2</v>
      </c>
      <c r="I568" s="646" t="s">
        <v>324</v>
      </c>
      <c r="J568" s="673"/>
      <c r="K568" s="2651"/>
    </row>
    <row r="569" spans="1:11" hidden="1" outlineLevel="2" x14ac:dyDescent="0.15">
      <c r="A569" s="634" t="str">
        <f>CONCATENATE(B569," ",C569," core (",H569," chip) ",E569," MHz")</f>
        <v>IBM p7 64 core (8 chip) 3860 MHz</v>
      </c>
      <c r="B569" s="2036" t="s">
        <v>191</v>
      </c>
      <c r="C569" s="2037">
        <v>64</v>
      </c>
      <c r="D569" s="55">
        <v>8</v>
      </c>
      <c r="E569" s="639">
        <v>3860</v>
      </c>
      <c r="F569" s="2011">
        <v>2299</v>
      </c>
      <c r="G569" s="2015">
        <f>F569/C569</f>
        <v>35.921875</v>
      </c>
      <c r="H569" s="2607">
        <f>C569/D569</f>
        <v>8</v>
      </c>
      <c r="I569" s="646" t="s">
        <v>324</v>
      </c>
      <c r="J569" s="673"/>
      <c r="K569" s="2651"/>
    </row>
    <row r="570" spans="1:11" hidden="1" outlineLevel="2" x14ac:dyDescent="0.15">
      <c r="A570" s="634" t="str">
        <f t="shared" ref="A570:A580" si="207">CONCATENATE(B570," ",C570," core (",H570," chip) ",E570," MHz")</f>
        <v>IBM p575 8 core (8 chip) 2200 MHz</v>
      </c>
      <c r="B570" s="2036" t="s">
        <v>448</v>
      </c>
      <c r="C570" s="2037">
        <v>8</v>
      </c>
      <c r="D570" s="51">
        <v>1</v>
      </c>
      <c r="E570" s="639">
        <v>2200</v>
      </c>
      <c r="F570" s="2011">
        <v>95.238095238095241</v>
      </c>
      <c r="G570" s="2015">
        <f t="shared" ref="G570:G580" si="208">F570/C570</f>
        <v>11.904761904761905</v>
      </c>
      <c r="H570" s="2607">
        <f t="shared" ref="H570:H580" si="209">C570/D570</f>
        <v>8</v>
      </c>
      <c r="I570" s="646" t="s">
        <v>324</v>
      </c>
      <c r="J570" s="673"/>
      <c r="K570" s="2651"/>
    </row>
    <row r="571" spans="1:11" hidden="1" outlineLevel="2" x14ac:dyDescent="0.15">
      <c r="A571" s="634" t="str">
        <f t="shared" si="207"/>
        <v>IBM p595 64 core (32 chip) 2300 MHz</v>
      </c>
      <c r="B571" s="2036" t="s">
        <v>449</v>
      </c>
      <c r="C571" s="2037">
        <v>64</v>
      </c>
      <c r="D571" s="51">
        <v>2</v>
      </c>
      <c r="E571" s="639">
        <v>2300</v>
      </c>
      <c r="F571" s="2011">
        <v>720.47619047619048</v>
      </c>
      <c r="G571" s="2015">
        <f t="shared" si="208"/>
        <v>11.257440476190476</v>
      </c>
      <c r="H571" s="2607">
        <f t="shared" si="209"/>
        <v>32</v>
      </c>
      <c r="I571" s="646" t="s">
        <v>324</v>
      </c>
      <c r="J571" s="673"/>
      <c r="K571" s="2651"/>
    </row>
    <row r="572" spans="1:11" hidden="1" outlineLevel="2" x14ac:dyDescent="0.15">
      <c r="A572" s="634" t="str">
        <f t="shared" si="207"/>
        <v>IBM p550 4 core (2 chip) 2100 MHz</v>
      </c>
      <c r="B572" s="2036" t="s">
        <v>446</v>
      </c>
      <c r="C572" s="2037">
        <v>4</v>
      </c>
      <c r="D572" s="51">
        <v>2</v>
      </c>
      <c r="E572" s="639">
        <v>2100</v>
      </c>
      <c r="F572" s="2011">
        <v>42.857142857142854</v>
      </c>
      <c r="G572" s="2015">
        <f t="shared" si="208"/>
        <v>10.714285714285714</v>
      </c>
      <c r="H572" s="2607">
        <f t="shared" si="209"/>
        <v>2</v>
      </c>
      <c r="I572" s="646" t="s">
        <v>324</v>
      </c>
      <c r="J572" s="673"/>
      <c r="K572" s="2651"/>
    </row>
    <row r="573" spans="1:11" hidden="1" outlineLevel="2" x14ac:dyDescent="0.15">
      <c r="A573" s="634" t="str">
        <f t="shared" si="207"/>
        <v>IBM p570 4 core (2 chip) 1900 MHz</v>
      </c>
      <c r="B573" s="2036" t="s">
        <v>447</v>
      </c>
      <c r="C573" s="2037">
        <v>4</v>
      </c>
      <c r="D573" s="51">
        <v>2</v>
      </c>
      <c r="E573" s="639">
        <v>1900</v>
      </c>
      <c r="F573" s="2011">
        <v>36.333333333333329</v>
      </c>
      <c r="G573" s="2015">
        <f t="shared" si="208"/>
        <v>9.0833333333333321</v>
      </c>
      <c r="H573" s="2607">
        <f t="shared" si="209"/>
        <v>2</v>
      </c>
      <c r="I573" s="646" t="s">
        <v>324</v>
      </c>
      <c r="J573" s="673"/>
      <c r="K573" s="2651"/>
    </row>
    <row r="574" spans="1:11" hidden="1" outlineLevel="2" x14ac:dyDescent="0.15">
      <c r="A574" s="634" t="str">
        <f t="shared" si="207"/>
        <v>IBM p570 8 core (4 chip) 1900 MHz</v>
      </c>
      <c r="B574" s="2036" t="s">
        <v>447</v>
      </c>
      <c r="C574" s="2037">
        <v>8</v>
      </c>
      <c r="D574" s="55">
        <v>2</v>
      </c>
      <c r="E574" s="639">
        <v>1900</v>
      </c>
      <c r="F574" s="2011">
        <v>70.904761904761898</v>
      </c>
      <c r="G574" s="2015">
        <f t="shared" si="208"/>
        <v>8.8630952380952372</v>
      </c>
      <c r="H574" s="2607">
        <f t="shared" si="209"/>
        <v>4</v>
      </c>
      <c r="I574" s="646" t="s">
        <v>324</v>
      </c>
      <c r="J574" s="673"/>
      <c r="K574" s="2651"/>
    </row>
    <row r="575" spans="1:11" hidden="1" outlineLevel="2" x14ac:dyDescent="0.15">
      <c r="A575" s="634" t="str">
        <f t="shared" si="207"/>
        <v>IBM p570 16 core (8 chip) 1900 MHz</v>
      </c>
      <c r="B575" s="2036" t="s">
        <v>447</v>
      </c>
      <c r="C575" s="2037">
        <v>16</v>
      </c>
      <c r="D575" s="55">
        <v>2</v>
      </c>
      <c r="E575" s="639">
        <v>1900</v>
      </c>
      <c r="F575" s="2011">
        <v>140</v>
      </c>
      <c r="G575" s="2015">
        <f t="shared" si="208"/>
        <v>8.75</v>
      </c>
      <c r="H575" s="2607">
        <f t="shared" si="209"/>
        <v>8</v>
      </c>
      <c r="I575" s="646" t="s">
        <v>324</v>
      </c>
      <c r="J575" s="673"/>
      <c r="K575" s="2651"/>
    </row>
    <row r="576" spans="1:11" hidden="1" outlineLevel="2" x14ac:dyDescent="0.15">
      <c r="A576" s="634" t="str">
        <f t="shared" si="207"/>
        <v>IBM p570 64 core (32 chip) 1900 MHz</v>
      </c>
      <c r="B576" s="2036" t="s">
        <v>447</v>
      </c>
      <c r="C576" s="2037">
        <v>64</v>
      </c>
      <c r="D576" s="51">
        <v>2</v>
      </c>
      <c r="E576" s="639">
        <v>1900</v>
      </c>
      <c r="F576" s="2011">
        <v>546.19047619047615</v>
      </c>
      <c r="G576" s="2015">
        <f t="shared" si="208"/>
        <v>8.5342261904761898</v>
      </c>
      <c r="H576" s="2607">
        <f t="shared" si="209"/>
        <v>32</v>
      </c>
      <c r="I576" s="646" t="s">
        <v>324</v>
      </c>
      <c r="J576" s="673"/>
      <c r="K576" s="2651"/>
    </row>
    <row r="577" spans="1:20" hidden="1" outlineLevel="2" x14ac:dyDescent="0.15">
      <c r="A577" s="634" t="str">
        <f t="shared" si="207"/>
        <v>IBM p570 56 core (28 chip) 1900 MHz</v>
      </c>
      <c r="B577" s="2036" t="s">
        <v>447</v>
      </c>
      <c r="C577" s="2037">
        <v>56</v>
      </c>
      <c r="D577" s="55">
        <v>2</v>
      </c>
      <c r="E577" s="639">
        <v>1900</v>
      </c>
      <c r="F577" s="2011">
        <v>475.59523809523807</v>
      </c>
      <c r="G577" s="2015">
        <f t="shared" si="208"/>
        <v>8.4927721088435373</v>
      </c>
      <c r="H577" s="2607">
        <f t="shared" si="209"/>
        <v>28</v>
      </c>
      <c r="I577" s="646" t="s">
        <v>324</v>
      </c>
      <c r="J577" s="673"/>
      <c r="K577" s="2651"/>
    </row>
    <row r="578" spans="1:20" hidden="1" outlineLevel="2" x14ac:dyDescent="0.15">
      <c r="A578" s="634" t="str">
        <f t="shared" si="207"/>
        <v>IBM p570 48 core (24 chip) 1900 MHz</v>
      </c>
      <c r="B578" s="2036" t="s">
        <v>447</v>
      </c>
      <c r="C578" s="2037">
        <v>48</v>
      </c>
      <c r="D578" s="55">
        <v>2</v>
      </c>
      <c r="E578" s="639">
        <v>1900</v>
      </c>
      <c r="F578" s="2011">
        <v>405</v>
      </c>
      <c r="G578" s="2015">
        <f t="shared" si="208"/>
        <v>8.4375</v>
      </c>
      <c r="H578" s="2607">
        <f t="shared" si="209"/>
        <v>24</v>
      </c>
      <c r="I578" s="646" t="s">
        <v>324</v>
      </c>
      <c r="J578" s="673"/>
      <c r="K578" s="2651"/>
    </row>
    <row r="579" spans="1:20" hidden="1" outlineLevel="2" x14ac:dyDescent="0.15">
      <c r="A579" s="634" t="str">
        <f t="shared" si="207"/>
        <v>IBM p570 40 core (20 chip) 1900 MHz</v>
      </c>
      <c r="B579" s="2036" t="s">
        <v>447</v>
      </c>
      <c r="C579" s="2037">
        <v>40</v>
      </c>
      <c r="D579" s="51">
        <v>2</v>
      </c>
      <c r="E579" s="639">
        <v>1900</v>
      </c>
      <c r="F579" s="2011">
        <v>334.40476190476187</v>
      </c>
      <c r="G579" s="2015">
        <f t="shared" si="208"/>
        <v>8.3601190476190474</v>
      </c>
      <c r="H579" s="2607">
        <f t="shared" si="209"/>
        <v>20</v>
      </c>
      <c r="I579" s="646" t="s">
        <v>324</v>
      </c>
      <c r="J579" s="673"/>
      <c r="K579" s="2651"/>
    </row>
    <row r="580" spans="1:20" hidden="1" outlineLevel="2" x14ac:dyDescent="0.15">
      <c r="A580" s="634" t="str">
        <f t="shared" si="207"/>
        <v>IBM p570 32 core (16 chip) 1900 MHz</v>
      </c>
      <c r="B580" s="2036" t="s">
        <v>447</v>
      </c>
      <c r="C580" s="2037">
        <v>32</v>
      </c>
      <c r="D580" s="51">
        <v>2</v>
      </c>
      <c r="E580" s="639">
        <v>1900</v>
      </c>
      <c r="F580" s="2011">
        <v>263.8095238095238</v>
      </c>
      <c r="G580" s="2015">
        <f t="shared" si="208"/>
        <v>8.2440476190476186</v>
      </c>
      <c r="H580" s="2607">
        <f t="shared" si="209"/>
        <v>16</v>
      </c>
      <c r="I580" s="646" t="s">
        <v>324</v>
      </c>
      <c r="J580" s="673"/>
      <c r="K580" s="2651"/>
    </row>
    <row r="581" spans="1:20" hidden="1" outlineLevel="1" collapsed="1" x14ac:dyDescent="0.15">
      <c r="A581" s="636"/>
      <c r="B581" s="2040"/>
      <c r="C581" s="2041"/>
      <c r="D581" s="641"/>
      <c r="E581" s="2042"/>
      <c r="F581" s="882"/>
      <c r="G581" s="2019"/>
      <c r="H581" s="2608"/>
      <c r="I581" s="649"/>
      <c r="J581" s="2646"/>
      <c r="K581" s="2651"/>
    </row>
    <row r="582" spans="1:20" collapsed="1" x14ac:dyDescent="0.15">
      <c r="A582" s="627" t="s">
        <v>1863</v>
      </c>
      <c r="B582" s="662" t="str">
        <f>A582</f>
        <v xml:space="preserve"> ==== SADS Class Demo Platforms ======</v>
      </c>
      <c r="C582" s="2354"/>
      <c r="D582" s="2355"/>
      <c r="E582" s="2356"/>
      <c r="F582" s="2357"/>
      <c r="G582" s="2358"/>
      <c r="H582" s="2657"/>
      <c r="I582" s="644"/>
      <c r="J582" s="2839"/>
    </row>
    <row r="583" spans="1:20" hidden="1" outlineLevel="1" collapsed="1" x14ac:dyDescent="0.15">
      <c r="A583" s="3041" t="s">
        <v>1235</v>
      </c>
      <c r="B583" s="3042" t="str">
        <f>A583</f>
        <v xml:space="preserve"> ==== SADS Exercise 1 Server Candidates ======</v>
      </c>
      <c r="C583" s="3043"/>
      <c r="D583" s="3044"/>
      <c r="E583" s="3045"/>
      <c r="F583" s="3046"/>
      <c r="G583" s="3047"/>
      <c r="H583" s="3048"/>
      <c r="I583" s="3049"/>
      <c r="J583" s="3049"/>
    </row>
    <row r="584" spans="1:20" hidden="1" outlineLevel="2" x14ac:dyDescent="0.15">
      <c r="A584" s="630" t="str">
        <f t="shared" ref="A584:A586" si="210">CONCATENATE(B584," ",C584," core (",H584," chip) ",E584," MHz")&amp;IF(ISBLANK(F584),"**","")</f>
        <v>HP Xeon E3-1280v6 4 core (1 chip) 3900 MHz</v>
      </c>
      <c r="B584" s="661" t="s">
        <v>1900</v>
      </c>
      <c r="C584" s="2024">
        <v>4</v>
      </c>
      <c r="D584" s="52">
        <v>4</v>
      </c>
      <c r="E584" s="639">
        <v>3900</v>
      </c>
      <c r="F584" s="2192">
        <v>274</v>
      </c>
      <c r="G584" s="2193">
        <f t="shared" ref="G584:G586" si="211">F584/C584</f>
        <v>68.5</v>
      </c>
      <c r="H584" s="2603">
        <f t="shared" ref="H584:H586" si="212">C584/D584</f>
        <v>1</v>
      </c>
      <c r="I584" s="646" t="s">
        <v>335</v>
      </c>
      <c r="J584" s="2048"/>
      <c r="K584" s="2647" t="s">
        <v>1595</v>
      </c>
      <c r="L584" s="1149"/>
      <c r="M584" s="1149"/>
      <c r="N584" s="1149"/>
      <c r="O584" s="1149"/>
      <c r="P584" s="2196"/>
      <c r="Q584" s="2196"/>
      <c r="R584" s="2196"/>
      <c r="S584" s="2196"/>
      <c r="T584" s="1149"/>
    </row>
    <row r="585" spans="1:20" hidden="1" outlineLevel="2" x14ac:dyDescent="0.15">
      <c r="A585" s="630" t="str">
        <f t="shared" si="210"/>
        <v>Dell Xeon Gold 5122 4 core (1 chip) 3600 MHz</v>
      </c>
      <c r="B585" s="661" t="s">
        <v>1901</v>
      </c>
      <c r="C585" s="2024">
        <v>4</v>
      </c>
      <c r="D585" s="52">
        <v>4</v>
      </c>
      <c r="E585" s="639">
        <v>3600</v>
      </c>
      <c r="F585" s="2192">
        <v>279</v>
      </c>
      <c r="G585" s="2193">
        <f t="shared" si="211"/>
        <v>69.75</v>
      </c>
      <c r="H585" s="2603">
        <f t="shared" si="212"/>
        <v>1</v>
      </c>
      <c r="I585" s="646" t="s">
        <v>335</v>
      </c>
      <c r="J585" s="2048"/>
      <c r="K585" s="2647" t="s">
        <v>1594</v>
      </c>
      <c r="L585" s="1149"/>
      <c r="M585" s="1149"/>
      <c r="N585" s="1149"/>
      <c r="O585" s="1149"/>
      <c r="P585" s="2196"/>
      <c r="Q585" s="2196"/>
      <c r="R585" s="2196"/>
      <c r="S585" s="2196"/>
      <c r="T585" s="1149"/>
    </row>
    <row r="586" spans="1:20" hidden="1" outlineLevel="2" x14ac:dyDescent="0.15">
      <c r="A586" s="630" t="str">
        <f t="shared" si="210"/>
        <v>IBM Xeon E3-1280v5 4 core (1 chip) 3700 MHz</v>
      </c>
      <c r="B586" s="661" t="s">
        <v>1902</v>
      </c>
      <c r="C586" s="2024">
        <v>4</v>
      </c>
      <c r="D586" s="52">
        <v>4</v>
      </c>
      <c r="E586" s="639">
        <v>3700</v>
      </c>
      <c r="F586" s="2192">
        <v>252</v>
      </c>
      <c r="G586" s="2193">
        <f t="shared" si="211"/>
        <v>63</v>
      </c>
      <c r="H586" s="2603">
        <f t="shared" si="212"/>
        <v>1</v>
      </c>
      <c r="I586" s="646" t="s">
        <v>335</v>
      </c>
      <c r="J586" s="2048"/>
      <c r="K586" s="2647" t="s">
        <v>1422</v>
      </c>
      <c r="L586" s="1149"/>
      <c r="M586" s="1149"/>
      <c r="N586" s="1149"/>
      <c r="O586" s="1149"/>
      <c r="P586" s="2196"/>
      <c r="Q586" s="2196"/>
      <c r="R586" s="2196"/>
      <c r="S586" s="2196"/>
      <c r="T586" s="1149"/>
    </row>
    <row r="587" spans="1:20" s="693" customFormat="1" hidden="1" outlineLevel="2" x14ac:dyDescent="0.15">
      <c r="A587" s="630" t="str">
        <f t="shared" ref="A587" si="213">CONCATENATE(B587," ",C587," core (",H587," chip) ",E587," MHz")</f>
        <v>2013 Xeon E3-1270V2 4 core (1 chip) 3500 MHz</v>
      </c>
      <c r="B587" s="661" t="s">
        <v>1899</v>
      </c>
      <c r="C587" s="2025">
        <v>4</v>
      </c>
      <c r="D587" s="50">
        <v>4</v>
      </c>
      <c r="E587" s="639">
        <v>3500</v>
      </c>
      <c r="F587" s="2012">
        <v>191</v>
      </c>
      <c r="G587" s="2015">
        <f>IF(F587=0,"",F587/C587)</f>
        <v>47.75</v>
      </c>
      <c r="H587" s="2603">
        <f>IF(C587=0,"",C587/D587)</f>
        <v>1</v>
      </c>
      <c r="I587" s="647" t="s">
        <v>335</v>
      </c>
      <c r="J587" s="2048">
        <v>69</v>
      </c>
      <c r="K587" s="2650"/>
      <c r="L587" s="1891"/>
      <c r="M587" s="1891"/>
      <c r="N587" s="1891"/>
      <c r="O587" s="1891"/>
      <c r="P587" s="1305"/>
      <c r="Q587" s="1305"/>
    </row>
    <row r="588" spans="1:20" hidden="1" outlineLevel="1" collapsed="1" x14ac:dyDescent="0.15">
      <c r="A588" s="3041" t="s">
        <v>1849</v>
      </c>
      <c r="B588" s="3042" t="str">
        <f>A588</f>
        <v xml:space="preserve"> ==== SADS Exercise 7 Best Buy ======</v>
      </c>
      <c r="C588" s="3043"/>
      <c r="D588" s="3044"/>
      <c r="E588" s="3045"/>
      <c r="F588" s="3046"/>
      <c r="G588" s="3047"/>
      <c r="H588" s="3050"/>
      <c r="I588" s="3049"/>
      <c r="J588" s="3051"/>
      <c r="K588" s="2651"/>
    </row>
    <row r="589" spans="1:20" hidden="1" outlineLevel="2" x14ac:dyDescent="0.15">
      <c r="A589" s="630" t="str">
        <f t="shared" ref="A589:A594" si="214">CONCATENATE(B589," ",C589," core (",H589," chip) ",E589," MHz")&amp;IF(ISBLANK(F589),"**","")</f>
        <v>BB_Xeon Gold 5122 4 core (1 chip) 3600 MHz</v>
      </c>
      <c r="B589" s="661" t="s">
        <v>1850</v>
      </c>
      <c r="C589" s="2024">
        <v>4</v>
      </c>
      <c r="D589" s="52">
        <v>4</v>
      </c>
      <c r="E589" s="639">
        <v>3600</v>
      </c>
      <c r="F589" s="2192">
        <f>F590/2</f>
        <v>272</v>
      </c>
      <c r="G589" s="2193">
        <f t="shared" ref="G589:G594" si="215">F589/C589</f>
        <v>68</v>
      </c>
      <c r="H589" s="2603">
        <f t="shared" ref="H589:H594" si="216">C589/D589</f>
        <v>1</v>
      </c>
      <c r="I589" s="646" t="s">
        <v>335</v>
      </c>
      <c r="J589" s="2048"/>
      <c r="K589" s="2647" t="s">
        <v>1594</v>
      </c>
      <c r="L589" s="1149"/>
      <c r="M589" s="1149"/>
      <c r="N589" s="1149"/>
      <c r="O589" s="1149"/>
      <c r="P589" s="2196"/>
      <c r="Q589" s="2196"/>
      <c r="R589" s="2196"/>
      <c r="S589" s="2196"/>
      <c r="T589" s="1149"/>
    </row>
    <row r="590" spans="1:20" hidden="1" outlineLevel="2" x14ac:dyDescent="0.15">
      <c r="A590" s="630" t="str">
        <f t="shared" si="214"/>
        <v>BB_Xeon Gold 5122 8 core (2 chip) 3600 MHz</v>
      </c>
      <c r="B590" s="661" t="s">
        <v>1850</v>
      </c>
      <c r="C590" s="2024">
        <v>8</v>
      </c>
      <c r="D590" s="52">
        <v>4</v>
      </c>
      <c r="E590" s="639">
        <v>3600</v>
      </c>
      <c r="F590" s="2192">
        <v>544</v>
      </c>
      <c r="G590" s="2193">
        <f t="shared" si="215"/>
        <v>68</v>
      </c>
      <c r="H590" s="2603">
        <f t="shared" si="216"/>
        <v>2</v>
      </c>
      <c r="I590" s="646" t="s">
        <v>335</v>
      </c>
      <c r="J590" s="2048"/>
      <c r="K590" s="2647" t="s">
        <v>1594</v>
      </c>
      <c r="L590" s="1149"/>
      <c r="M590" s="1149"/>
      <c r="N590" s="1149"/>
      <c r="O590" s="1149"/>
      <c r="P590" s="2196"/>
      <c r="Q590" s="2196"/>
      <c r="R590" s="2196"/>
      <c r="S590" s="2196"/>
      <c r="T590" s="1149"/>
    </row>
    <row r="591" spans="1:20" hidden="1" outlineLevel="2" x14ac:dyDescent="0.15">
      <c r="A591" s="630" t="str">
        <f t="shared" si="214"/>
        <v>BB_Xeon Gold 6128 12 core (2 chip) 3400 MHz</v>
      </c>
      <c r="B591" s="661" t="s">
        <v>1851</v>
      </c>
      <c r="C591" s="2024">
        <v>12</v>
      </c>
      <c r="D591" s="52">
        <v>6</v>
      </c>
      <c r="E591" s="639">
        <v>3400</v>
      </c>
      <c r="F591" s="2192">
        <v>809</v>
      </c>
      <c r="G591" s="2193">
        <f t="shared" si="215"/>
        <v>67.416666666666671</v>
      </c>
      <c r="H591" s="2603">
        <f t="shared" si="216"/>
        <v>2</v>
      </c>
      <c r="I591" s="646" t="s">
        <v>335</v>
      </c>
      <c r="J591" s="2048"/>
      <c r="K591" s="2647" t="s">
        <v>1594</v>
      </c>
      <c r="L591" s="1149"/>
      <c r="M591" s="1149"/>
      <c r="N591" s="1149"/>
      <c r="O591" s="1149"/>
      <c r="P591" s="2196"/>
      <c r="Q591" s="2196"/>
      <c r="R591" s="2196"/>
      <c r="S591" s="2196"/>
      <c r="T591" s="1149"/>
    </row>
    <row r="592" spans="1:20" hidden="1" outlineLevel="2" x14ac:dyDescent="0.15">
      <c r="A592" s="630" t="str">
        <f t="shared" si="214"/>
        <v>BB_Xeon Gold 6144 16 core (2 chip) 3500 MHz</v>
      </c>
      <c r="B592" s="661" t="s">
        <v>1852</v>
      </c>
      <c r="C592" s="2024">
        <v>16</v>
      </c>
      <c r="D592" s="52">
        <v>8</v>
      </c>
      <c r="E592" s="639">
        <v>3500</v>
      </c>
      <c r="F592" s="2192">
        <v>1120</v>
      </c>
      <c r="G592" s="2193">
        <f t="shared" si="215"/>
        <v>70</v>
      </c>
      <c r="H592" s="2603">
        <f t="shared" si="216"/>
        <v>2</v>
      </c>
      <c r="I592" s="646" t="s">
        <v>335</v>
      </c>
      <c r="J592" s="2048"/>
      <c r="K592" s="2647" t="s">
        <v>1594</v>
      </c>
      <c r="L592" s="1149"/>
      <c r="M592" s="1149"/>
      <c r="N592" s="1149"/>
      <c r="O592" s="1149"/>
      <c r="P592" s="2196"/>
      <c r="Q592" s="2196"/>
      <c r="R592" s="2196"/>
      <c r="S592" s="2196"/>
      <c r="T592" s="1149"/>
    </row>
    <row r="593" spans="1:20" hidden="1" outlineLevel="2" x14ac:dyDescent="0.15">
      <c r="A593" s="630" t="str">
        <f t="shared" si="214"/>
        <v>BB_Xeon Gold 5115 20 core (2 chip) 2400 MHz</v>
      </c>
      <c r="B593" s="661" t="s">
        <v>1853</v>
      </c>
      <c r="C593" s="2024">
        <v>20</v>
      </c>
      <c r="D593" s="52">
        <v>10</v>
      </c>
      <c r="E593" s="639">
        <v>2400</v>
      </c>
      <c r="F593" s="2192">
        <v>976</v>
      </c>
      <c r="G593" s="2193">
        <f t="shared" si="215"/>
        <v>48.8</v>
      </c>
      <c r="H593" s="2603">
        <f t="shared" si="216"/>
        <v>2</v>
      </c>
      <c r="I593" s="646" t="s">
        <v>335</v>
      </c>
      <c r="J593" s="2048"/>
      <c r="K593" s="2647" t="s">
        <v>1594</v>
      </c>
      <c r="L593" s="1149"/>
      <c r="M593" s="1149"/>
      <c r="N593" s="1149"/>
      <c r="O593" s="1149"/>
      <c r="P593" s="2196"/>
      <c r="Q593" s="2196"/>
      <c r="R593" s="2196"/>
      <c r="S593" s="2196"/>
      <c r="T593" s="1149"/>
    </row>
    <row r="594" spans="1:20" hidden="1" outlineLevel="2" x14ac:dyDescent="0.15">
      <c r="A594" s="630" t="str">
        <f t="shared" si="214"/>
        <v>BB_Xeon Gold 6146 24 core (2 chip) 3400 MHz</v>
      </c>
      <c r="B594" s="661" t="s">
        <v>1854</v>
      </c>
      <c r="C594" s="2024">
        <v>24</v>
      </c>
      <c r="D594" s="52">
        <v>12</v>
      </c>
      <c r="E594" s="639">
        <v>3400</v>
      </c>
      <c r="F594" s="2192">
        <v>1630</v>
      </c>
      <c r="G594" s="2193">
        <f t="shared" si="215"/>
        <v>67.916666666666671</v>
      </c>
      <c r="H594" s="2603">
        <f t="shared" si="216"/>
        <v>2</v>
      </c>
      <c r="I594" s="646" t="s">
        <v>335</v>
      </c>
      <c r="J594" s="2048"/>
      <c r="K594" s="2647" t="s">
        <v>1594</v>
      </c>
      <c r="L594" s="1149"/>
      <c r="M594" s="1149"/>
      <c r="N594" s="1149"/>
      <c r="O594" s="1149"/>
      <c r="R594" s="2196"/>
      <c r="S594" s="2196"/>
      <c r="T594" s="1149"/>
    </row>
    <row r="595" spans="1:20" s="693" customFormat="1" hidden="1" outlineLevel="2" x14ac:dyDescent="0.15">
      <c r="A595" s="630" t="str">
        <f>CONCATENATE(B595," ",C595," core (",H595," chip) ",E595," MHz")</f>
        <v>BB_Xeon Gold 6132 28 core (2 chip) 2600 MHz</v>
      </c>
      <c r="B595" s="661" t="s">
        <v>1855</v>
      </c>
      <c r="C595" s="2025">
        <v>28</v>
      </c>
      <c r="D595" s="50">
        <v>14</v>
      </c>
      <c r="E595" s="639">
        <v>2600</v>
      </c>
      <c r="F595" s="2012">
        <v>1540</v>
      </c>
      <c r="G595" s="2193">
        <f>IF(F595=0,"",F595/C595)</f>
        <v>55</v>
      </c>
      <c r="H595" s="2603">
        <f>IF(C595=0,"",C595/D595)</f>
        <v>2</v>
      </c>
      <c r="I595" s="647" t="s">
        <v>335</v>
      </c>
      <c r="J595" s="2048"/>
      <c r="K595" s="2650" t="s">
        <v>1594</v>
      </c>
      <c r="L595" s="1304"/>
      <c r="M595" s="1304"/>
      <c r="N595" s="1304"/>
      <c r="O595" s="1304"/>
      <c r="P595" s="31"/>
      <c r="Q595" s="31"/>
    </row>
    <row r="596" spans="1:20" s="693" customFormat="1" hidden="1" outlineLevel="2" x14ac:dyDescent="0.15">
      <c r="A596" s="630" t="str">
        <f>CONCATENATE(B596," ",C596," core (",H596," chip) ",E596," MHz")</f>
        <v>BB_Xeon Gold 6142 32 core (2 chip) 2600 MHz</v>
      </c>
      <c r="B596" s="661" t="s">
        <v>1856</v>
      </c>
      <c r="C596" s="2025">
        <v>32</v>
      </c>
      <c r="D596" s="50">
        <v>16</v>
      </c>
      <c r="E596" s="639">
        <v>2600</v>
      </c>
      <c r="F596" s="2012">
        <v>1690</v>
      </c>
      <c r="G596" s="2193">
        <f>IF(F596=0,"",F596/C596)</f>
        <v>52.8125</v>
      </c>
      <c r="H596" s="2603">
        <f>IF(C596=0,"",C596/D596)</f>
        <v>2</v>
      </c>
      <c r="I596" s="647" t="s">
        <v>335</v>
      </c>
      <c r="J596" s="2048"/>
      <c r="K596" s="2650" t="s">
        <v>1594</v>
      </c>
      <c r="L596" s="1891"/>
      <c r="M596" s="1891"/>
      <c r="N596" s="1891"/>
      <c r="O596" s="1891"/>
      <c r="P596" s="31"/>
      <c r="Q596" s="31"/>
    </row>
    <row r="597" spans="1:20" s="693" customFormat="1" hidden="1" outlineLevel="2" x14ac:dyDescent="0.15">
      <c r="A597" s="630" t="str">
        <f>CONCATENATE(B597," ",C597," core (",H597," chip) ",E597," MHz")</f>
        <v>BB_Xeon Gold 6154 36 core (2 chip) 3000 MHz</v>
      </c>
      <c r="B597" s="661" t="s">
        <v>1857</v>
      </c>
      <c r="C597" s="2025">
        <v>36</v>
      </c>
      <c r="D597" s="50">
        <v>18</v>
      </c>
      <c r="E597" s="639">
        <v>3000</v>
      </c>
      <c r="F597" s="2012">
        <v>2100</v>
      </c>
      <c r="G597" s="2193">
        <f>F597/C597</f>
        <v>58.333333333333336</v>
      </c>
      <c r="H597" s="2603">
        <f>C597/D597</f>
        <v>2</v>
      </c>
      <c r="I597" s="646" t="s">
        <v>335</v>
      </c>
      <c r="J597" s="2048"/>
      <c r="K597" s="2648" t="s">
        <v>1594</v>
      </c>
      <c r="P597" s="31"/>
      <c r="Q597" s="31"/>
    </row>
    <row r="598" spans="1:20" s="693" customFormat="1" hidden="1" outlineLevel="2" x14ac:dyDescent="0.15">
      <c r="A598" s="630" t="str">
        <f>CONCATENATE(B598," ",C598," core (",H598," chip) ",E598," MHz")</f>
        <v>BB_Xeon Gold 6148 40 core (2 chip) 2400 MHz</v>
      </c>
      <c r="B598" s="661" t="s">
        <v>1858</v>
      </c>
      <c r="C598" s="2025">
        <v>40</v>
      </c>
      <c r="D598" s="50">
        <v>20</v>
      </c>
      <c r="E598" s="639">
        <v>2400</v>
      </c>
      <c r="F598" s="2012">
        <v>1980</v>
      </c>
      <c r="G598" s="2193">
        <f>IF(F598=0,"",F598/C598)</f>
        <v>49.5</v>
      </c>
      <c r="H598" s="2603">
        <f>IF(C598=0,"",C598/D598)</f>
        <v>2</v>
      </c>
      <c r="I598" s="647" t="s">
        <v>335</v>
      </c>
      <c r="J598" s="2048"/>
      <c r="K598" s="2650" t="s">
        <v>1594</v>
      </c>
      <c r="L598" s="1304"/>
      <c r="M598" s="1304"/>
      <c r="N598" s="1304"/>
      <c r="O598" s="1304"/>
      <c r="P598" s="31"/>
      <c r="Q598" s="31"/>
    </row>
    <row r="599" spans="1:20" s="693" customFormat="1" hidden="1" outlineLevel="2" x14ac:dyDescent="0.15">
      <c r="A599" s="630" t="str">
        <f>CONCATENATE(B599," ",C599," core (",H599," chip) ",E599," MHz")</f>
        <v>BB_Xeon Gold 6152 44 core (2 chip) 2100 MHz</v>
      </c>
      <c r="B599" s="661" t="s">
        <v>1859</v>
      </c>
      <c r="C599" s="2025">
        <v>44</v>
      </c>
      <c r="D599" s="50">
        <v>22</v>
      </c>
      <c r="E599" s="639">
        <v>2100</v>
      </c>
      <c r="F599" s="2012">
        <v>2020</v>
      </c>
      <c r="G599" s="2193">
        <f>IF(F599=0,"",F599/C599)</f>
        <v>45.909090909090907</v>
      </c>
      <c r="H599" s="2603">
        <f>IF(C599=0,"",C599/D599)</f>
        <v>2</v>
      </c>
      <c r="I599" s="647" t="s">
        <v>335</v>
      </c>
      <c r="J599" s="2048"/>
      <c r="K599" s="2650" t="s">
        <v>1594</v>
      </c>
      <c r="L599" s="1891"/>
      <c r="M599" s="1891"/>
      <c r="N599" s="1891"/>
      <c r="O599" s="1891"/>
      <c r="P599" s="31"/>
      <c r="Q599" s="31"/>
    </row>
    <row r="600" spans="1:20" hidden="1" outlineLevel="1" collapsed="1" x14ac:dyDescent="0.15">
      <c r="A600" s="3041" t="s">
        <v>1913</v>
      </c>
      <c r="B600" s="3042" t="str">
        <f>A600</f>
        <v xml:space="preserve"> ==== SADS Exercise 7 Server History ======</v>
      </c>
      <c r="C600" s="3043"/>
      <c r="D600" s="3044"/>
      <c r="E600" s="3045"/>
      <c r="F600" s="3046"/>
      <c r="G600" s="3047"/>
      <c r="H600" s="3050"/>
      <c r="I600" s="3049"/>
      <c r="J600" s="3051"/>
      <c r="K600" s="2651"/>
    </row>
    <row r="601" spans="1:20" hidden="1" outlineLevel="2" x14ac:dyDescent="0.15">
      <c r="A601" s="630" t="str">
        <f t="shared" ref="A601:A602" si="217">CONCATENATE(B601," ",C601," core (",H601," chip) ",E601," MHz")&amp;IF(ISBLANK(F601),"**","")</f>
        <v>2018 Xeon Gold 6144 16 core (2 chip) 3500 MHz</v>
      </c>
      <c r="B601" s="661" t="s">
        <v>1914</v>
      </c>
      <c r="C601" s="2024">
        <v>16</v>
      </c>
      <c r="D601" s="52">
        <v>8</v>
      </c>
      <c r="E601" s="639">
        <v>3500</v>
      </c>
      <c r="F601" s="2192">
        <v>1120</v>
      </c>
      <c r="G601" s="2193">
        <f t="shared" ref="G601:G602" si="218">F601/C601</f>
        <v>70</v>
      </c>
      <c r="H601" s="2603">
        <f t="shared" ref="H601:H602" si="219">C601/D601</f>
        <v>2</v>
      </c>
      <c r="I601" s="646" t="s">
        <v>335</v>
      </c>
      <c r="J601" s="2048"/>
      <c r="K601" s="2647" t="s">
        <v>1594</v>
      </c>
      <c r="L601" s="1149"/>
      <c r="M601" s="1149"/>
      <c r="N601" s="1149"/>
      <c r="O601" s="1149"/>
      <c r="P601" s="2196"/>
      <c r="Q601" s="2196"/>
      <c r="R601" s="2196"/>
      <c r="S601" s="2196"/>
      <c r="T601" s="1149"/>
    </row>
    <row r="602" spans="1:20" hidden="1" outlineLevel="2" x14ac:dyDescent="0.15">
      <c r="A602" s="630" t="str">
        <f t="shared" si="217"/>
        <v>2018 Xeon Gold 5122 4 core (1 chip) 3600 MHz</v>
      </c>
      <c r="B602" s="661" t="s">
        <v>1915</v>
      </c>
      <c r="C602" s="2024">
        <v>4</v>
      </c>
      <c r="D602" s="52">
        <v>4</v>
      </c>
      <c r="E602" s="639">
        <v>3600</v>
      </c>
      <c r="F602" s="2192">
        <v>279</v>
      </c>
      <c r="G602" s="2193">
        <f t="shared" si="218"/>
        <v>69.75</v>
      </c>
      <c r="H602" s="2603">
        <f t="shared" si="219"/>
        <v>1</v>
      </c>
      <c r="I602" s="646" t="s">
        <v>335</v>
      </c>
      <c r="J602" s="2048"/>
      <c r="K602" s="2647" t="s">
        <v>1594</v>
      </c>
      <c r="L602" s="1149"/>
      <c r="M602" s="1149"/>
      <c r="N602" s="1149"/>
      <c r="O602" s="1149"/>
      <c r="P602" s="2196"/>
      <c r="Q602" s="2196"/>
      <c r="R602" s="2196"/>
      <c r="S602" s="2196"/>
      <c r="T602" s="1149"/>
    </row>
    <row r="603" spans="1:20" hidden="1" outlineLevel="2" x14ac:dyDescent="0.15">
      <c r="A603" s="630" t="str">
        <f>CONCATENATE(B603," ",C603," core (",H603," chip) ",E603," MHz")&amp;IF(ISBLANK(F603),"**","")</f>
        <v>2017 Xeon E5-2637v4 4 core (1 chip) 3500 MHz</v>
      </c>
      <c r="B603" s="661" t="s">
        <v>1916</v>
      </c>
      <c r="C603" s="2024">
        <v>4</v>
      </c>
      <c r="D603" s="52">
        <v>4</v>
      </c>
      <c r="E603" s="639">
        <v>3500</v>
      </c>
      <c r="F603" s="2192">
        <v>240</v>
      </c>
      <c r="G603" s="2193">
        <f>F603/C603</f>
        <v>60</v>
      </c>
      <c r="H603" s="2603">
        <f>C603/D603</f>
        <v>1</v>
      </c>
      <c r="I603" s="646" t="s">
        <v>335</v>
      </c>
      <c r="J603" s="2048">
        <v>135</v>
      </c>
      <c r="K603" s="2647" t="s">
        <v>1423</v>
      </c>
      <c r="L603" s="1149"/>
      <c r="M603" s="1149"/>
      <c r="N603" s="1149"/>
      <c r="O603" s="1149"/>
      <c r="P603" s="2196"/>
      <c r="Q603" s="2196"/>
      <c r="R603" s="2196"/>
      <c r="S603" s="2196"/>
      <c r="T603" s="1149"/>
    </row>
    <row r="604" spans="1:20" hidden="1" outlineLevel="2" x14ac:dyDescent="0.15">
      <c r="A604" s="630" t="str">
        <f>CONCATENATE(B604," ",C604," core (",H604," chip) ",E604," MHz")&amp;IF(ISBLANK(F604),"**","")</f>
        <v>2016 Xeon E5-2637v4 4 core (1 chip) 3500 MHz</v>
      </c>
      <c r="B604" s="661" t="s">
        <v>1405</v>
      </c>
      <c r="C604" s="2024">
        <v>4</v>
      </c>
      <c r="D604" s="52">
        <v>4</v>
      </c>
      <c r="E604" s="639">
        <v>3500</v>
      </c>
      <c r="F604" s="2192">
        <v>240</v>
      </c>
      <c r="G604" s="2193">
        <f>F604/C604</f>
        <v>60</v>
      </c>
      <c r="H604" s="2603">
        <f>C604/D604</f>
        <v>1</v>
      </c>
      <c r="I604" s="646" t="s">
        <v>335</v>
      </c>
      <c r="J604" s="2048">
        <v>135</v>
      </c>
      <c r="K604" s="2647" t="s">
        <v>1423</v>
      </c>
      <c r="L604" s="1149"/>
      <c r="M604" s="1149"/>
      <c r="N604" s="1149"/>
      <c r="O604" s="1149"/>
      <c r="P604" s="2196"/>
      <c r="Q604" s="2196"/>
      <c r="R604" s="2196"/>
      <c r="S604" s="2196"/>
      <c r="T604" s="1149"/>
    </row>
    <row r="605" spans="1:20" hidden="1" outlineLevel="2" x14ac:dyDescent="0.15">
      <c r="A605" s="630" t="str">
        <f>CONCATENATE(B605," ",C605," core (",H605," chip) ",E605," MHz")&amp;IF(ISBLANK(F605),"**","")</f>
        <v>2015 Xeon E5-2637v3 4 core (1 chip) 3500 MHz</v>
      </c>
      <c r="B605" s="661" t="s">
        <v>1228</v>
      </c>
      <c r="C605" s="2024">
        <v>4</v>
      </c>
      <c r="D605" s="52">
        <v>4</v>
      </c>
      <c r="E605" s="639">
        <v>3500</v>
      </c>
      <c r="F605" s="2192">
        <v>235</v>
      </c>
      <c r="G605" s="2193">
        <f>F605/C605</f>
        <v>58.75</v>
      </c>
      <c r="H605" s="2603">
        <f>C605/D605</f>
        <v>1</v>
      </c>
      <c r="I605" s="646" t="s">
        <v>335</v>
      </c>
      <c r="J605" s="2048">
        <v>135</v>
      </c>
      <c r="K605" s="2647">
        <v>42050</v>
      </c>
      <c r="L605" s="1149"/>
      <c r="M605" s="1149"/>
      <c r="N605" s="1149"/>
      <c r="O605" s="1149"/>
      <c r="P605" s="2196"/>
      <c r="Q605" s="2196"/>
      <c r="R605" s="2196"/>
      <c r="S605" s="2196"/>
      <c r="T605" s="1149"/>
    </row>
    <row r="606" spans="1:20" s="693" customFormat="1" hidden="1" outlineLevel="2" x14ac:dyDescent="0.15">
      <c r="A606" s="630" t="str">
        <f>CONCATENATE(B606," ",C606," core (",H606," chip) ",E606," MHz")</f>
        <v>2014 Xeon E5-2637v2 4 core (1 chip) 3500 MHz</v>
      </c>
      <c r="B606" s="661" t="s">
        <v>1229</v>
      </c>
      <c r="C606" s="2025">
        <v>4</v>
      </c>
      <c r="D606" s="50">
        <v>4</v>
      </c>
      <c r="E606" s="639">
        <v>3500</v>
      </c>
      <c r="F606" s="2012">
        <v>211</v>
      </c>
      <c r="G606" s="2015">
        <f>IF(F606=0,"",F606/C606)</f>
        <v>52.75</v>
      </c>
      <c r="H606" s="2603">
        <f>IF(C606=0,"",C606/D606)</f>
        <v>1</v>
      </c>
      <c r="I606" s="647" t="s">
        <v>335</v>
      </c>
      <c r="J606" s="2048">
        <v>130</v>
      </c>
      <c r="K606" s="2650"/>
      <c r="L606" s="1304"/>
      <c r="M606" s="1304"/>
      <c r="N606" s="1304"/>
      <c r="O606" s="1304"/>
      <c r="P606" s="1305"/>
      <c r="Q606" s="1305"/>
    </row>
    <row r="607" spans="1:20" s="693" customFormat="1" hidden="1" outlineLevel="2" x14ac:dyDescent="0.15">
      <c r="A607" s="630" t="str">
        <f>CONCATENATE(B607," ",C607," core (",H607," chip) ",E607," MHz")</f>
        <v>2013 Xeon E3-1280V2 4 core (1 chip) 3600 MHz</v>
      </c>
      <c r="B607" s="661" t="s">
        <v>1230</v>
      </c>
      <c r="C607" s="2025">
        <v>4</v>
      </c>
      <c r="D607" s="50">
        <v>4</v>
      </c>
      <c r="E607" s="639">
        <v>3600</v>
      </c>
      <c r="F607" s="2012">
        <v>192</v>
      </c>
      <c r="G607" s="2015">
        <f>IF(F607=0,"",F607/C607)</f>
        <v>48</v>
      </c>
      <c r="H607" s="2603">
        <f>IF(C607=0,"",C607/D607)</f>
        <v>1</v>
      </c>
      <c r="I607" s="647" t="s">
        <v>335</v>
      </c>
      <c r="J607" s="2048">
        <v>69</v>
      </c>
      <c r="K607" s="2650"/>
      <c r="L607" s="1891"/>
      <c r="M607" s="1891"/>
      <c r="N607" s="1891"/>
      <c r="O607" s="1891"/>
      <c r="P607" s="1305"/>
      <c r="Q607" s="1305"/>
    </row>
    <row r="608" spans="1:20" s="693" customFormat="1" hidden="1" outlineLevel="2" x14ac:dyDescent="0.15">
      <c r="A608" s="630" t="str">
        <f>CONCATENATE(B608," ",C608," core (",H608," chip) ",E608," MHz")</f>
        <v>2012 Xeon E5-2643 4 core (1 chip) 3300 MHz</v>
      </c>
      <c r="B608" s="661" t="s">
        <v>1231</v>
      </c>
      <c r="C608" s="2025">
        <v>4</v>
      </c>
      <c r="D608" s="50">
        <v>4</v>
      </c>
      <c r="E608" s="639">
        <v>3300</v>
      </c>
      <c r="F608" s="2012">
        <v>185</v>
      </c>
      <c r="G608" s="2015">
        <f>IF(F608=0,"",F608/C608)</f>
        <v>46.25</v>
      </c>
      <c r="H608" s="2603">
        <f>IF(C608=0,"",C608/D608)</f>
        <v>1</v>
      </c>
      <c r="I608" s="647" t="s">
        <v>335</v>
      </c>
      <c r="J608" s="2048">
        <v>130</v>
      </c>
      <c r="K608" s="2650"/>
      <c r="L608" s="1304"/>
      <c r="M608" s="1304"/>
      <c r="N608" s="1304"/>
      <c r="O608" s="1304"/>
      <c r="P608" s="1305"/>
      <c r="Q608" s="1305"/>
    </row>
    <row r="609" spans="1:20" hidden="1" outlineLevel="2" x14ac:dyDescent="0.15">
      <c r="A609" s="630" t="str">
        <f>CONCATENATE(B609," ",C609," core (",H609," chip) ",E609," MHz")</f>
        <v>2011 Xeon E3-1280 4 core (1 chip) 3500 MHz</v>
      </c>
      <c r="B609" s="660" t="s">
        <v>1232</v>
      </c>
      <c r="C609" s="2024">
        <v>4</v>
      </c>
      <c r="D609" s="52">
        <v>4</v>
      </c>
      <c r="E609" s="639">
        <v>3500</v>
      </c>
      <c r="F609" s="2011">
        <v>160</v>
      </c>
      <c r="G609" s="2015">
        <f>F609/C609</f>
        <v>40</v>
      </c>
      <c r="H609" s="2603">
        <f>C609/D609</f>
        <v>1</v>
      </c>
      <c r="I609" s="646" t="s">
        <v>335</v>
      </c>
      <c r="J609" s="673">
        <v>95</v>
      </c>
      <c r="K609" s="2651"/>
    </row>
    <row r="610" spans="1:20" hidden="1" outlineLevel="2" x14ac:dyDescent="0.15">
      <c r="A610" s="630" t="str">
        <f>CONCATENATE(B610," ",C610," core (",H610," chip) ",E610," MHz")</f>
        <v>2010 Xeon X5677 4 core (1 chip) 3467 MHz</v>
      </c>
      <c r="B610" s="660" t="s">
        <v>1233</v>
      </c>
      <c r="C610" s="2024">
        <v>4</v>
      </c>
      <c r="D610" s="52">
        <v>4</v>
      </c>
      <c r="E610" s="639">
        <v>3467</v>
      </c>
      <c r="F610" s="2011">
        <v>141.5</v>
      </c>
      <c r="G610" s="2015">
        <f>F610/C610</f>
        <v>35.375</v>
      </c>
      <c r="H610" s="2603">
        <f>C610/D610</f>
        <v>1</v>
      </c>
      <c r="I610" s="646" t="s">
        <v>335</v>
      </c>
      <c r="J610" s="673">
        <v>130</v>
      </c>
      <c r="K610" s="2651"/>
    </row>
    <row r="611" spans="1:20" hidden="1" outlineLevel="1" collapsed="1" x14ac:dyDescent="0.15">
      <c r="A611" s="3041" t="s">
        <v>1302</v>
      </c>
      <c r="B611" s="3042" t="str">
        <f>A611</f>
        <v xml:space="preserve"> ==== SADS Demo 10 Queue ======</v>
      </c>
      <c r="C611" s="3043"/>
      <c r="D611" s="3044"/>
      <c r="E611" s="3045"/>
      <c r="F611" s="3046"/>
      <c r="G611" s="3047"/>
      <c r="H611" s="3050"/>
      <c r="I611" s="3049"/>
      <c r="J611" s="3051"/>
      <c r="K611" s="2651"/>
    </row>
    <row r="612" spans="1:20" hidden="1" outlineLevel="2" x14ac:dyDescent="0.15">
      <c r="A612" s="630" t="str">
        <f t="shared" ref="A612:A614" si="220">CONCATENATE(B612," ",C612," core (",H612," chip) ",E612," MHz")&amp;IF(ISBLANK(F612),"**","")</f>
        <v>Q8Xeon Gold 6144 8 core (1 chip) 3500 MHz</v>
      </c>
      <c r="B612" s="661" t="s">
        <v>1864</v>
      </c>
      <c r="C612" s="2024">
        <v>8</v>
      </c>
      <c r="D612" s="52">
        <v>8</v>
      </c>
      <c r="E612" s="639">
        <v>3500</v>
      </c>
      <c r="F612" s="2192">
        <f>G612*C612</f>
        <v>560</v>
      </c>
      <c r="G612" s="2193">
        <f>G613</f>
        <v>70</v>
      </c>
      <c r="H612" s="2603">
        <f t="shared" ref="H612:H614" si="221">C612/D612</f>
        <v>1</v>
      </c>
      <c r="I612" s="646" t="s">
        <v>335</v>
      </c>
      <c r="J612" s="2048"/>
      <c r="K612" s="2647" t="s">
        <v>1594</v>
      </c>
      <c r="L612" s="1149"/>
      <c r="M612" s="1149"/>
      <c r="N612" s="1149"/>
      <c r="O612" s="1149"/>
      <c r="P612" s="2196"/>
      <c r="Q612" s="2196"/>
      <c r="R612" s="2196"/>
      <c r="S612" s="2196"/>
      <c r="T612" s="1149"/>
    </row>
    <row r="613" spans="1:20" hidden="1" outlineLevel="2" x14ac:dyDescent="0.15">
      <c r="A613" s="630" t="str">
        <f t="shared" si="220"/>
        <v>Q12Xeon Gold 6144 12 core (1.5 chip) 3500 MHz</v>
      </c>
      <c r="B613" s="661" t="s">
        <v>1865</v>
      </c>
      <c r="C613" s="2024">
        <v>12</v>
      </c>
      <c r="D613" s="52">
        <v>8</v>
      </c>
      <c r="E613" s="639">
        <v>3500</v>
      </c>
      <c r="F613" s="2192">
        <f>G613*C613</f>
        <v>840</v>
      </c>
      <c r="G613" s="2193">
        <f>G614</f>
        <v>70</v>
      </c>
      <c r="H613" s="2603">
        <f t="shared" si="221"/>
        <v>1.5</v>
      </c>
      <c r="I613" s="646" t="s">
        <v>335</v>
      </c>
      <c r="J613" s="2048"/>
      <c r="K613" s="2647" t="s">
        <v>1594</v>
      </c>
      <c r="L613" s="1149"/>
      <c r="M613" s="1149"/>
      <c r="N613" s="1149"/>
      <c r="O613" s="1149"/>
      <c r="P613" s="2196"/>
      <c r="Q613" s="2196"/>
      <c r="R613" s="2196"/>
      <c r="S613" s="2196"/>
      <c r="T613" s="1149"/>
    </row>
    <row r="614" spans="1:20" hidden="1" outlineLevel="2" x14ac:dyDescent="0.15">
      <c r="A614" s="630" t="str">
        <f t="shared" si="220"/>
        <v>Q16Xeon Gold 6144 16 core (2 chip) 3500 MHz</v>
      </c>
      <c r="B614" s="661" t="s">
        <v>1866</v>
      </c>
      <c r="C614" s="2024">
        <v>16</v>
      </c>
      <c r="D614" s="52">
        <v>8</v>
      </c>
      <c r="E614" s="639">
        <v>3500</v>
      </c>
      <c r="F614" s="2192">
        <v>1120</v>
      </c>
      <c r="G614" s="2193">
        <f t="shared" ref="G614" si="222">F614/C614</f>
        <v>70</v>
      </c>
      <c r="H614" s="2603">
        <f t="shared" si="221"/>
        <v>2</v>
      </c>
      <c r="I614" s="646" t="s">
        <v>335</v>
      </c>
      <c r="J614" s="2048"/>
      <c r="K614" s="2647" t="s">
        <v>1594</v>
      </c>
      <c r="L614" s="1149"/>
      <c r="M614" s="1149"/>
      <c r="N614" s="1149"/>
      <c r="O614" s="1149"/>
      <c r="P614" s="2196"/>
      <c r="Q614" s="2196"/>
      <c r="R614" s="2196"/>
      <c r="S614" s="2196"/>
      <c r="T614" s="1149"/>
    </row>
    <row r="615" spans="1:20" hidden="1" outlineLevel="1" collapsed="1" x14ac:dyDescent="0.15">
      <c r="A615" s="636"/>
      <c r="B615" s="2040"/>
      <c r="C615" s="2041"/>
      <c r="D615" s="641"/>
      <c r="E615" s="2042"/>
      <c r="F615" s="882"/>
      <c r="G615" s="2019"/>
      <c r="H615" s="2608"/>
      <c r="I615" s="649"/>
      <c r="J615" s="2646"/>
      <c r="K615" s="2651"/>
    </row>
    <row r="616" spans="1:20" collapsed="1" x14ac:dyDescent="0.15">
      <c r="A616" s="627" t="s">
        <v>417</v>
      </c>
      <c r="B616" s="662" t="str">
        <f>A616</f>
        <v xml:space="preserve"> ==== Performance Baselines ======</v>
      </c>
      <c r="C616" s="657"/>
      <c r="D616" s="2027"/>
      <c r="E616" s="2028"/>
      <c r="F616" s="2013"/>
      <c r="G616" s="2018"/>
      <c r="H616" s="2605"/>
      <c r="I616" s="644"/>
      <c r="J616" s="2645" t="s">
        <v>1224</v>
      </c>
      <c r="K616" s="2651"/>
    </row>
    <row r="617" spans="1:20" hidden="1" outlineLevel="1" x14ac:dyDescent="0.15">
      <c r="A617" s="635" t="str">
        <f>CONCATENATE(B617," ",C617," core (",H617," chip) ",E617," MHz")</f>
        <v>Arc18 Baseline 4 core (1 chip) 3600 MHz</v>
      </c>
      <c r="B617" s="663" t="s">
        <v>1867</v>
      </c>
      <c r="C617" s="2038">
        <v>4</v>
      </c>
      <c r="D617" s="53">
        <v>4</v>
      </c>
      <c r="E617" s="639">
        <v>3600</v>
      </c>
      <c r="F617" s="2011">
        <f>C617*G617</f>
        <v>296</v>
      </c>
      <c r="G617" s="2554">
        <v>74</v>
      </c>
      <c r="H617" s="2607">
        <f>C617/D617</f>
        <v>1</v>
      </c>
      <c r="I617" s="648" t="s">
        <v>335</v>
      </c>
      <c r="J617" s="2645"/>
      <c r="K617" s="2651"/>
      <c r="L617" s="31" t="s">
        <v>1868</v>
      </c>
    </row>
    <row r="618" spans="1:20" hidden="1" outlineLevel="1" x14ac:dyDescent="0.15">
      <c r="A618" s="635" t="str">
        <f>CONCATENATE(B618," ",C618," core (",H618," chip) ",E618," MHz")</f>
        <v>Arc17 Baseline 4 core (1 chip) 3600 MHz</v>
      </c>
      <c r="B618" s="663" t="s">
        <v>1504</v>
      </c>
      <c r="C618" s="2038">
        <v>4</v>
      </c>
      <c r="D618" s="53">
        <v>4</v>
      </c>
      <c r="E618" s="639">
        <v>3600</v>
      </c>
      <c r="F618" s="2011">
        <f>C618*G618</f>
        <v>256</v>
      </c>
      <c r="G618" s="2554">
        <v>64</v>
      </c>
      <c r="H618" s="2607">
        <f>C618/D618</f>
        <v>1</v>
      </c>
      <c r="I618" s="648" t="s">
        <v>335</v>
      </c>
      <c r="J618" s="2645"/>
      <c r="K618" s="2651"/>
    </row>
    <row r="619" spans="1:20" hidden="1" outlineLevel="1" x14ac:dyDescent="0.15">
      <c r="A619" s="635" t="str">
        <f>CONCATENATE(B619," ",C619," core (",H619," chip) ",E619," MHz")</f>
        <v>Arc16 Baseline 4 core (1 chip) 3600 MHz</v>
      </c>
      <c r="B619" s="663" t="s">
        <v>1335</v>
      </c>
      <c r="C619" s="2038">
        <v>4</v>
      </c>
      <c r="D619" s="53">
        <v>4</v>
      </c>
      <c r="E619" s="639">
        <v>3600</v>
      </c>
      <c r="F619" s="2011">
        <f>C619*G619</f>
        <v>256</v>
      </c>
      <c r="G619" s="2874">
        <v>64</v>
      </c>
      <c r="H619" s="2607">
        <f>C619/D619</f>
        <v>1</v>
      </c>
      <c r="I619" s="648" t="s">
        <v>335</v>
      </c>
      <c r="J619" s="2645"/>
      <c r="K619" s="2651"/>
    </row>
    <row r="620" spans="1:20" hidden="1" outlineLevel="1" x14ac:dyDescent="0.15">
      <c r="A620" s="635" t="str">
        <f t="shared" ref="A620:A625" si="223">CONCATENATE(B620," ",C620," core (",H620," chip) ",E620," MHz")</f>
        <v>Arc15 Baseline 4 core (1 chip) 3500 MHz</v>
      </c>
      <c r="B620" s="663" t="s">
        <v>1115</v>
      </c>
      <c r="C620" s="2038">
        <v>4</v>
      </c>
      <c r="D620" s="53">
        <v>4</v>
      </c>
      <c r="E620" s="639">
        <v>3500</v>
      </c>
      <c r="F620" s="2011">
        <f>C620*G620</f>
        <v>232</v>
      </c>
      <c r="G620" s="2015">
        <v>58</v>
      </c>
      <c r="H620" s="2607">
        <f>C620/D620</f>
        <v>1</v>
      </c>
      <c r="I620" s="648" t="s">
        <v>335</v>
      </c>
      <c r="J620" s="2645">
        <f>G619/G620 -1</f>
        <v>0.10344827586206895</v>
      </c>
      <c r="K620" s="2651"/>
    </row>
    <row r="621" spans="1:20" hidden="1" outlineLevel="1" x14ac:dyDescent="0.15">
      <c r="A621" s="635" t="str">
        <f t="shared" si="223"/>
        <v>Arc14 Baseline 4 core (1 chip) 3600 MHz</v>
      </c>
      <c r="B621" s="663" t="s">
        <v>911</v>
      </c>
      <c r="C621" s="2038">
        <v>4</v>
      </c>
      <c r="D621" s="53">
        <v>4</v>
      </c>
      <c r="E621" s="639">
        <v>3600</v>
      </c>
      <c r="F621" s="2011">
        <f t="shared" ref="F621:F626" si="224">C621*G621</f>
        <v>212</v>
      </c>
      <c r="G621" s="2015">
        <v>53</v>
      </c>
      <c r="H621" s="2607">
        <f>C621/D621</f>
        <v>1</v>
      </c>
      <c r="I621" s="648" t="s">
        <v>335</v>
      </c>
      <c r="J621" s="2645">
        <f>G620/G621 -1</f>
        <v>9.4339622641509413E-2</v>
      </c>
      <c r="K621" s="2651"/>
    </row>
    <row r="622" spans="1:20" hidden="1" outlineLevel="1" x14ac:dyDescent="0.15">
      <c r="A622" s="635" t="str">
        <f t="shared" si="223"/>
        <v>Arc13 Baseline 4 core (1 chip) 3600 MHz</v>
      </c>
      <c r="B622" s="663" t="s">
        <v>781</v>
      </c>
      <c r="C622" s="2038">
        <v>4</v>
      </c>
      <c r="D622" s="53">
        <v>4</v>
      </c>
      <c r="E622" s="639">
        <v>3600</v>
      </c>
      <c r="F622" s="2011">
        <f t="shared" si="224"/>
        <v>200</v>
      </c>
      <c r="G622" s="2015">
        <v>50</v>
      </c>
      <c r="H622" s="2607">
        <f t="shared" ref="H622:H627" si="225">C622/D622</f>
        <v>1</v>
      </c>
      <c r="I622" s="648" t="s">
        <v>335</v>
      </c>
      <c r="J622" s="2645">
        <f t="shared" ref="J622:J630" si="226">G621/G622 -1</f>
        <v>6.0000000000000053E-2</v>
      </c>
      <c r="K622" s="2651"/>
    </row>
    <row r="623" spans="1:20" hidden="1" outlineLevel="1" x14ac:dyDescent="0.15">
      <c r="A623" s="635" t="str">
        <f t="shared" si="223"/>
        <v>Arc12 Baseline 4 core (1 chip) 3600 MHz</v>
      </c>
      <c r="B623" s="663" t="s">
        <v>592</v>
      </c>
      <c r="C623" s="2038">
        <v>4</v>
      </c>
      <c r="D623" s="53">
        <v>4</v>
      </c>
      <c r="E623" s="639">
        <v>3600</v>
      </c>
      <c r="F623" s="2011">
        <f t="shared" si="224"/>
        <v>180</v>
      </c>
      <c r="G623" s="2015">
        <v>45</v>
      </c>
      <c r="H623" s="2607">
        <f t="shared" si="225"/>
        <v>1</v>
      </c>
      <c r="I623" s="648" t="s">
        <v>335</v>
      </c>
      <c r="J623" s="2645">
        <f t="shared" si="226"/>
        <v>0.11111111111111116</v>
      </c>
      <c r="K623" s="2651"/>
    </row>
    <row r="624" spans="1:20" hidden="1" outlineLevel="1" x14ac:dyDescent="0.15">
      <c r="A624" s="635" t="str">
        <f t="shared" si="223"/>
        <v>Arc11 Baseline 4 core (1 chip) 3600 MHz</v>
      </c>
      <c r="B624" s="663" t="s">
        <v>465</v>
      </c>
      <c r="C624" s="2038">
        <v>4</v>
      </c>
      <c r="D624" s="53">
        <v>4</v>
      </c>
      <c r="E624" s="639">
        <v>3600</v>
      </c>
      <c r="F624" s="2011">
        <f t="shared" si="224"/>
        <v>160</v>
      </c>
      <c r="G624" s="2015">
        <v>40</v>
      </c>
      <c r="H624" s="2607">
        <f t="shared" si="225"/>
        <v>1</v>
      </c>
      <c r="I624" s="648" t="s">
        <v>335</v>
      </c>
      <c r="J624" s="2645">
        <f t="shared" si="226"/>
        <v>0.125</v>
      </c>
      <c r="K624" s="2651"/>
    </row>
    <row r="625" spans="1:11" hidden="1" outlineLevel="1" x14ac:dyDescent="0.15">
      <c r="A625" s="635" t="str">
        <f t="shared" si="223"/>
        <v>Arc10 Baseline 4 core (1 chip) 3467 MHz</v>
      </c>
      <c r="B625" s="663" t="s">
        <v>136</v>
      </c>
      <c r="C625" s="2038">
        <v>4</v>
      </c>
      <c r="D625" s="53">
        <v>4</v>
      </c>
      <c r="E625" s="639">
        <v>3467</v>
      </c>
      <c r="F625" s="2011">
        <f t="shared" si="224"/>
        <v>140</v>
      </c>
      <c r="G625" s="2015">
        <v>35</v>
      </c>
      <c r="H625" s="2607">
        <f t="shared" si="225"/>
        <v>1</v>
      </c>
      <c r="I625" s="648" t="s">
        <v>335</v>
      </c>
      <c r="J625" s="2645">
        <f t="shared" si="226"/>
        <v>0.14285714285714279</v>
      </c>
      <c r="K625" s="2651"/>
    </row>
    <row r="626" spans="1:11" hidden="1" outlineLevel="1" x14ac:dyDescent="0.15">
      <c r="A626" s="635" t="str">
        <f t="shared" ref="A626:A631" si="227">CONCATENATE(B626," ",C626," core (",H626," chip) ",E626," MHz")</f>
        <v>Arc09 Baseline 4 core (1 chip) 2933 MHz</v>
      </c>
      <c r="B626" s="663" t="s">
        <v>8</v>
      </c>
      <c r="C626" s="2038">
        <v>4</v>
      </c>
      <c r="D626" s="53">
        <v>4</v>
      </c>
      <c r="E626" s="639">
        <v>2933</v>
      </c>
      <c r="F626" s="2011">
        <f t="shared" ca="1" si="224"/>
        <v>120</v>
      </c>
      <c r="G626" s="2015">
        <f t="shared" ref="G626:G631" ca="1" si="228">F626/C626</f>
        <v>30</v>
      </c>
      <c r="H626" s="2607">
        <f t="shared" si="225"/>
        <v>1</v>
      </c>
      <c r="I626" s="648" t="s">
        <v>335</v>
      </c>
      <c r="J626" s="2645">
        <f t="shared" ca="1" si="226"/>
        <v>0.16666666666666674</v>
      </c>
      <c r="K626" s="2651"/>
    </row>
    <row r="627" spans="1:11" hidden="1" outlineLevel="1" x14ac:dyDescent="0.15">
      <c r="A627" s="635" t="str">
        <f t="shared" si="227"/>
        <v>Arc08 Baseline 4 core (2 chip) 3300 MHz</v>
      </c>
      <c r="B627" s="663" t="s">
        <v>438</v>
      </c>
      <c r="C627" s="2038">
        <v>4</v>
      </c>
      <c r="D627" s="53">
        <v>2</v>
      </c>
      <c r="E627" s="639">
        <v>3300</v>
      </c>
      <c r="F627" s="2011">
        <v>70</v>
      </c>
      <c r="G627" s="2015">
        <f t="shared" si="228"/>
        <v>17.5</v>
      </c>
      <c r="H627" s="2607">
        <f t="shared" si="225"/>
        <v>2</v>
      </c>
      <c r="I627" s="648" t="s">
        <v>335</v>
      </c>
      <c r="J627" s="2645">
        <f t="shared" ca="1" si="226"/>
        <v>0.71428571428571419</v>
      </c>
      <c r="K627" s="2651"/>
    </row>
    <row r="628" spans="1:11" hidden="1" outlineLevel="1" x14ac:dyDescent="0.15">
      <c r="A628" s="635" t="str">
        <f t="shared" si="227"/>
        <v>Arc07 Baseline 4 core (2 chip) 3000 MHz</v>
      </c>
      <c r="B628" s="663" t="s">
        <v>439</v>
      </c>
      <c r="C628" s="2038">
        <v>4</v>
      </c>
      <c r="D628" s="53">
        <v>2</v>
      </c>
      <c r="E628" s="639">
        <v>3000</v>
      </c>
      <c r="F628" s="2011">
        <v>56</v>
      </c>
      <c r="G628" s="2015">
        <f t="shared" si="228"/>
        <v>14</v>
      </c>
      <c r="H628" s="2607">
        <f>C628/D628</f>
        <v>2</v>
      </c>
      <c r="I628" s="648" t="s">
        <v>335</v>
      </c>
      <c r="J628" s="2645">
        <f t="shared" si="226"/>
        <v>0.25</v>
      </c>
      <c r="K628" s="2651"/>
    </row>
    <row r="629" spans="1:11" hidden="1" outlineLevel="1" x14ac:dyDescent="0.15">
      <c r="A629" s="635" t="str">
        <f t="shared" si="227"/>
        <v>Arc06 Baseline 2 core (2 chip) 3800 MHz</v>
      </c>
      <c r="B629" s="663" t="s">
        <v>440</v>
      </c>
      <c r="C629" s="2038">
        <v>2</v>
      </c>
      <c r="D629" s="53">
        <v>1</v>
      </c>
      <c r="E629" s="639">
        <v>3800</v>
      </c>
      <c r="F629" s="2011">
        <v>20.952380952380953</v>
      </c>
      <c r="G629" s="2015">
        <f t="shared" si="228"/>
        <v>10.476190476190476</v>
      </c>
      <c r="H629" s="2607">
        <f>C629/D629</f>
        <v>2</v>
      </c>
      <c r="I629" s="648" t="s">
        <v>335</v>
      </c>
      <c r="J629" s="2645">
        <f t="shared" si="226"/>
        <v>0.33636363636363642</v>
      </c>
      <c r="K629" s="2651"/>
    </row>
    <row r="630" spans="1:11" hidden="1" outlineLevel="1" x14ac:dyDescent="0.15">
      <c r="A630" s="635" t="str">
        <f t="shared" si="227"/>
        <v>Arc04/05 Baseline 2 core (2 chip) 3200 MHz</v>
      </c>
      <c r="B630" s="663" t="s">
        <v>441</v>
      </c>
      <c r="C630" s="2039">
        <v>2</v>
      </c>
      <c r="D630" s="54">
        <v>1</v>
      </c>
      <c r="E630" s="639">
        <v>3200</v>
      </c>
      <c r="F630" s="2011">
        <v>17.142857142857142</v>
      </c>
      <c r="G630" s="2015">
        <f t="shared" si="228"/>
        <v>8.5714285714285712</v>
      </c>
      <c r="H630" s="2607">
        <f>C630/D630</f>
        <v>2</v>
      </c>
      <c r="I630" s="648" t="s">
        <v>335</v>
      </c>
      <c r="J630" s="2645">
        <f t="shared" si="226"/>
        <v>0.22222222222222232</v>
      </c>
      <c r="K630" s="2651"/>
    </row>
    <row r="631" spans="1:11" hidden="1" outlineLevel="1" x14ac:dyDescent="0.15">
      <c r="A631" s="635" t="str">
        <f t="shared" si="227"/>
        <v>Arc03 Baseline 2 core (2 chip) 2000 MHz</v>
      </c>
      <c r="B631" s="663" t="s">
        <v>442</v>
      </c>
      <c r="C631" s="2039">
        <v>2</v>
      </c>
      <c r="D631" s="54">
        <v>1</v>
      </c>
      <c r="E631" s="639">
        <v>2000</v>
      </c>
      <c r="F631" s="2011">
        <v>8.5714285714285712</v>
      </c>
      <c r="G631" s="2015">
        <f t="shared" si="228"/>
        <v>4.2857142857142856</v>
      </c>
      <c r="H631" s="2607">
        <f>C631/D631</f>
        <v>2</v>
      </c>
      <c r="I631" s="648" t="s">
        <v>335</v>
      </c>
      <c r="J631" s="2645"/>
      <c r="K631" s="2651"/>
    </row>
    <row r="632" spans="1:11" collapsed="1" x14ac:dyDescent="0.15">
      <c r="A632" s="636"/>
      <c r="B632" s="2040"/>
      <c r="C632" s="2041"/>
      <c r="D632" s="641"/>
      <c r="E632" s="2042"/>
      <c r="F632" s="882"/>
      <c r="G632" s="2019"/>
      <c r="H632" s="2608"/>
      <c r="I632" s="649"/>
      <c r="J632" s="2646"/>
      <c r="K632" s="2651"/>
    </row>
    <row r="633" spans="1:11" x14ac:dyDescent="0.15">
      <c r="A633" s="2842"/>
      <c r="B633" s="2842"/>
      <c r="C633" s="2842"/>
      <c r="D633" s="2842"/>
      <c r="E633" s="2842"/>
      <c r="F633" s="2842"/>
      <c r="G633" s="2842"/>
      <c r="H633" s="2843"/>
      <c r="I633" s="2842"/>
    </row>
    <row r="634" spans="1:11" ht="14" x14ac:dyDescent="0.15">
      <c r="A634" s="2170"/>
    </row>
    <row r="635" spans="1:11" ht="14" x14ac:dyDescent="0.15">
      <c r="A635" s="2170"/>
    </row>
    <row r="636" spans="1:11" ht="16" x14ac:dyDescent="0.2">
      <c r="A636" s="1370"/>
    </row>
    <row r="637" spans="1:11" ht="14" x14ac:dyDescent="0.15">
      <c r="A637" s="2051"/>
    </row>
    <row r="639" spans="1:11" ht="18" x14ac:dyDescent="0.2">
      <c r="A639" s="2050"/>
    </row>
    <row r="640" spans="1:11" ht="14" x14ac:dyDescent="0.15">
      <c r="A640" s="2052"/>
    </row>
    <row r="641" spans="1:1" ht="14" x14ac:dyDescent="0.15">
      <c r="A641" s="2052"/>
    </row>
    <row r="642" spans="1:1" ht="14" x14ac:dyDescent="0.15">
      <c r="A642" s="2052"/>
    </row>
    <row r="643" spans="1:1" ht="14" x14ac:dyDescent="0.15">
      <c r="A643" s="2052"/>
    </row>
    <row r="644" spans="1:1" ht="18" x14ac:dyDescent="0.2">
      <c r="A644" s="2053"/>
    </row>
    <row r="645" spans="1:1" ht="14" x14ac:dyDescent="0.15">
      <c r="A645" s="2052"/>
    </row>
    <row r="646" spans="1:1" ht="14" x14ac:dyDescent="0.15">
      <c r="A646" s="2052"/>
    </row>
    <row r="647" spans="1:1" ht="14" x14ac:dyDescent="0.15">
      <c r="A647" s="2052"/>
    </row>
    <row r="648" spans="1:1" ht="14" x14ac:dyDescent="0.15">
      <c r="A648" s="2052"/>
    </row>
  </sheetData>
  <sheetProtection selectLockedCells="1"/>
  <phoneticPr fontId="5" type="noConversion"/>
  <conditionalFormatting sqref="C582">
    <cfRule type="expression" dxfId="1821" priority="196" stopIfTrue="1">
      <formula>IF(#REF!&lt;100,#REF!&gt;#REF!,"")</formula>
    </cfRule>
    <cfRule type="expression" dxfId="1820" priority="197" stopIfTrue="1">
      <formula>#REF!=#REF!</formula>
    </cfRule>
  </conditionalFormatting>
  <conditionalFormatting sqref="S463 S427:S428 S378 S430:S435 S394:S399 S423:S425 S438:S441 S387:S391 S401:S404 S406:S409 S411:S413 S415:S419 S476:S481 S498:S503 S518:S521 S483:S488 S490:S495 S505:S510 S512:S515 S523:S528 S544:S545">
    <cfRule type="expression" dxfId="1819" priority="132">
      <formula>S378&gt;J378</formula>
    </cfRule>
  </conditionalFormatting>
  <conditionalFormatting sqref="S88">
    <cfRule type="expression" dxfId="1818" priority="107">
      <formula>S88&gt;J88</formula>
    </cfRule>
  </conditionalFormatting>
  <conditionalFormatting sqref="J387:J391 J411:J412 J401:J403 J406:J408 J430:J435 J381:J384 J394:J398 J423:J425 J438:J441 J376 J415:J420 J427 J378">
    <cfRule type="expression" dxfId="1817" priority="71">
      <formula>$M376*4&gt;$J376</formula>
    </cfRule>
  </conditionalFormatting>
  <conditionalFormatting sqref="S376">
    <cfRule type="expression" dxfId="1816" priority="70">
      <formula>S376&gt;J376</formula>
    </cfRule>
  </conditionalFormatting>
  <conditionalFormatting sqref="S381:S385">
    <cfRule type="expression" dxfId="1815" priority="69">
      <formula>S381&gt;J381</formula>
    </cfRule>
  </conditionalFormatting>
  <conditionalFormatting sqref="T381:T384 T376 T427 T378 T394:T398 T423:T425 T438:T441 T476:T480 T498:T502 T518:T520">
    <cfRule type="expression" dxfId="1814" priority="68">
      <formula>T376&gt;J376</formula>
    </cfRule>
  </conditionalFormatting>
  <conditionalFormatting sqref="T387:T391">
    <cfRule type="expression" dxfId="1813" priority="67">
      <formula>T387&gt;J387</formula>
    </cfRule>
  </conditionalFormatting>
  <conditionalFormatting sqref="T401:T403">
    <cfRule type="expression" dxfId="1812" priority="66">
      <formula>T401&gt;J401</formula>
    </cfRule>
  </conditionalFormatting>
  <conditionalFormatting sqref="T406:T408">
    <cfRule type="expression" dxfId="1811" priority="65">
      <formula>T406&gt;J406</formula>
    </cfRule>
  </conditionalFormatting>
  <conditionalFormatting sqref="T411:T412">
    <cfRule type="expression" dxfId="1810" priority="64">
      <formula>T411&gt;J411</formula>
    </cfRule>
  </conditionalFormatting>
  <conditionalFormatting sqref="T415:T419">
    <cfRule type="expression" dxfId="1809" priority="63">
      <formula>T415&gt;J415</formula>
    </cfRule>
  </conditionalFormatting>
  <conditionalFormatting sqref="T430:T435">
    <cfRule type="expression" dxfId="1808" priority="62">
      <formula>T430&gt;J430</formula>
    </cfRule>
  </conditionalFormatting>
  <conditionalFormatting sqref="S420">
    <cfRule type="expression" dxfId="1807" priority="61">
      <formula>S420&gt;J420</formula>
    </cfRule>
  </conditionalFormatting>
  <conditionalFormatting sqref="T420">
    <cfRule type="expression" dxfId="1806" priority="60">
      <formula>T420&gt;J420</formula>
    </cfRule>
  </conditionalFormatting>
  <conditionalFormatting sqref="J426">
    <cfRule type="expression" dxfId="1805" priority="59">
      <formula>$M426*4&gt;$J426</formula>
    </cfRule>
  </conditionalFormatting>
  <conditionalFormatting sqref="S426">
    <cfRule type="expression" dxfId="1804" priority="58">
      <formula>S426&gt;J426</formula>
    </cfRule>
  </conditionalFormatting>
  <conditionalFormatting sqref="T426">
    <cfRule type="expression" dxfId="1803" priority="57">
      <formula>T426&gt;J426</formula>
    </cfRule>
  </conditionalFormatting>
  <conditionalFormatting sqref="J372:J375">
    <cfRule type="expression" dxfId="1802" priority="56">
      <formula>$M372*4&gt;$J372</formula>
    </cfRule>
  </conditionalFormatting>
  <conditionalFormatting sqref="S372:S375">
    <cfRule type="expression" dxfId="1801" priority="55">
      <formula>S372&gt;J372</formula>
    </cfRule>
  </conditionalFormatting>
  <conditionalFormatting sqref="T372:T375">
    <cfRule type="expression" dxfId="1800" priority="54">
      <formula>T372&gt;J372</formula>
    </cfRule>
  </conditionalFormatting>
  <conditionalFormatting sqref="S392">
    <cfRule type="expression" dxfId="1799" priority="53">
      <formula>S392&gt;J392</formula>
    </cfRule>
  </conditionalFormatting>
  <conditionalFormatting sqref="S421">
    <cfRule type="expression" dxfId="1798" priority="52">
      <formula>S421&gt;J421</formula>
    </cfRule>
  </conditionalFormatting>
  <conditionalFormatting sqref="S436">
    <cfRule type="expression" dxfId="1797" priority="51">
      <formula>S436&gt;J436</formula>
    </cfRule>
  </conditionalFormatting>
  <conditionalFormatting sqref="J468:J473 J483:J487 J490:J495 J512:J515 J523:J528 J505:J509 J476:J480 J498:J502 J518:J520">
    <cfRule type="expression" dxfId="1796" priority="50">
      <formula>$M468*4&gt;$J468</formula>
    </cfRule>
  </conditionalFormatting>
  <conditionalFormatting sqref="S468:S473">
    <cfRule type="expression" dxfId="1795" priority="49">
      <formula>S468&gt;J468</formula>
    </cfRule>
  </conditionalFormatting>
  <conditionalFormatting sqref="J533:J536">
    <cfRule type="expression" dxfId="1794" priority="48">
      <formula>$M533*4&gt;$J533</formula>
    </cfRule>
  </conditionalFormatting>
  <conditionalFormatting sqref="S533:S536">
    <cfRule type="expression" dxfId="1793" priority="47">
      <formula>S533&gt;J533</formula>
    </cfRule>
  </conditionalFormatting>
  <conditionalFormatting sqref="J539:J541 J544">
    <cfRule type="expression" dxfId="1792" priority="46">
      <formula>$M539*4&gt;$J539</formula>
    </cfRule>
  </conditionalFormatting>
  <conditionalFormatting sqref="S539:S541">
    <cfRule type="expression" dxfId="1791" priority="45">
      <formula>S539&gt;J539</formula>
    </cfRule>
  </conditionalFormatting>
  <conditionalFormatting sqref="J542">
    <cfRule type="expression" dxfId="1790" priority="44">
      <formula>$M542*4&gt;$J542</formula>
    </cfRule>
  </conditionalFormatting>
  <conditionalFormatting sqref="S542">
    <cfRule type="expression" dxfId="1789" priority="43">
      <formula>S542&gt;J542</formula>
    </cfRule>
  </conditionalFormatting>
  <conditionalFormatting sqref="J543">
    <cfRule type="expression" dxfId="1788" priority="42">
      <formula>$M543*4&gt;$J543</formula>
    </cfRule>
  </conditionalFormatting>
  <conditionalFormatting sqref="S543">
    <cfRule type="expression" dxfId="1787" priority="41">
      <formula>S543&gt;J543</formula>
    </cfRule>
  </conditionalFormatting>
  <conditionalFormatting sqref="T468:T473">
    <cfRule type="expression" dxfId="1786" priority="40">
      <formula>T468&gt;J468</formula>
    </cfRule>
  </conditionalFormatting>
  <conditionalFormatting sqref="T483:T487">
    <cfRule type="expression" dxfId="1785" priority="39">
      <formula>T483&gt;J483</formula>
    </cfRule>
  </conditionalFormatting>
  <conditionalFormatting sqref="T490:T495">
    <cfRule type="expression" dxfId="1784" priority="38">
      <formula>T490&gt;J490</formula>
    </cfRule>
  </conditionalFormatting>
  <conditionalFormatting sqref="T505:T509">
    <cfRule type="expression" dxfId="1783" priority="37">
      <formula>T505&gt;J505</formula>
    </cfRule>
  </conditionalFormatting>
  <conditionalFormatting sqref="T512:T515">
    <cfRule type="expression" dxfId="1782" priority="36">
      <formula>T512&gt;J512</formula>
    </cfRule>
  </conditionalFormatting>
  <conditionalFormatting sqref="T523:T528">
    <cfRule type="expression" dxfId="1781" priority="35">
      <formula>T523&gt;J523</formula>
    </cfRule>
  </conditionalFormatting>
  <conditionalFormatting sqref="T533:T536">
    <cfRule type="expression" dxfId="1780" priority="34">
      <formula>T533&gt;J533</formula>
    </cfRule>
  </conditionalFormatting>
  <conditionalFormatting sqref="T539:T544">
    <cfRule type="expression" dxfId="1779" priority="33">
      <formula>T539&gt;J539</formula>
    </cfRule>
  </conditionalFormatting>
  <conditionalFormatting sqref="S496">
    <cfRule type="expression" dxfId="1778" priority="32">
      <formula>S496&gt;J496</formula>
    </cfRule>
  </conditionalFormatting>
  <conditionalFormatting sqref="S516">
    <cfRule type="expression" dxfId="1777" priority="31">
      <formula>S516&gt;J516</formula>
    </cfRule>
  </conditionalFormatting>
  <conditionalFormatting sqref="J449">
    <cfRule type="expression" dxfId="1776" priority="30">
      <formula>$M449*4&gt;$J449</formula>
    </cfRule>
  </conditionalFormatting>
  <conditionalFormatting sqref="S449">
    <cfRule type="expression" dxfId="1775" priority="29">
      <formula>S449&gt;J449</formula>
    </cfRule>
  </conditionalFormatting>
  <conditionalFormatting sqref="T449">
    <cfRule type="expression" dxfId="1774" priority="28">
      <formula>T449&gt;J449</formula>
    </cfRule>
  </conditionalFormatting>
  <conditionalFormatting sqref="J445:J448">
    <cfRule type="expression" dxfId="1773" priority="27">
      <formula>$M445*4&gt;$J445</formula>
    </cfRule>
  </conditionalFormatting>
  <conditionalFormatting sqref="S445:S448">
    <cfRule type="expression" dxfId="1772" priority="26">
      <formula>S445&gt;J445</formula>
    </cfRule>
  </conditionalFormatting>
  <conditionalFormatting sqref="T445:T448">
    <cfRule type="expression" dxfId="1771" priority="25">
      <formula>T445&gt;J445</formula>
    </cfRule>
  </conditionalFormatting>
  <conditionalFormatting sqref="J452:J455">
    <cfRule type="expression" dxfId="1770" priority="24">
      <formula>$M452*4&gt;$J452</formula>
    </cfRule>
  </conditionalFormatting>
  <conditionalFormatting sqref="S452:S455">
    <cfRule type="expression" dxfId="1769" priority="23">
      <formula>S452&gt;J452</formula>
    </cfRule>
  </conditionalFormatting>
  <conditionalFormatting sqref="T452:T455">
    <cfRule type="expression" dxfId="1768" priority="22">
      <formula>T452&gt;J452</formula>
    </cfRule>
  </conditionalFormatting>
  <conditionalFormatting sqref="J458:J460 J462">
    <cfRule type="expression" dxfId="1767" priority="21">
      <formula>$M458*4&gt;$J458</formula>
    </cfRule>
  </conditionalFormatting>
  <conditionalFormatting sqref="S462">
    <cfRule type="expression" dxfId="1766" priority="20">
      <formula>S462&gt;J462</formula>
    </cfRule>
  </conditionalFormatting>
  <conditionalFormatting sqref="S458:S460">
    <cfRule type="expression" dxfId="1765" priority="19">
      <formula>S458&gt;J458</formula>
    </cfRule>
  </conditionalFormatting>
  <conditionalFormatting sqref="T462">
    <cfRule type="expression" dxfId="1764" priority="18">
      <formula>T462&gt;J462</formula>
    </cfRule>
  </conditionalFormatting>
  <conditionalFormatting sqref="T458:T460">
    <cfRule type="expression" dxfId="1763" priority="17">
      <formula>T458&gt;J458</formula>
    </cfRule>
  </conditionalFormatting>
  <conditionalFormatting sqref="J461">
    <cfRule type="expression" dxfId="1762" priority="16">
      <formula>$M461*4&gt;$J461</formula>
    </cfRule>
  </conditionalFormatting>
  <conditionalFormatting sqref="S461">
    <cfRule type="expression" dxfId="1761" priority="15">
      <formula>S461&gt;J461</formula>
    </cfRule>
  </conditionalFormatting>
  <conditionalFormatting sqref="T461">
    <cfRule type="expression" dxfId="1760" priority="14">
      <formula>T461&gt;J461</formula>
    </cfRule>
  </conditionalFormatting>
  <conditionalFormatting sqref="S456">
    <cfRule type="expression" dxfId="1759" priority="13">
      <formula>S456&gt;J456</formula>
    </cfRule>
  </conditionalFormatting>
  <conditionalFormatting sqref="C611">
    <cfRule type="expression" dxfId="1758" priority="7" stopIfTrue="1">
      <formula>IF(#REF!&lt;100,#REF!&gt;#REF!,"")</formula>
    </cfRule>
    <cfRule type="expression" dxfId="1757" priority="8" stopIfTrue="1">
      <formula>#REF!=#REF!</formula>
    </cfRule>
  </conditionalFormatting>
  <conditionalFormatting sqref="C583">
    <cfRule type="expression" dxfId="1756" priority="5" stopIfTrue="1">
      <formula>IF(#REF!&lt;100,#REF!&gt;#REF!,"")</formula>
    </cfRule>
    <cfRule type="expression" dxfId="1755" priority="6" stopIfTrue="1">
      <formula>#REF!=#REF!</formula>
    </cfRule>
  </conditionalFormatting>
  <conditionalFormatting sqref="C600">
    <cfRule type="expression" dxfId="1754" priority="3" stopIfTrue="1">
      <formula>IF(#REF!&lt;100,#REF!&gt;#REF!,"")</formula>
    </cfRule>
    <cfRule type="expression" dxfId="1753" priority="4" stopIfTrue="1">
      <formula>#REF!=#REF!</formula>
    </cfRule>
  </conditionalFormatting>
  <conditionalFormatting sqref="C588">
    <cfRule type="expression" dxfId="1752" priority="1" stopIfTrue="1">
      <formula>IF(#REF!&lt;100,#REF!&gt;#REF!,"")</formula>
    </cfRule>
    <cfRule type="expression" dxfId="1751" priority="2" stopIfTrue="1">
      <formula>#REF!=#REF!</formula>
    </cfRule>
  </conditionalFormatting>
  <hyperlinks>
    <hyperlink ref="A2" r:id="rId1" location="SPEC_performance_benchmarks"/>
    <hyperlink ref="B2" r:id="rId2" location="SPEC_performance_benchmarks"/>
    <hyperlink ref="C368" r:id="rId3" location="instance-details" display="Amazon Site"/>
    <hyperlink ref="C4" r:id="rId4" display="SDSwikiCh7"/>
    <hyperlink ref="K2" r:id="rId5"/>
    <hyperlink ref="C464" r:id="rId6"/>
  </hyperlinks>
  <pageMargins left="0.75" right="0.75" top="1" bottom="1" header="0.5" footer="0.5"/>
  <pageSetup orientation="portrait" r:id="rId7"/>
  <headerFooter alignWithMargins="0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1"/>
  <sheetViews>
    <sheetView showZeros="0" workbookViewId="0">
      <selection activeCell="U4" sqref="U4"/>
    </sheetView>
  </sheetViews>
  <sheetFormatPr baseColWidth="10" defaultColWidth="8.83203125" defaultRowHeight="13" x14ac:dyDescent="0.15"/>
  <cols>
    <col min="1" max="1" width="9.1640625" customWidth="1"/>
    <col min="2" max="2" width="5.1640625" customWidth="1"/>
    <col min="3" max="3" width="18.5" customWidth="1"/>
    <col min="17" max="17" width="3" style="2338" bestFit="1" customWidth="1"/>
    <col min="18" max="18" width="3.83203125" customWidth="1"/>
    <col min="19" max="19" width="15.5" customWidth="1"/>
    <col min="20" max="20" width="10.83203125" customWidth="1"/>
    <col min="21" max="21" width="13.6640625" customWidth="1"/>
  </cols>
  <sheetData>
    <row r="1" spans="1:21" x14ac:dyDescent="0.15">
      <c r="A1" s="320"/>
      <c r="B1" s="320"/>
      <c r="C1" s="2319">
        <v>1</v>
      </c>
      <c r="D1" s="2320">
        <f>+C1+1</f>
        <v>2</v>
      </c>
      <c r="E1" s="2320">
        <f t="shared" ref="E1:O1" si="0">+D1+1</f>
        <v>3</v>
      </c>
      <c r="F1" s="2320">
        <f t="shared" si="0"/>
        <v>4</v>
      </c>
      <c r="G1" s="2320">
        <f t="shared" si="0"/>
        <v>5</v>
      </c>
      <c r="H1" s="2320">
        <f t="shared" si="0"/>
        <v>6</v>
      </c>
      <c r="I1" s="2320">
        <f t="shared" si="0"/>
        <v>7</v>
      </c>
      <c r="J1" s="2320">
        <f t="shared" si="0"/>
        <v>8</v>
      </c>
      <c r="K1" s="2320">
        <f t="shared" si="0"/>
        <v>9</v>
      </c>
      <c r="L1" s="2320">
        <f t="shared" si="0"/>
        <v>10</v>
      </c>
      <c r="M1" s="2320">
        <f t="shared" si="0"/>
        <v>11</v>
      </c>
      <c r="N1" s="2321">
        <f t="shared" si="0"/>
        <v>12</v>
      </c>
      <c r="O1" s="2322">
        <f t="shared" si="0"/>
        <v>13</v>
      </c>
      <c r="Q1" s="2323"/>
      <c r="R1" s="2444"/>
      <c r="S1" s="1969" t="s">
        <v>1277</v>
      </c>
      <c r="T1" s="2090" t="s">
        <v>1298</v>
      </c>
      <c r="U1" s="2090" t="s">
        <v>1300</v>
      </c>
    </row>
    <row r="2" spans="1:21" x14ac:dyDescent="0.15">
      <c r="A2" s="320"/>
      <c r="B2" s="320"/>
      <c r="C2" s="3292" t="s">
        <v>1868</v>
      </c>
      <c r="D2" s="3293"/>
      <c r="E2" s="3293"/>
      <c r="F2" s="3294"/>
      <c r="G2" s="2205">
        <f>VLOOKUP(C2,HWRange,7,FALSE)</f>
        <v>74</v>
      </c>
      <c r="H2" s="2088"/>
      <c r="I2" s="476" t="s">
        <v>76</v>
      </c>
      <c r="J2" s="2329">
        <f>G2</f>
        <v>74</v>
      </c>
      <c r="K2" s="399"/>
      <c r="L2" s="475"/>
      <c r="M2" s="2172" t="s">
        <v>349</v>
      </c>
      <c r="N2" s="2171" t="s">
        <v>1047</v>
      </c>
      <c r="O2" s="2172" t="s">
        <v>1048</v>
      </c>
      <c r="Q2" s="2323"/>
      <c r="R2" s="2445"/>
      <c r="S2" s="2353">
        <v>2</v>
      </c>
      <c r="T2" s="2353">
        <v>3</v>
      </c>
      <c r="U2" s="2353">
        <v>4</v>
      </c>
    </row>
    <row r="3" spans="1:21" x14ac:dyDescent="0.15">
      <c r="A3" s="2330" t="s">
        <v>118</v>
      </c>
      <c r="B3" s="2330"/>
      <c r="C3" s="2340" t="s">
        <v>349</v>
      </c>
      <c r="D3" s="1969" t="s">
        <v>308</v>
      </c>
      <c r="E3" s="1969" t="s">
        <v>39</v>
      </c>
      <c r="F3" s="1969" t="s">
        <v>245</v>
      </c>
      <c r="G3" s="1969" t="s">
        <v>304</v>
      </c>
      <c r="H3" s="1969" t="s">
        <v>970</v>
      </c>
      <c r="I3" s="1969" t="s">
        <v>312</v>
      </c>
      <c r="J3" s="1969" t="str">
        <f>Calculator!I74</f>
        <v>DS/MDS</v>
      </c>
      <c r="K3" s="1969" t="s">
        <v>309</v>
      </c>
      <c r="L3" s="1969" t="s">
        <v>42</v>
      </c>
      <c r="M3" s="2341" t="s">
        <v>14</v>
      </c>
      <c r="N3" s="1969" t="s">
        <v>1018</v>
      </c>
      <c r="O3" s="2341" t="s">
        <v>1018</v>
      </c>
      <c r="Q3" s="2323"/>
      <c r="R3" s="2446">
        <v>1</v>
      </c>
      <c r="S3" s="1028" t="s">
        <v>1269</v>
      </c>
      <c r="T3" s="2451" t="s">
        <v>1274</v>
      </c>
      <c r="U3" s="2451" t="s">
        <v>1303</v>
      </c>
    </row>
    <row r="4" spans="1:21" x14ac:dyDescent="0.15">
      <c r="A4" s="2231" t="s">
        <v>245</v>
      </c>
      <c r="B4" s="2231"/>
      <c r="C4" s="2342" t="s">
        <v>359</v>
      </c>
      <c r="D4" s="2343">
        <v>1</v>
      </c>
      <c r="E4" s="1037">
        <f>E9</f>
        <v>2.0756756756756759E-2</v>
      </c>
      <c r="F4" s="1037">
        <f>F9</f>
        <v>0.23091891891891894</v>
      </c>
      <c r="G4" s="1031"/>
      <c r="H4" s="1031"/>
      <c r="I4" s="2344"/>
      <c r="J4" s="2345"/>
      <c r="K4" s="1031">
        <f>K9</f>
        <v>2.5655091891891895E-2</v>
      </c>
      <c r="L4" s="1031">
        <f>L9</f>
        <v>0.38874999999999993</v>
      </c>
      <c r="M4" s="2559" t="s">
        <v>1240</v>
      </c>
      <c r="N4" s="2346"/>
      <c r="O4" s="2347"/>
      <c r="P4" s="2594">
        <f>64/74</f>
        <v>0.86486486486486491</v>
      </c>
      <c r="Q4" s="2323"/>
      <c r="R4" s="2446">
        <f>+R3+1</f>
        <v>2</v>
      </c>
      <c r="S4" s="2202" t="s">
        <v>1261</v>
      </c>
      <c r="T4" s="2452" t="s">
        <v>1275</v>
      </c>
      <c r="U4" s="2451" t="s">
        <v>1888</v>
      </c>
    </row>
    <row r="5" spans="1:21" x14ac:dyDescent="0.15">
      <c r="A5" s="320"/>
      <c r="B5" s="320"/>
      <c r="C5" s="1028" t="s">
        <v>1269</v>
      </c>
      <c r="D5" s="1029">
        <v>10</v>
      </c>
      <c r="E5" s="2569">
        <v>0.23091891891891894</v>
      </c>
      <c r="F5" s="1030"/>
      <c r="G5" s="2350"/>
      <c r="H5" s="2351"/>
      <c r="I5" s="1030"/>
      <c r="J5" s="2345"/>
      <c r="K5" s="1031">
        <f>+E5*0.1111</f>
        <v>2.5655091891891895E-2</v>
      </c>
      <c r="L5" s="1031">
        <f>+SUM(E5:K5)</f>
        <v>0.25657401081081083</v>
      </c>
      <c r="M5" s="2083" t="s">
        <v>174</v>
      </c>
      <c r="N5" s="2346"/>
      <c r="O5" s="2347"/>
      <c r="Q5" s="2323"/>
      <c r="R5" s="2446">
        <f t="shared" ref="R5:R16" si="1">+R4+1</f>
        <v>3</v>
      </c>
      <c r="S5" s="2202" t="s">
        <v>1839</v>
      </c>
      <c r="T5" s="2453" t="s">
        <v>1276</v>
      </c>
      <c r="U5" s="2451" t="s">
        <v>1887</v>
      </c>
    </row>
    <row r="6" spans="1:21" x14ac:dyDescent="0.15">
      <c r="A6" s="2441" t="s">
        <v>95</v>
      </c>
      <c r="B6" s="2442"/>
      <c r="C6" s="2450" t="s">
        <v>1261</v>
      </c>
      <c r="D6" s="2203">
        <v>10</v>
      </c>
      <c r="E6" s="2201">
        <f>E5</f>
        <v>0.23091891891891894</v>
      </c>
      <c r="F6" s="1027"/>
      <c r="G6" s="2201">
        <f>G12</f>
        <v>6.9189189189189197E-3</v>
      </c>
      <c r="H6" s="328"/>
      <c r="I6" s="1027">
        <f>I12</f>
        <v>0.15679999999999999</v>
      </c>
      <c r="J6" s="2201"/>
      <c r="K6" s="2201">
        <f>+E6*0.1111</f>
        <v>2.5655091891891895E-2</v>
      </c>
      <c r="L6" s="382">
        <f>+SUM(E6:K6)</f>
        <v>0.42029292972972976</v>
      </c>
      <c r="M6" s="343" t="str">
        <f>M5</f>
        <v>wkstn</v>
      </c>
      <c r="N6" s="1244"/>
      <c r="O6" s="488"/>
      <c r="Q6" s="2323"/>
      <c r="R6" s="2446">
        <f t="shared" si="1"/>
        <v>4</v>
      </c>
      <c r="S6" s="2202" t="s">
        <v>1270</v>
      </c>
      <c r="T6" s="956" t="s">
        <v>1262</v>
      </c>
      <c r="U6" s="2491"/>
    </row>
    <row r="7" spans="1:21" x14ac:dyDescent="0.15">
      <c r="A7" s="2495" t="s">
        <v>1278</v>
      </c>
      <c r="B7" s="488">
        <v>2</v>
      </c>
      <c r="C7" s="2450" t="s">
        <v>1839</v>
      </c>
      <c r="D7" s="2203">
        <v>10</v>
      </c>
      <c r="E7" s="2201">
        <f>E6</f>
        <v>0.23091891891891894</v>
      </c>
      <c r="F7" s="1027"/>
      <c r="G7" s="2201">
        <f>G13</f>
        <v>6.9189189189189197E-3</v>
      </c>
      <c r="H7" s="328"/>
      <c r="I7" s="1027">
        <f>I6</f>
        <v>0.15679999999999999</v>
      </c>
      <c r="J7" s="2201"/>
      <c r="K7" s="2201">
        <f>+E7*0.1111</f>
        <v>2.5655091891891895E-2</v>
      </c>
      <c r="L7" s="382">
        <f>+SUM(E7:K7)</f>
        <v>0.42029292972972976</v>
      </c>
      <c r="M7" s="343" t="str">
        <f>M6</f>
        <v>wkstn</v>
      </c>
      <c r="N7" s="1244"/>
      <c r="O7" s="488"/>
      <c r="Q7" s="2323"/>
      <c r="R7" s="2446">
        <f t="shared" si="1"/>
        <v>5</v>
      </c>
      <c r="S7" s="956" t="s">
        <v>1262</v>
      </c>
      <c r="T7" s="2449"/>
      <c r="U7" s="2491"/>
    </row>
    <row r="8" spans="1:21" x14ac:dyDescent="0.15">
      <c r="A8" s="340" t="s">
        <v>1298</v>
      </c>
      <c r="B8" s="488">
        <f>B7+1</f>
        <v>3</v>
      </c>
      <c r="C8" s="2450" t="s">
        <v>1270</v>
      </c>
      <c r="D8" s="2203">
        <v>10</v>
      </c>
      <c r="E8" s="2201">
        <f>E6</f>
        <v>0.23091891891891894</v>
      </c>
      <c r="F8" s="1027"/>
      <c r="G8" s="2201"/>
      <c r="H8" s="2201"/>
      <c r="I8" s="2250"/>
      <c r="J8" s="1027">
        <f>J11</f>
        <v>7.7405405405405409E-3</v>
      </c>
      <c r="K8" s="2201">
        <f>+E8*0.1111</f>
        <v>2.5655091891891895E-2</v>
      </c>
      <c r="L8" s="382">
        <f>+SUM(E8:K8)</f>
        <v>0.2643145513513514</v>
      </c>
      <c r="M8" s="343" t="str">
        <f>M6</f>
        <v>wkstn</v>
      </c>
      <c r="N8" s="1244"/>
      <c r="O8" s="488"/>
      <c r="Q8" s="2323"/>
      <c r="R8" s="2446">
        <f t="shared" si="1"/>
        <v>6</v>
      </c>
      <c r="S8" s="2202" t="s">
        <v>1263</v>
      </c>
      <c r="T8" s="2449"/>
      <c r="U8" s="2491"/>
    </row>
    <row r="9" spans="1:21" x14ac:dyDescent="0.15">
      <c r="A9" s="341" t="s">
        <v>1300</v>
      </c>
      <c r="B9" s="488">
        <f>+B8+1</f>
        <v>4</v>
      </c>
      <c r="C9" s="2449" t="s">
        <v>1262</v>
      </c>
      <c r="D9" s="383">
        <v>0.28000000000000003</v>
      </c>
      <c r="E9" s="2571">
        <v>2.0756756756756759E-2</v>
      </c>
      <c r="F9" s="1027">
        <f>E$5</f>
        <v>0.23091891891891894</v>
      </c>
      <c r="G9" s="1930"/>
      <c r="H9" s="2089"/>
      <c r="I9" s="1027"/>
      <c r="J9" s="2201"/>
      <c r="K9" s="382">
        <f>+F9*0.1111</f>
        <v>2.5655091891891895E-2</v>
      </c>
      <c r="L9" s="1027">
        <v>0.38874999999999993</v>
      </c>
      <c r="M9" s="343" t="str">
        <f>$A$4</f>
        <v>Citrix</v>
      </c>
      <c r="N9" s="1244"/>
      <c r="O9" s="488"/>
      <c r="Q9" s="2323"/>
      <c r="R9" s="2446">
        <f t="shared" si="1"/>
        <v>7</v>
      </c>
      <c r="S9" s="956" t="s">
        <v>1271</v>
      </c>
      <c r="T9" s="2449"/>
      <c r="U9" s="2491"/>
    </row>
    <row r="10" spans="1:21" x14ac:dyDescent="0.15">
      <c r="A10" s="340"/>
      <c r="B10" s="488"/>
      <c r="C10" s="2450" t="s">
        <v>1263</v>
      </c>
      <c r="D10" s="2203">
        <f>D9</f>
        <v>0.28000000000000003</v>
      </c>
      <c r="E10" s="1027">
        <f>+E$9</f>
        <v>2.0756756756756759E-2</v>
      </c>
      <c r="F10" s="2201">
        <f>+E$5</f>
        <v>0.23091891891891894</v>
      </c>
      <c r="G10" s="2201">
        <f>G12</f>
        <v>6.9189189189189197E-3</v>
      </c>
      <c r="H10" s="2201"/>
      <c r="I10" s="2367">
        <f>I12*VLOOKUP(M$4,OutputArray,4,FALSE)</f>
        <v>7.8399999999999997E-2</v>
      </c>
      <c r="J10" s="2201"/>
      <c r="K10" s="2201">
        <f>+F10*0.1111</f>
        <v>2.5655091891891895E-2</v>
      </c>
      <c r="L10" s="382">
        <f>+SUM(E10:K10)</f>
        <v>0.3626496864864866</v>
      </c>
      <c r="M10" s="343" t="str">
        <f>$A$4</f>
        <v>Citrix</v>
      </c>
      <c r="N10" s="1244"/>
      <c r="O10" s="488"/>
      <c r="Q10" s="2323"/>
      <c r="R10" s="2446">
        <f t="shared" si="1"/>
        <v>8</v>
      </c>
      <c r="S10" s="956" t="s">
        <v>1264</v>
      </c>
      <c r="T10" s="2447"/>
      <c r="U10" s="2491"/>
    </row>
    <row r="11" spans="1:21" x14ac:dyDescent="0.15">
      <c r="A11" s="340"/>
      <c r="B11" s="488"/>
      <c r="C11" s="2449" t="s">
        <v>1271</v>
      </c>
      <c r="D11" s="2203">
        <f>D10</f>
        <v>0.28000000000000003</v>
      </c>
      <c r="E11" s="1027">
        <f t="shared" ref="E11:E19" si="2">+E$9</f>
        <v>2.0756756756756759E-2</v>
      </c>
      <c r="F11" s="1027">
        <f>E$5</f>
        <v>0.23091891891891894</v>
      </c>
      <c r="G11" s="1930"/>
      <c r="H11" s="2089"/>
      <c r="I11" s="1027"/>
      <c r="J11" s="1027">
        <f>J18</f>
        <v>7.7405405405405409E-3</v>
      </c>
      <c r="K11" s="382">
        <f>+F11*0.1111</f>
        <v>2.5655091891891895E-2</v>
      </c>
      <c r="L11" s="1027">
        <v>0.38874999999999993</v>
      </c>
      <c r="M11" s="343" t="str">
        <f>$A$4</f>
        <v>Citrix</v>
      </c>
      <c r="N11" s="1244"/>
      <c r="O11" s="488"/>
      <c r="Q11" s="2323"/>
      <c r="R11" s="2446">
        <f t="shared" si="1"/>
        <v>9</v>
      </c>
      <c r="S11" s="956" t="s">
        <v>1265</v>
      </c>
      <c r="T11" s="2447"/>
      <c r="U11" s="2491"/>
    </row>
    <row r="12" spans="1:21" x14ac:dyDescent="0.15">
      <c r="A12" s="340"/>
      <c r="B12" s="488"/>
      <c r="C12" s="2449" t="s">
        <v>1264</v>
      </c>
      <c r="D12" s="384">
        <v>2</v>
      </c>
      <c r="E12" s="1027">
        <f t="shared" si="2"/>
        <v>2.0756756756756759E-2</v>
      </c>
      <c r="F12" s="327"/>
      <c r="G12" s="2571">
        <v>6.9189189189189197E-3</v>
      </c>
      <c r="H12" s="1027"/>
      <c r="I12" s="2373">
        <v>0.15679999999999999</v>
      </c>
      <c r="J12" s="2201"/>
      <c r="K12" s="382">
        <f>+I12*0.1111</f>
        <v>1.7420479999999999E-2</v>
      </c>
      <c r="L12" s="382">
        <f t="shared" ref="L12:L25" si="3">+SUM(E12:K12)</f>
        <v>0.20189615567567568</v>
      </c>
      <c r="M12" s="343" t="s">
        <v>312</v>
      </c>
      <c r="N12" s="1244" t="s">
        <v>1019</v>
      </c>
      <c r="O12" s="2173"/>
      <c r="Q12" s="2323"/>
      <c r="R12" s="2446">
        <f t="shared" si="1"/>
        <v>10</v>
      </c>
      <c r="S12" s="956" t="s">
        <v>1266</v>
      </c>
      <c r="T12" s="2447"/>
      <c r="U12" s="2491"/>
    </row>
    <row r="13" spans="1:21" x14ac:dyDescent="0.15">
      <c r="A13" s="340"/>
      <c r="B13" s="488"/>
      <c r="C13" s="2449" t="s">
        <v>1265</v>
      </c>
      <c r="D13" s="3191">
        <f>D12</f>
        <v>2</v>
      </c>
      <c r="E13" s="1027">
        <f t="shared" si="2"/>
        <v>2.0756756756756759E-2</v>
      </c>
      <c r="F13" s="327"/>
      <c r="G13" s="1929">
        <f t="shared" ref="G13:G18" si="4">G$12</f>
        <v>6.9189189189189197E-3</v>
      </c>
      <c r="H13" s="1027"/>
      <c r="I13" s="1027">
        <f>I12*1.53</f>
        <v>0.23990400000000001</v>
      </c>
      <c r="J13" s="2201"/>
      <c r="K13" s="382">
        <f>+K12</f>
        <v>1.7420479999999999E-2</v>
      </c>
      <c r="L13" s="382">
        <f t="shared" si="3"/>
        <v>0.28500015567567571</v>
      </c>
      <c r="M13" s="343" t="s">
        <v>312</v>
      </c>
      <c r="N13" s="1244" t="s">
        <v>1019</v>
      </c>
      <c r="O13" s="2173"/>
      <c r="Q13" s="2323"/>
      <c r="R13" s="2446">
        <f t="shared" si="1"/>
        <v>11</v>
      </c>
      <c r="S13" s="956" t="s">
        <v>1267</v>
      </c>
      <c r="T13" s="2447"/>
      <c r="U13" s="2491"/>
    </row>
    <row r="14" spans="1:21" x14ac:dyDescent="0.15">
      <c r="A14" s="340"/>
      <c r="B14" s="488"/>
      <c r="C14" s="2449" t="s">
        <v>1266</v>
      </c>
      <c r="D14" s="3191">
        <f t="shared" ref="D14:D15" si="5">D13</f>
        <v>2</v>
      </c>
      <c r="E14" s="1027">
        <f t="shared" si="2"/>
        <v>2.0756756756756759E-2</v>
      </c>
      <c r="F14" s="327"/>
      <c r="G14" s="1929">
        <f t="shared" si="4"/>
        <v>6.9189189189189197E-3</v>
      </c>
      <c r="H14" s="1027"/>
      <c r="I14" s="1027">
        <f>+I12*1.622</f>
        <v>0.25432959999999999</v>
      </c>
      <c r="J14" s="2201"/>
      <c r="K14" s="382">
        <f>+K13</f>
        <v>1.7420479999999999E-2</v>
      </c>
      <c r="L14" s="382">
        <f t="shared" si="3"/>
        <v>0.2994257556756757</v>
      </c>
      <c r="M14" s="343" t="s">
        <v>312</v>
      </c>
      <c r="N14" s="1244" t="s">
        <v>1019</v>
      </c>
      <c r="O14" s="2173"/>
      <c r="Q14" s="2323"/>
      <c r="R14" s="2446">
        <f t="shared" si="1"/>
        <v>12</v>
      </c>
      <c r="S14" s="956" t="s">
        <v>1268</v>
      </c>
      <c r="T14" s="2447"/>
      <c r="U14" s="2491"/>
    </row>
    <row r="15" spans="1:21" x14ac:dyDescent="0.15">
      <c r="A15" s="340"/>
      <c r="B15" s="488"/>
      <c r="C15" s="2449" t="s">
        <v>1267</v>
      </c>
      <c r="D15" s="3191">
        <f t="shared" si="5"/>
        <v>2</v>
      </c>
      <c r="E15" s="1027">
        <f t="shared" si="2"/>
        <v>2.0756756756756759E-2</v>
      </c>
      <c r="F15" s="327"/>
      <c r="G15" s="1929">
        <f t="shared" si="4"/>
        <v>6.9189189189189197E-3</v>
      </c>
      <c r="H15" s="1027"/>
      <c r="I15" s="1930">
        <f>+I12*1</f>
        <v>0.15679999999999999</v>
      </c>
      <c r="J15" s="2201"/>
      <c r="K15" s="382">
        <f>+K14</f>
        <v>1.7420479999999999E-2</v>
      </c>
      <c r="L15" s="382">
        <f t="shared" si="3"/>
        <v>0.20189615567567568</v>
      </c>
      <c r="M15" s="343" t="s">
        <v>312</v>
      </c>
      <c r="N15" s="1244" t="s">
        <v>1019</v>
      </c>
      <c r="O15" s="2173"/>
      <c r="Q15" s="2323"/>
      <c r="R15" s="2446">
        <f t="shared" si="1"/>
        <v>13</v>
      </c>
      <c r="S15" s="1032" t="s">
        <v>1273</v>
      </c>
      <c r="T15" s="2448"/>
      <c r="U15" s="2434"/>
    </row>
    <row r="16" spans="1:21" x14ac:dyDescent="0.15">
      <c r="A16" s="341"/>
      <c r="B16" s="2443"/>
      <c r="C16" s="2449" t="s">
        <v>1268</v>
      </c>
      <c r="D16" s="1932">
        <v>1.6</v>
      </c>
      <c r="E16" s="1027">
        <f t="shared" si="2"/>
        <v>2.0756756756756759E-2</v>
      </c>
      <c r="F16" s="327"/>
      <c r="G16" s="1929">
        <f t="shared" si="4"/>
        <v>6.9189189189189197E-3</v>
      </c>
      <c r="H16" s="1027"/>
      <c r="I16" s="1930">
        <f>+I12*2.244</f>
        <v>0.35185920000000004</v>
      </c>
      <c r="J16" s="2201"/>
      <c r="K16" s="382">
        <f>+K15</f>
        <v>1.7420479999999999E-2</v>
      </c>
      <c r="L16" s="382">
        <f t="shared" si="3"/>
        <v>0.39695535567567575</v>
      </c>
      <c r="M16" s="343" t="s">
        <v>312</v>
      </c>
      <c r="N16" s="1244" t="s">
        <v>1019</v>
      </c>
      <c r="O16" s="2173"/>
      <c r="Q16" s="2323"/>
      <c r="R16" s="2446">
        <f t="shared" si="1"/>
        <v>14</v>
      </c>
      <c r="S16" s="1032"/>
      <c r="T16" s="2448"/>
      <c r="U16" s="2434"/>
    </row>
    <row r="17" spans="1:19" x14ac:dyDescent="0.15">
      <c r="A17" s="320"/>
      <c r="B17" s="320"/>
      <c r="C17" s="2449" t="s">
        <v>1272</v>
      </c>
      <c r="D17" s="3192">
        <f>D15</f>
        <v>2</v>
      </c>
      <c r="E17" s="1027">
        <f t="shared" si="2"/>
        <v>2.0756756756756759E-2</v>
      </c>
      <c r="F17" s="327"/>
      <c r="G17" s="1929">
        <f t="shared" si="4"/>
        <v>6.9189189189189197E-3</v>
      </c>
      <c r="H17" s="2501">
        <v>1.4875675675675677E-2</v>
      </c>
      <c r="I17" s="1027"/>
      <c r="J17" s="2201"/>
      <c r="K17" s="382"/>
      <c r="L17" s="382">
        <f t="shared" si="3"/>
        <v>4.2551351351351352E-2</v>
      </c>
      <c r="M17" s="343" t="s">
        <v>312</v>
      </c>
      <c r="N17" s="1244" t="s">
        <v>1019</v>
      </c>
      <c r="O17" s="2173"/>
      <c r="Q17" s="2323"/>
      <c r="R17" s="2323"/>
      <c r="S17" s="2323"/>
    </row>
    <row r="18" spans="1:19" x14ac:dyDescent="0.15">
      <c r="C18" s="1032" t="s">
        <v>1273</v>
      </c>
      <c r="D18" s="3192">
        <f>D17</f>
        <v>2</v>
      </c>
      <c r="E18" s="1027">
        <f t="shared" si="2"/>
        <v>2.0756756756756759E-2</v>
      </c>
      <c r="F18" s="1035"/>
      <c r="G18" s="1929">
        <f t="shared" si="4"/>
        <v>6.9189189189189197E-3</v>
      </c>
      <c r="H18" s="1034"/>
      <c r="I18" s="2572">
        <v>6.1924324324324327E-2</v>
      </c>
      <c r="J18" s="1036">
        <f>+I18*0.125</f>
        <v>7.7405405405405409E-3</v>
      </c>
      <c r="K18" s="1036">
        <f>J18</f>
        <v>7.7405405405405409E-3</v>
      </c>
      <c r="L18" s="1036">
        <f t="shared" si="3"/>
        <v>0.10508108108108111</v>
      </c>
      <c r="M18" s="385" t="s">
        <v>45</v>
      </c>
      <c r="N18" s="2348" t="s">
        <v>1019</v>
      </c>
      <c r="O18" s="2349"/>
      <c r="Q18" s="2323"/>
      <c r="S18" s="2325"/>
    </row>
    <row r="19" spans="1:19" x14ac:dyDescent="0.15">
      <c r="C19" s="1032" t="s">
        <v>92</v>
      </c>
      <c r="D19" s="1033">
        <v>0.5</v>
      </c>
      <c r="E19" s="1027">
        <f t="shared" si="2"/>
        <v>2.0756756756756759E-2</v>
      </c>
      <c r="F19" s="1035"/>
      <c r="G19" s="1036">
        <f>G18</f>
        <v>6.9189189189189197E-3</v>
      </c>
      <c r="H19" s="1034"/>
      <c r="I19" s="2573">
        <v>7.0918918918918931E-3</v>
      </c>
      <c r="J19" s="1036"/>
      <c r="K19" s="1036"/>
      <c r="L19" s="1036">
        <f t="shared" si="3"/>
        <v>3.4767567567567575E-2</v>
      </c>
      <c r="M19" s="385" t="s">
        <v>312</v>
      </c>
      <c r="N19" s="2348" t="s">
        <v>1019</v>
      </c>
      <c r="O19" s="2349"/>
    </row>
    <row r="20" spans="1:19" x14ac:dyDescent="0.15">
      <c r="C20" s="1028" t="s">
        <v>1274</v>
      </c>
      <c r="D20" s="1029">
        <v>10</v>
      </c>
      <c r="E20" s="2569">
        <v>0.69362162162162166</v>
      </c>
      <c r="F20" s="1030"/>
      <c r="G20" s="2350"/>
      <c r="H20" s="2351"/>
      <c r="I20" s="1030"/>
      <c r="J20" s="2345"/>
      <c r="K20" s="1031">
        <f>E20*0.22</f>
        <v>0.15259675675675677</v>
      </c>
      <c r="L20" s="1031">
        <f t="shared" si="3"/>
        <v>0.84621837837837843</v>
      </c>
      <c r="M20" s="2083" t="s">
        <v>174</v>
      </c>
      <c r="N20" s="2346"/>
      <c r="O20" s="2347"/>
    </row>
    <row r="21" spans="1:19" x14ac:dyDescent="0.15">
      <c r="C21" s="956" t="s">
        <v>1275</v>
      </c>
      <c r="D21" s="383">
        <v>0.28000000000000003</v>
      </c>
      <c r="E21" s="1027">
        <f>+E$9</f>
        <v>2.0756756756756759E-2</v>
      </c>
      <c r="F21" s="1027">
        <f>E20</f>
        <v>0.69362162162162166</v>
      </c>
      <c r="G21" s="1930"/>
      <c r="H21" s="2089"/>
      <c r="I21" s="1027"/>
      <c r="J21" s="2201"/>
      <c r="K21" s="382">
        <f>+F21*0.22</f>
        <v>0.15259675675675677</v>
      </c>
      <c r="L21" s="382">
        <f t="shared" si="3"/>
        <v>0.86697513513513524</v>
      </c>
      <c r="M21" s="343" t="str">
        <f>$A$4</f>
        <v>Citrix</v>
      </c>
      <c r="N21" s="1244"/>
      <c r="O21" s="488"/>
    </row>
    <row r="22" spans="1:19" x14ac:dyDescent="0.15">
      <c r="C22" s="956" t="s">
        <v>1276</v>
      </c>
      <c r="D22" s="384">
        <v>2</v>
      </c>
      <c r="E22" s="1027">
        <f>+E$9</f>
        <v>2.0756756756756759E-2</v>
      </c>
      <c r="F22" s="327"/>
      <c r="G22" s="2571">
        <v>6.9189189189189197E-3</v>
      </c>
      <c r="H22" s="1027"/>
      <c r="I22" s="327">
        <v>0.47048648648648655</v>
      </c>
      <c r="J22" s="2201"/>
      <c r="K22" s="382">
        <f>+I22*0.22</f>
        <v>0.10350702702702705</v>
      </c>
      <c r="L22" s="382">
        <f t="shared" si="3"/>
        <v>0.60166918918918932</v>
      </c>
      <c r="M22" s="343" t="s">
        <v>312</v>
      </c>
      <c r="N22" s="1244" t="s">
        <v>1019</v>
      </c>
      <c r="O22" s="2173"/>
    </row>
    <row r="23" spans="1:19" x14ac:dyDescent="0.15">
      <c r="C23" s="2352" t="s">
        <v>1303</v>
      </c>
      <c r="D23" s="2499">
        <v>6.0000000000000001E-3</v>
      </c>
      <c r="E23" s="2570">
        <v>8.6486486486486496E-5</v>
      </c>
      <c r="F23" s="2500"/>
      <c r="G23" s="2570">
        <v>8.6486486486486496E-5</v>
      </c>
      <c r="H23" s="2500"/>
      <c r="I23" s="2570">
        <v>0.27433513513513513</v>
      </c>
      <c r="J23" s="2500"/>
      <c r="K23" s="2560">
        <f>0.03*I23</f>
        <v>8.2300540540540534E-3</v>
      </c>
      <c r="L23" s="1036">
        <f t="shared" si="3"/>
        <v>0.28273816216216219</v>
      </c>
      <c r="M23" s="385" t="s">
        <v>312</v>
      </c>
      <c r="N23" s="2348" t="s">
        <v>1019</v>
      </c>
      <c r="O23" s="2443"/>
    </row>
    <row r="24" spans="1:19" x14ac:dyDescent="0.15">
      <c r="C24" s="955" t="s">
        <v>1888</v>
      </c>
      <c r="D24" s="2502">
        <v>6.0000000000000001E-3</v>
      </c>
      <c r="E24" s="2571">
        <v>8.6486486486486496E-5</v>
      </c>
      <c r="F24" s="2501"/>
      <c r="G24" s="2501"/>
      <c r="H24" s="2501"/>
      <c r="I24" s="2571">
        <v>4.151351351351351E-3</v>
      </c>
      <c r="J24" s="2501"/>
      <c r="K24" s="2571">
        <v>2.8131601633178899E-4</v>
      </c>
      <c r="L24" s="382">
        <f t="shared" si="3"/>
        <v>4.5191538541696271E-3</v>
      </c>
      <c r="M24" s="343" t="s">
        <v>312</v>
      </c>
      <c r="N24" s="1244" t="s">
        <v>1019</v>
      </c>
      <c r="O24" s="488"/>
    </row>
    <row r="25" spans="1:19" x14ac:dyDescent="0.15">
      <c r="C25" s="955" t="s">
        <v>1887</v>
      </c>
      <c r="D25" s="2502">
        <v>6.0000000000000001E-3</v>
      </c>
      <c r="E25" s="2571">
        <v>8.6486486486486496E-5</v>
      </c>
      <c r="F25" s="2501"/>
      <c r="G25" s="2501"/>
      <c r="H25" s="2501"/>
      <c r="I25" s="2571">
        <v>2.7006337567851762E-3</v>
      </c>
      <c r="J25" s="2501"/>
      <c r="K25" s="2571">
        <v>2.8131601633178899E-4</v>
      </c>
      <c r="L25" s="382">
        <f t="shared" si="3"/>
        <v>3.0684362596034519E-3</v>
      </c>
      <c r="M25" s="343" t="s">
        <v>312</v>
      </c>
      <c r="N25" s="1244" t="s">
        <v>1019</v>
      </c>
      <c r="O25" s="488"/>
    </row>
    <row r="26" spans="1:19" ht="16" x14ac:dyDescent="0.2">
      <c r="C26" s="405"/>
      <c r="D26" s="480"/>
      <c r="E26" s="480"/>
      <c r="F26" s="480"/>
      <c r="G26" s="481"/>
      <c r="H26" s="481"/>
      <c r="I26" s="481"/>
      <c r="J26" s="481"/>
      <c r="K26" s="481"/>
      <c r="L26" s="480"/>
      <c r="M26" s="480"/>
      <c r="N26" s="480"/>
      <c r="O26" s="482"/>
    </row>
    <row r="27" spans="1:19" x14ac:dyDescent="0.15">
      <c r="C27" s="955" t="s">
        <v>1814</v>
      </c>
    </row>
    <row r="28" spans="1:19" x14ac:dyDescent="0.15">
      <c r="I28" s="2571">
        <v>4.7999999999999996E-3</v>
      </c>
      <c r="J28">
        <f>I24/I28</f>
        <v>0.86486486486486491</v>
      </c>
    </row>
    <row r="29" spans="1:19" x14ac:dyDescent="0.15">
      <c r="A29" s="2232" t="s">
        <v>1117</v>
      </c>
      <c r="B29" s="2233"/>
      <c r="C29" s="2233"/>
      <c r="D29" s="2233"/>
      <c r="E29" s="2233"/>
      <c r="F29" s="2234"/>
    </row>
    <row r="30" spans="1:19" x14ac:dyDescent="0.15">
      <c r="A30" s="2235" t="s">
        <v>1116</v>
      </c>
      <c r="B30" s="2236"/>
      <c r="C30" s="2236"/>
      <c r="D30" s="2236"/>
      <c r="E30" s="2236"/>
      <c r="F30" s="2237"/>
    </row>
    <row r="31" spans="1:19" x14ac:dyDescent="0.15">
      <c r="A31" s="2238" t="s">
        <v>1553</v>
      </c>
      <c r="B31" s="2239"/>
      <c r="C31" s="2239"/>
      <c r="D31" s="2239"/>
      <c r="E31" s="2239"/>
      <c r="F31" s="2240"/>
    </row>
  </sheetData>
  <mergeCells count="1">
    <mergeCell ref="C2:F2"/>
  </mergeCells>
  <dataValidations count="1">
    <dataValidation type="list" allowBlank="1" showInputMessage="1" showErrorMessage="1" sqref="C2">
      <formula1>ServerCandidates</formula1>
    </dataValidation>
  </dataValidation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4D4D4D"/>
  </sheetPr>
  <dimension ref="A1:AE671"/>
  <sheetViews>
    <sheetView topLeftCell="A8" workbookViewId="0">
      <selection activeCell="G367" sqref="G367:G377"/>
    </sheetView>
  </sheetViews>
  <sheetFormatPr baseColWidth="10" defaultColWidth="9.1640625" defaultRowHeight="13" outlineLevelRow="2" x14ac:dyDescent="0.15"/>
  <cols>
    <col min="1" max="1" width="42.6640625" style="31" customWidth="1"/>
    <col min="2" max="2" width="21.5" style="31" customWidth="1"/>
    <col min="3" max="3" width="12.6640625" style="31" customWidth="1"/>
    <col min="4" max="4" width="8" style="31" customWidth="1"/>
    <col min="5" max="5" width="9.33203125" style="31" customWidth="1"/>
    <col min="6" max="6" width="8.33203125" style="31" customWidth="1"/>
    <col min="7" max="7" width="7.5" style="31" customWidth="1"/>
    <col min="8" max="8" width="7.6640625" style="2609" customWidth="1"/>
    <col min="9" max="9" width="10.5" style="31" customWidth="1"/>
    <col min="10" max="10" width="8.5" style="1378" customWidth="1"/>
    <col min="11" max="11" width="12.5" style="31" customWidth="1"/>
    <col min="12" max="15" width="10" style="31" customWidth="1"/>
    <col min="16" max="16" width="9.33203125" style="31" customWidth="1"/>
    <col min="17" max="17" width="10.83203125" style="31" customWidth="1"/>
    <col min="18" max="18" width="14" style="31" customWidth="1"/>
    <col min="19" max="19" width="10.83203125" style="31" customWidth="1"/>
    <col min="20" max="20" width="9.1640625" style="31" customWidth="1"/>
    <col min="21" max="27" width="9.1640625" style="31"/>
    <col min="28" max="28" width="30.83203125" style="31" customWidth="1"/>
    <col min="29" max="29" width="17.5" style="31" customWidth="1"/>
    <col min="30" max="31" width="9.1640625" style="31" customWidth="1"/>
    <col min="32" max="16384" width="9.1640625" style="31"/>
  </cols>
  <sheetData>
    <row r="1" spans="1:19" ht="14" hidden="1" outlineLevel="1" thickBot="1" x14ac:dyDescent="0.2">
      <c r="A1" s="3307" t="s">
        <v>287</v>
      </c>
      <c r="B1" s="3308"/>
      <c r="C1" s="3308"/>
      <c r="D1" s="3308"/>
      <c r="E1" s="3307" t="s">
        <v>286</v>
      </c>
      <c r="F1" s="3308"/>
      <c r="G1" s="3309"/>
      <c r="H1" s="3310" t="s">
        <v>285</v>
      </c>
      <c r="I1" s="3311"/>
      <c r="J1" s="3312"/>
      <c r="L1" s="3295" t="s">
        <v>276</v>
      </c>
      <c r="M1" s="3296"/>
      <c r="N1" s="3296"/>
      <c r="O1" s="3296"/>
      <c r="P1" s="3297"/>
    </row>
    <row r="2" spans="1:19" ht="14" hidden="1" outlineLevel="1" thickBot="1" x14ac:dyDescent="0.2">
      <c r="A2" s="32" t="s">
        <v>334</v>
      </c>
      <c r="B2" s="33" t="s">
        <v>328</v>
      </c>
      <c r="C2" s="33" t="s">
        <v>313</v>
      </c>
      <c r="D2" s="34" t="s">
        <v>274</v>
      </c>
      <c r="E2" s="35" t="s">
        <v>315</v>
      </c>
      <c r="F2" s="34" t="s">
        <v>284</v>
      </c>
      <c r="G2" s="36" t="s">
        <v>279</v>
      </c>
      <c r="H2" s="2913" t="s">
        <v>315</v>
      </c>
      <c r="I2" s="2914" t="s">
        <v>306</v>
      </c>
      <c r="J2" s="2915" t="s">
        <v>284</v>
      </c>
      <c r="K2" s="37"/>
      <c r="L2" s="38" t="s">
        <v>318</v>
      </c>
      <c r="M2" s="2991"/>
      <c r="N2" s="2991"/>
      <c r="O2" s="2991"/>
      <c r="P2" s="39" t="s">
        <v>319</v>
      </c>
    </row>
    <row r="3" spans="1:19" ht="14" hidden="1" outlineLevel="1" thickBot="1" x14ac:dyDescent="0.2">
      <c r="A3" s="670" t="s">
        <v>786</v>
      </c>
      <c r="B3" s="40">
        <f>VLOOKUP(A3,HWRange,6,FALSE)</f>
        <v>185</v>
      </c>
      <c r="C3" s="3097">
        <f>VLOOKUP(A3,HWRange,3,FALSE)</f>
        <v>4</v>
      </c>
      <c r="D3" s="41">
        <f>VLOOKUP(A3,HWRange,7,FALSE)</f>
        <v>46.25</v>
      </c>
      <c r="E3" s="42">
        <v>0.44</v>
      </c>
      <c r="F3" s="43">
        <f>C3*3600/E3</f>
        <v>32727.272727272728</v>
      </c>
      <c r="G3" s="44" t="s">
        <v>316</v>
      </c>
      <c r="H3" s="2916">
        <f>C3*60/I3</f>
        <v>450</v>
      </c>
      <c r="I3" s="2917">
        <f>J3/60</f>
        <v>0.53333333333333333</v>
      </c>
      <c r="J3" s="45">
        <v>32</v>
      </c>
      <c r="K3" s="37"/>
      <c r="L3" s="46">
        <v>9.8000000000000007</v>
      </c>
      <c r="M3" s="2992"/>
      <c r="N3" s="2992"/>
      <c r="O3" s="2992"/>
      <c r="P3" s="47">
        <f>L3/2.1</f>
        <v>4.666666666666667</v>
      </c>
    </row>
    <row r="4" spans="1:19" ht="14" hidden="1" outlineLevel="1" thickBot="1" x14ac:dyDescent="0.2">
      <c r="A4" s="670" t="s">
        <v>1552</v>
      </c>
      <c r="B4" s="723">
        <f>VLOOKUP(A4,HWRange,6,FALSE)</f>
        <v>262</v>
      </c>
      <c r="C4" s="147">
        <f>VLOOKUP(A4,HWRange,3,FALSE)</f>
        <v>4</v>
      </c>
      <c r="D4" s="724">
        <f>VLOOKUP(A4,HWRange,7,FALSE)</f>
        <v>65.5</v>
      </c>
      <c r="E4" s="725">
        <f>E3*D3/D4</f>
        <v>0.31068702290076339</v>
      </c>
      <c r="F4" s="22">
        <f>C4*3600/E4</f>
        <v>46348.894348894348</v>
      </c>
      <c r="G4" s="726">
        <f>F4/F3</f>
        <v>1.4162162162162162</v>
      </c>
      <c r="H4" s="2918">
        <f>H3*D3/D4</f>
        <v>317.74809160305341</v>
      </c>
      <c r="I4" s="2919">
        <f>C4*60/H4</f>
        <v>0.75531531531531537</v>
      </c>
      <c r="J4" s="2919">
        <f>I4*60</f>
        <v>45.318918918918925</v>
      </c>
      <c r="K4" s="728" t="s">
        <v>163</v>
      </c>
      <c r="L4" s="727">
        <f>P4*2.1</f>
        <v>0</v>
      </c>
      <c r="M4" s="727"/>
      <c r="N4" s="727"/>
      <c r="O4" s="727"/>
      <c r="P4" s="48"/>
    </row>
    <row r="5" spans="1:19" hidden="1" outlineLevel="1" x14ac:dyDescent="0.15">
      <c r="A5" s="665" t="s">
        <v>207</v>
      </c>
      <c r="B5" s="732" t="s">
        <v>162</v>
      </c>
      <c r="C5" s="733" t="s">
        <v>164</v>
      </c>
      <c r="D5" s="654"/>
      <c r="E5" s="655"/>
      <c r="F5" s="666"/>
      <c r="G5" s="667"/>
      <c r="H5" s="2596"/>
      <c r="I5" s="668"/>
      <c r="J5" s="677" t="s">
        <v>165</v>
      </c>
      <c r="K5" s="675" t="s">
        <v>32</v>
      </c>
    </row>
    <row r="6" spans="1:19" hidden="1" outlineLevel="1" x14ac:dyDescent="0.15">
      <c r="A6" s="734" t="str">
        <f>CONCATENATE(B6," ",C6," core (",H6," chip) ",E6," MHz")</f>
        <v>Xeon L5640 6 core (1 chip) 2267 MHz</v>
      </c>
      <c r="B6" s="730" t="s">
        <v>139</v>
      </c>
      <c r="C6" s="731">
        <v>6</v>
      </c>
      <c r="D6" s="2920">
        <f>VLOOKUP(B6,ProcessorArray,3,FALSE)</f>
        <v>6</v>
      </c>
      <c r="E6" s="2921">
        <f>VLOOKUP(B6,ProcessorArray,4,FALSE)</f>
        <v>2267</v>
      </c>
      <c r="F6" s="2922">
        <f>VLOOKUP(B6,ProcessorArray,5,FALSE)*C6/K6</f>
        <v>130.5</v>
      </c>
      <c r="G6" s="735">
        <f>F6/C6</f>
        <v>21.75</v>
      </c>
      <c r="H6" s="2597">
        <f>C6/D6</f>
        <v>1</v>
      </c>
      <c r="I6" s="736" t="str">
        <f>VLOOKUP(B6,ProcessorArray,8,FALSE)</f>
        <v>Intel</v>
      </c>
      <c r="J6" s="729">
        <f>IF(VLOOKUP(B6,ProcessorArray,9,FALSE)="","",VLOOKUP(B6,ProcessorArray,9,FALSE))</f>
        <v>60</v>
      </c>
      <c r="K6" s="729">
        <f>VLOOKUP(B6,ProcessorArray,2,FALSE)</f>
        <v>12</v>
      </c>
    </row>
    <row r="7" spans="1:19" hidden="1" outlineLevel="1" x14ac:dyDescent="0.15">
      <c r="A7" s="49">
        <f>COLUMN()</f>
        <v>1</v>
      </c>
      <c r="B7" s="49">
        <f>COLUMN()</f>
        <v>2</v>
      </c>
      <c r="C7" s="49">
        <f>COLUMN()</f>
        <v>3</v>
      </c>
      <c r="D7" s="49">
        <f>COLUMN()</f>
        <v>4</v>
      </c>
      <c r="E7" s="49">
        <f>COLUMN()</f>
        <v>5</v>
      </c>
      <c r="F7" s="49">
        <f>COLUMN()</f>
        <v>6</v>
      </c>
      <c r="G7" s="49">
        <f>COLUMN()</f>
        <v>7</v>
      </c>
      <c r="H7" s="2598">
        <f>COLUMN()</f>
        <v>8</v>
      </c>
      <c r="I7" s="49">
        <f>COLUMN()</f>
        <v>9</v>
      </c>
      <c r="J7" s="49">
        <f>COLUMN()</f>
        <v>10</v>
      </c>
    </row>
    <row r="8" spans="1:19" collapsed="1" x14ac:dyDescent="0.15">
      <c r="A8" s="1923" t="s">
        <v>338</v>
      </c>
      <c r="B8" s="1922" t="s">
        <v>161</v>
      </c>
      <c r="C8" s="637" t="s">
        <v>275</v>
      </c>
      <c r="D8" s="637" t="s">
        <v>270</v>
      </c>
      <c r="E8" s="638"/>
      <c r="F8" s="880" t="s">
        <v>271</v>
      </c>
      <c r="G8" s="642"/>
      <c r="H8" s="2599" t="s">
        <v>273</v>
      </c>
      <c r="I8" s="643" t="s">
        <v>337</v>
      </c>
      <c r="J8" s="2640" t="s">
        <v>339</v>
      </c>
      <c r="K8" s="949" t="s">
        <v>1696</v>
      </c>
    </row>
    <row r="9" spans="1:19" ht="16" x14ac:dyDescent="0.2">
      <c r="A9" s="664" t="s">
        <v>431</v>
      </c>
      <c r="B9" s="658" t="s">
        <v>337</v>
      </c>
      <c r="C9" s="652" t="s">
        <v>313</v>
      </c>
      <c r="D9" s="652" t="s">
        <v>339</v>
      </c>
      <c r="E9" s="653" t="s">
        <v>433</v>
      </c>
      <c r="F9" s="881" t="s">
        <v>272</v>
      </c>
      <c r="G9" s="881" t="s">
        <v>274</v>
      </c>
      <c r="H9" s="2600" t="s">
        <v>340</v>
      </c>
      <c r="I9" s="669" t="s">
        <v>314</v>
      </c>
      <c r="J9" s="2641" t="s">
        <v>173</v>
      </c>
      <c r="K9" s="31" t="s">
        <v>870</v>
      </c>
    </row>
    <row r="10" spans="1:19" x14ac:dyDescent="0.15">
      <c r="A10" s="665" t="s">
        <v>460</v>
      </c>
      <c r="B10" s="626" t="str">
        <f>A10</f>
        <v xml:space="preserve"> ==== Intel Desktop Candidates ======</v>
      </c>
      <c r="C10" s="2020" t="s">
        <v>1476</v>
      </c>
      <c r="D10" s="2021"/>
      <c r="E10" s="655"/>
      <c r="F10" s="2014"/>
      <c r="G10" s="2016"/>
      <c r="H10" s="2601"/>
      <c r="I10" s="668"/>
      <c r="J10" s="2642"/>
    </row>
    <row r="11" spans="1:19" s="693" customFormat="1" hidden="1" outlineLevel="1" x14ac:dyDescent="0.15">
      <c r="A11" s="628" t="s">
        <v>1331</v>
      </c>
      <c r="B11" s="689" t="str">
        <f>A11</f>
        <v xml:space="preserve"> ==== 2016 Desktop Platforms ====</v>
      </c>
      <c r="C11" s="690"/>
      <c r="D11" s="2022"/>
      <c r="E11" s="2023"/>
      <c r="F11" s="2010"/>
      <c r="G11" s="2017"/>
      <c r="H11" s="2602"/>
      <c r="I11" s="691"/>
      <c r="J11" s="692" t="s">
        <v>165</v>
      </c>
    </row>
    <row r="12" spans="1:19" hidden="1" outlineLevel="2" x14ac:dyDescent="0.15">
      <c r="A12" s="630" t="str">
        <f>CONCATENATE(B12," ",C12," core (",H12," chip) ",E12," MHz")&amp;IF(ISBLANK(F12),"**","")</f>
        <v>Intel Core i7-6700K 4 core (1 chip) 4000 MHz</v>
      </c>
      <c r="B12" s="661" t="s">
        <v>1391</v>
      </c>
      <c r="C12" s="2024">
        <v>4</v>
      </c>
      <c r="D12" s="52">
        <v>4</v>
      </c>
      <c r="E12" s="639">
        <v>4000</v>
      </c>
      <c r="F12" s="2192">
        <v>262</v>
      </c>
      <c r="G12" s="2193">
        <f>F12/C12</f>
        <v>65.5</v>
      </c>
      <c r="H12" s="2603">
        <f>C12/D12</f>
        <v>1</v>
      </c>
      <c r="I12" s="646" t="s">
        <v>335</v>
      </c>
      <c r="J12" s="2048"/>
      <c r="K12" s="2647">
        <v>42401</v>
      </c>
      <c r="L12" s="1149"/>
      <c r="M12" s="1149"/>
      <c r="N12" s="1149"/>
      <c r="O12" s="1149"/>
      <c r="P12" s="2196"/>
      <c r="Q12" s="2196"/>
      <c r="R12" s="2196"/>
      <c r="S12" s="1149"/>
    </row>
    <row r="13" spans="1:19" hidden="1" outlineLevel="2" x14ac:dyDescent="0.15">
      <c r="A13" s="630" t="str">
        <f>CONCATENATE(B13," ",C13," core (",H13," chip) ",E13," MHz")&amp;IF(ISBLANK(F13),"**","")</f>
        <v>Intel Core i7-6700 4 core (1 chip) 3400 MHz</v>
      </c>
      <c r="B13" s="661" t="s">
        <v>1390</v>
      </c>
      <c r="C13" s="2024">
        <v>4</v>
      </c>
      <c r="D13" s="52">
        <v>4</v>
      </c>
      <c r="E13" s="639">
        <v>3400</v>
      </c>
      <c r="F13" s="2192">
        <v>247</v>
      </c>
      <c r="G13" s="2193">
        <f>F13/C13</f>
        <v>61.75</v>
      </c>
      <c r="H13" s="2603">
        <f>C13/D13</f>
        <v>1</v>
      </c>
      <c r="I13" s="646" t="s">
        <v>335</v>
      </c>
      <c r="J13" s="2048"/>
      <c r="K13" s="2647">
        <v>42401</v>
      </c>
      <c r="L13" s="1149"/>
      <c r="M13" s="1149"/>
      <c r="N13" s="1149"/>
      <c r="O13" s="1149"/>
      <c r="P13" s="2196"/>
      <c r="Q13" s="2196"/>
      <c r="R13" s="2196"/>
      <c r="S13" s="1149"/>
    </row>
    <row r="14" spans="1:19" hidden="1" outlineLevel="2" x14ac:dyDescent="0.15">
      <c r="A14" s="630" t="str">
        <f>CONCATENATE(B14," ",C14," core (",H14," chip) ",E14," MHz")&amp;IF(ISBLANK(F14),"**","")</f>
        <v>Intel Core i7-5960X 8 core (1 chip) 4400 MHz</v>
      </c>
      <c r="B14" s="661" t="s">
        <v>1392</v>
      </c>
      <c r="C14" s="2024">
        <v>8</v>
      </c>
      <c r="D14" s="52">
        <v>8</v>
      </c>
      <c r="E14" s="639">
        <v>4400</v>
      </c>
      <c r="F14" s="2192">
        <v>529</v>
      </c>
      <c r="G14" s="2193">
        <f>F14/C14</f>
        <v>66.125</v>
      </c>
      <c r="H14" s="2603">
        <f>C14/D14</f>
        <v>1</v>
      </c>
      <c r="I14" s="646" t="s">
        <v>335</v>
      </c>
      <c r="J14" s="2048"/>
      <c r="K14" s="2647">
        <v>42401</v>
      </c>
      <c r="L14" s="1149"/>
      <c r="M14" s="1149"/>
      <c r="N14" s="1149"/>
      <c r="O14" s="1149"/>
      <c r="P14" s="2196"/>
      <c r="Q14" s="2196"/>
      <c r="R14" s="2196"/>
      <c r="S14" s="1149"/>
    </row>
    <row r="15" spans="1:19" hidden="1" outlineLevel="2" x14ac:dyDescent="0.15">
      <c r="A15" s="630" t="str">
        <f>CONCATENATE(B15," ",C15," core (",H15," chip) ",E15," MHz")&amp;IF(ISBLANK(F15),"**","")</f>
        <v>Intel E3-1270v5 4 core (1 chip) 3600 MHz</v>
      </c>
      <c r="B15" s="661" t="s">
        <v>1334</v>
      </c>
      <c r="C15" s="2024">
        <v>4</v>
      </c>
      <c r="D15" s="52">
        <v>4</v>
      </c>
      <c r="E15" s="639">
        <v>3600</v>
      </c>
      <c r="F15" s="2192">
        <v>258</v>
      </c>
      <c r="G15" s="2193">
        <f>F15/C15</f>
        <v>64.5</v>
      </c>
      <c r="H15" s="2603">
        <f>C15/D15</f>
        <v>1</v>
      </c>
      <c r="I15" s="646" t="s">
        <v>335</v>
      </c>
      <c r="J15" s="2048"/>
      <c r="K15" s="2647">
        <v>42401</v>
      </c>
      <c r="L15" s="1149"/>
      <c r="M15" s="1149"/>
      <c r="N15" s="1149"/>
      <c r="O15" s="1149"/>
      <c r="P15" s="2196"/>
      <c r="Q15" s="2196"/>
      <c r="R15" s="2196"/>
      <c r="S15" s="1149"/>
    </row>
    <row r="16" spans="1:19" hidden="1" outlineLevel="2" x14ac:dyDescent="0.15">
      <c r="A16" s="630" t="str">
        <f>CONCATENATE(B16," ",C16," core (",H16," chip) ",E16," MHz")&amp;IF(ISBLANK(F16),"**","")</f>
        <v>Intel E3-1280v5 4 core (1 chip) 3700 MHz</v>
      </c>
      <c r="B16" s="661" t="s">
        <v>1333</v>
      </c>
      <c r="C16" s="2024">
        <v>4</v>
      </c>
      <c r="D16" s="52">
        <v>4</v>
      </c>
      <c r="E16" s="639">
        <v>3700</v>
      </c>
      <c r="F16" s="2192">
        <v>252</v>
      </c>
      <c r="G16" s="2193">
        <f>F16/C16</f>
        <v>63</v>
      </c>
      <c r="H16" s="2603">
        <f>C16/D16</f>
        <v>1</v>
      </c>
      <c r="I16" s="646" t="s">
        <v>335</v>
      </c>
      <c r="J16" s="2048"/>
      <c r="K16" s="2647">
        <v>42353</v>
      </c>
      <c r="L16" s="1149"/>
      <c r="M16" s="1149"/>
      <c r="N16" s="1149"/>
      <c r="O16" s="1149"/>
      <c r="P16" s="2196"/>
      <c r="Q16" s="2196"/>
      <c r="R16" s="2196"/>
      <c r="S16" s="1149"/>
    </row>
    <row r="17" spans="1:19" s="693" customFormat="1" hidden="1" outlineLevel="1" collapsed="1" x14ac:dyDescent="0.15">
      <c r="A17" s="628" t="s">
        <v>1221</v>
      </c>
      <c r="B17" s="689" t="str">
        <f>A17</f>
        <v xml:space="preserve"> ==== 2015 Desktop Platforms ====</v>
      </c>
      <c r="C17" s="690"/>
      <c r="D17" s="2022"/>
      <c r="E17" s="2023"/>
      <c r="F17" s="2010"/>
      <c r="G17" s="2017"/>
      <c r="H17" s="2602"/>
      <c r="I17" s="691"/>
      <c r="J17" s="692" t="s">
        <v>165</v>
      </c>
      <c r="K17" s="2648"/>
    </row>
    <row r="18" spans="1:19" hidden="1" outlineLevel="2" x14ac:dyDescent="0.15">
      <c r="A18" s="630" t="str">
        <f>CONCATENATE(B18," ",C18," core (",H18," chip) ",E18," MHz")&amp;IF(ISBLANK(F18),"**","")</f>
        <v>Intel i7-5960X 8 core (1 chip) 4400 MHz</v>
      </c>
      <c r="B18" s="661" t="s">
        <v>1222</v>
      </c>
      <c r="C18" s="2024">
        <v>8</v>
      </c>
      <c r="D18" s="52">
        <v>8</v>
      </c>
      <c r="E18" s="639">
        <v>4400</v>
      </c>
      <c r="F18" s="2192">
        <v>529</v>
      </c>
      <c r="G18" s="2193">
        <f>F18/C18</f>
        <v>66.125</v>
      </c>
      <c r="H18" s="2603">
        <f>C18/D18</f>
        <v>1</v>
      </c>
      <c r="I18" s="646" t="s">
        <v>335</v>
      </c>
      <c r="J18" s="2048"/>
      <c r="K18" s="2647">
        <v>42156</v>
      </c>
      <c r="L18" s="1149"/>
      <c r="M18" s="1149"/>
      <c r="N18" s="1149"/>
      <c r="O18" s="1149"/>
      <c r="P18" s="2196"/>
      <c r="Q18" s="2196"/>
      <c r="R18" s="2196"/>
      <c r="S18" s="1149"/>
    </row>
    <row r="19" spans="1:19" s="693" customFormat="1" hidden="1" outlineLevel="1" collapsed="1" x14ac:dyDescent="0.15">
      <c r="A19" s="628" t="s">
        <v>913</v>
      </c>
      <c r="B19" s="689" t="str">
        <f>A19</f>
        <v xml:space="preserve"> ==== 2014 Desktop Platforms ====</v>
      </c>
      <c r="C19" s="690"/>
      <c r="D19" s="2022"/>
      <c r="E19" s="2023"/>
      <c r="F19" s="2010"/>
      <c r="G19" s="2017"/>
      <c r="H19" s="2602"/>
      <c r="I19" s="691"/>
      <c r="J19" s="692" t="s">
        <v>165</v>
      </c>
      <c r="K19" s="2648"/>
    </row>
    <row r="20" spans="1:19" hidden="1" outlineLevel="2" x14ac:dyDescent="0.15">
      <c r="A20" s="630" t="str">
        <f>CONCATENATE(B20," ",C20," core (",H20," chip) ",E20," MHz")&amp;IF(ISBLANK(F20),"**","")</f>
        <v>Intel Core i7-4790 4 core (1 chip) 4000 MHz</v>
      </c>
      <c r="B20" s="660" t="s">
        <v>1180</v>
      </c>
      <c r="C20" s="2024">
        <v>4</v>
      </c>
      <c r="D20" s="52">
        <v>4</v>
      </c>
      <c r="E20" s="639">
        <v>4000</v>
      </c>
      <c r="F20" s="2011">
        <v>215</v>
      </c>
      <c r="G20" s="2015">
        <f>F20/C20</f>
        <v>53.75</v>
      </c>
      <c r="H20" s="2604">
        <f>C20/D20</f>
        <v>1</v>
      </c>
      <c r="I20" s="646" t="s">
        <v>335</v>
      </c>
      <c r="J20" s="2048"/>
      <c r="K20" s="2649">
        <v>4400</v>
      </c>
    </row>
    <row r="21" spans="1:19" hidden="1" outlineLevel="2" x14ac:dyDescent="0.15">
      <c r="A21" s="630" t="str">
        <f>CONCATENATE(B21," ",C21," core (",H21," chip) ",E21," MHz")&amp;IF(ISBLANK(F21),"**","")</f>
        <v>Intel Core i7-4770K 4 core (1 chip) 3500 MHz</v>
      </c>
      <c r="B21" s="660" t="s">
        <v>1181</v>
      </c>
      <c r="C21" s="2024">
        <v>4</v>
      </c>
      <c r="D21" s="52">
        <v>4</v>
      </c>
      <c r="E21" s="639">
        <v>3500</v>
      </c>
      <c r="F21" s="2011">
        <v>204</v>
      </c>
      <c r="G21" s="2015">
        <f>F21/C21</f>
        <v>51</v>
      </c>
      <c r="H21" s="2604">
        <f>C21/D21</f>
        <v>1</v>
      </c>
      <c r="I21" s="646" t="s">
        <v>335</v>
      </c>
      <c r="J21" s="2048"/>
      <c r="K21" s="2649">
        <v>3900</v>
      </c>
    </row>
    <row r="22" spans="1:19" s="693" customFormat="1" hidden="1" outlineLevel="1" collapsed="1" x14ac:dyDescent="0.15">
      <c r="A22" s="628" t="s">
        <v>913</v>
      </c>
      <c r="B22" s="689" t="str">
        <f>A22</f>
        <v xml:space="preserve"> ==== 2014 Desktop Platforms ====</v>
      </c>
      <c r="C22" s="690"/>
      <c r="D22" s="2022"/>
      <c r="E22" s="2023"/>
      <c r="F22" s="2010"/>
      <c r="G22" s="2017"/>
      <c r="H22" s="2602"/>
      <c r="I22" s="691"/>
      <c r="J22" s="692" t="s">
        <v>165</v>
      </c>
      <c r="K22" s="2648"/>
    </row>
    <row r="23" spans="1:19" hidden="1" outlineLevel="2" x14ac:dyDescent="0.15">
      <c r="A23" s="630" t="str">
        <f>CONCATENATE(B23," ",C23," core (",H23," chip) ",E23," MHz")&amp;IF(ISBLANK(F23),"**","")</f>
        <v>Intel Core i3-4330 2 core (1 chip) 3500 MHz</v>
      </c>
      <c r="B23" s="660" t="s">
        <v>846</v>
      </c>
      <c r="C23" s="2024">
        <v>2</v>
      </c>
      <c r="D23" s="52">
        <v>2</v>
      </c>
      <c r="E23" s="639">
        <v>3500</v>
      </c>
      <c r="F23" s="2011">
        <v>111</v>
      </c>
      <c r="G23" s="2015">
        <f>F23/C23</f>
        <v>55.5</v>
      </c>
      <c r="H23" s="2604">
        <f>C23/D23</f>
        <v>1</v>
      </c>
      <c r="I23" s="646" t="s">
        <v>335</v>
      </c>
      <c r="J23" s="2048"/>
      <c r="K23" s="2650"/>
    </row>
    <row r="24" spans="1:19" hidden="1" outlineLevel="2" x14ac:dyDescent="0.15">
      <c r="A24" s="630" t="str">
        <f>CONCATENATE(B24," ",C24," core (",H24," chip) ",E24," MHz")&amp;IF(ISBLANK(F24),"**","")</f>
        <v>Xeon E3-1270v3 4 core (1 chip) 3500 MHz</v>
      </c>
      <c r="B24" s="660" t="s">
        <v>921</v>
      </c>
      <c r="C24" s="2024">
        <v>4</v>
      </c>
      <c r="D24" s="52">
        <v>4</v>
      </c>
      <c r="E24" s="639">
        <v>3500</v>
      </c>
      <c r="F24" s="2011">
        <v>212</v>
      </c>
      <c r="G24" s="2015">
        <f>F24/C24</f>
        <v>53</v>
      </c>
      <c r="H24" s="2604">
        <f>C24/D24</f>
        <v>1</v>
      </c>
      <c r="I24" s="646" t="s">
        <v>335</v>
      </c>
      <c r="J24" s="2048"/>
      <c r="K24" s="2650"/>
    </row>
    <row r="25" spans="1:19" hidden="1" outlineLevel="2" x14ac:dyDescent="0.15">
      <c r="A25" s="630" t="str">
        <f>CONCATENATE(B25," ",C25," core (",H25," chip) ",E25," MHz")&amp;IF(ISBLANK(F25),"**","")</f>
        <v>Intel Core i7-4770 4 core (1 chip) 3400 MHz</v>
      </c>
      <c r="B25" s="660" t="s">
        <v>912</v>
      </c>
      <c r="C25" s="2024">
        <v>4</v>
      </c>
      <c r="D25" s="52">
        <v>4</v>
      </c>
      <c r="E25" s="639">
        <v>3400</v>
      </c>
      <c r="F25" s="2011">
        <v>209</v>
      </c>
      <c r="G25" s="2015">
        <f>F25/C25</f>
        <v>52.25</v>
      </c>
      <c r="H25" s="2604">
        <f>C25/D25</f>
        <v>1</v>
      </c>
      <c r="I25" s="646" t="s">
        <v>335</v>
      </c>
      <c r="J25" s="2048"/>
      <c r="K25" s="2650"/>
    </row>
    <row r="26" spans="1:19" s="693" customFormat="1" hidden="1" outlineLevel="1" collapsed="1" x14ac:dyDescent="0.15">
      <c r="A26" s="628" t="s">
        <v>785</v>
      </c>
      <c r="B26" s="689" t="str">
        <f>A26</f>
        <v xml:space="preserve"> ==== 2013 Desktop Platforms ====</v>
      </c>
      <c r="C26" s="690"/>
      <c r="D26" s="2022"/>
      <c r="E26" s="2023"/>
      <c r="F26" s="2010"/>
      <c r="G26" s="2017"/>
      <c r="H26" s="2602"/>
      <c r="I26" s="691"/>
      <c r="J26" s="692" t="s">
        <v>165</v>
      </c>
      <c r="K26" s="2648"/>
    </row>
    <row r="27" spans="1:19" hidden="1" outlineLevel="2" x14ac:dyDescent="0.15">
      <c r="A27" s="630" t="str">
        <f>CONCATENATE(B27," ",C27," core (",H27," chip) ",E27," MHz")&amp;IF(ISBLANK(F27),"**","")</f>
        <v>Intel Core i3-4330 2 core (1 chip) 3500 MHz</v>
      </c>
      <c r="B27" s="660" t="s">
        <v>846</v>
      </c>
      <c r="C27" s="2024">
        <v>2</v>
      </c>
      <c r="D27" s="52">
        <v>2</v>
      </c>
      <c r="E27" s="639">
        <v>3500</v>
      </c>
      <c r="F27" s="2011">
        <v>111</v>
      </c>
      <c r="G27" s="2015">
        <f>F27/C27</f>
        <v>55.5</v>
      </c>
      <c r="H27" s="2604">
        <f>C27/D27</f>
        <v>1</v>
      </c>
      <c r="I27" s="646" t="s">
        <v>335</v>
      </c>
      <c r="J27" s="2048"/>
      <c r="K27" s="2650"/>
    </row>
    <row r="28" spans="1:19" hidden="1" outlineLevel="2" x14ac:dyDescent="0.15">
      <c r="A28" s="630" t="str">
        <f>CONCATENATE(B28," ",C28," core (",H28," chip) ",E28," MHz")&amp;IF(ISBLANK(F28),"**","")</f>
        <v>Xeon E3-1280 v3 4 core (1 chip) 3600 MHz</v>
      </c>
      <c r="B28" s="660" t="s">
        <v>847</v>
      </c>
      <c r="C28" s="2024">
        <v>4</v>
      </c>
      <c r="D28" s="52">
        <v>4</v>
      </c>
      <c r="E28" s="639">
        <v>3600</v>
      </c>
      <c r="F28" s="2011">
        <v>212</v>
      </c>
      <c r="G28" s="2015">
        <f>F28/C28</f>
        <v>53</v>
      </c>
      <c r="H28" s="2604">
        <f>C28/D28</f>
        <v>1</v>
      </c>
      <c r="I28" s="646" t="s">
        <v>335</v>
      </c>
      <c r="J28" s="2048"/>
      <c r="K28" s="2650"/>
    </row>
    <row r="29" spans="1:19" hidden="1" outlineLevel="2" x14ac:dyDescent="0.15">
      <c r="A29" s="630" t="str">
        <f>CONCATENATE(B29," ",C29," core (",H29," chip) ",E29," MHz")&amp;IF(ISBLANK(F29),"**","")</f>
        <v>Xeon E5-1620 4 core (1 chip) 3600 MHz</v>
      </c>
      <c r="B29" s="660" t="s">
        <v>689</v>
      </c>
      <c r="C29" s="2024">
        <v>4</v>
      </c>
      <c r="D29" s="52">
        <v>4</v>
      </c>
      <c r="E29" s="639">
        <v>3600</v>
      </c>
      <c r="F29" s="2011">
        <v>198</v>
      </c>
      <c r="G29" s="2015">
        <f>F29/C29</f>
        <v>49.5</v>
      </c>
      <c r="H29" s="2604">
        <f>C29/D29</f>
        <v>1</v>
      </c>
      <c r="I29" s="646" t="s">
        <v>335</v>
      </c>
      <c r="J29" s="2048">
        <v>130</v>
      </c>
      <c r="K29" s="2650"/>
    </row>
    <row r="30" spans="1:19" s="693" customFormat="1" hidden="1" outlineLevel="1" collapsed="1" x14ac:dyDescent="0.15">
      <c r="A30" s="628" t="s">
        <v>610</v>
      </c>
      <c r="B30" s="689" t="str">
        <f>A30</f>
        <v xml:space="preserve"> ==== 2012 Desktop Platforms ====</v>
      </c>
      <c r="C30" s="690"/>
      <c r="D30" s="2022"/>
      <c r="E30" s="2023"/>
      <c r="F30" s="2010"/>
      <c r="G30" s="2017"/>
      <c r="H30" s="2602"/>
      <c r="I30" s="691"/>
      <c r="J30" s="692" t="s">
        <v>165</v>
      </c>
      <c r="K30" s="2648"/>
    </row>
    <row r="31" spans="1:19" s="693" customFormat="1" hidden="1" outlineLevel="2" x14ac:dyDescent="0.15">
      <c r="A31" s="630" t="str">
        <f>CONCATENATE(B31," ",C31," core (",H31," chip) ",E31," MHz")</f>
        <v>Intel Xeon E5-2637 4 core (2 chip) 3000 MHz</v>
      </c>
      <c r="B31" s="661" t="s">
        <v>611</v>
      </c>
      <c r="C31" s="2025">
        <v>4</v>
      </c>
      <c r="D31" s="50">
        <v>2</v>
      </c>
      <c r="E31" s="639">
        <v>3000</v>
      </c>
      <c r="F31" s="2012">
        <v>185</v>
      </c>
      <c r="G31" s="2015">
        <f>IF(F31=0,"",F31/C31)</f>
        <v>46.25</v>
      </c>
      <c r="H31" s="2604">
        <f>IF(C31=0,"",C31/D31)</f>
        <v>2</v>
      </c>
      <c r="I31" s="647" t="s">
        <v>335</v>
      </c>
      <c r="J31" s="694">
        <v>95</v>
      </c>
      <c r="K31" s="2648"/>
    </row>
    <row r="32" spans="1:19" s="693" customFormat="1" hidden="1" outlineLevel="1" collapsed="1" x14ac:dyDescent="0.15">
      <c r="A32" s="628" t="s">
        <v>471</v>
      </c>
      <c r="B32" s="689" t="str">
        <f>A32</f>
        <v xml:space="preserve"> ==== 2011 Desktop Platforms ====</v>
      </c>
      <c r="C32" s="690"/>
      <c r="D32" s="2022"/>
      <c r="E32" s="2023"/>
      <c r="F32" s="2010"/>
      <c r="G32" s="2017"/>
      <c r="H32" s="2602"/>
      <c r="I32" s="691"/>
      <c r="J32" s="692" t="s">
        <v>165</v>
      </c>
      <c r="K32" s="2648"/>
    </row>
    <row r="33" spans="1:11" s="693" customFormat="1" hidden="1" outlineLevel="2" x14ac:dyDescent="0.15">
      <c r="A33" s="630" t="str">
        <f>CONCATENATE(B33," ",C33," core (",H33," chip) ",E33," MHz")</f>
        <v>Intel Core i7-2860QM 4 core (1 chip) 2500 MHz</v>
      </c>
      <c r="B33" s="661" t="s">
        <v>869</v>
      </c>
      <c r="C33" s="2025">
        <v>4</v>
      </c>
      <c r="D33" s="50">
        <v>4</v>
      </c>
      <c r="E33" s="639">
        <v>2500</v>
      </c>
      <c r="F33" s="2012">
        <v>122.2</v>
      </c>
      <c r="G33" s="2015">
        <f>IF(F33=0,"",F33/C33)</f>
        <v>30.55</v>
      </c>
      <c r="H33" s="2604">
        <f>IF(C33=0,"",C33/D33)</f>
        <v>1</v>
      </c>
      <c r="I33" s="647" t="s">
        <v>335</v>
      </c>
      <c r="J33" s="694">
        <v>45</v>
      </c>
      <c r="K33" s="2649">
        <v>3600</v>
      </c>
    </row>
    <row r="34" spans="1:11" s="693" customFormat="1" hidden="1" outlineLevel="2" x14ac:dyDescent="0.15">
      <c r="A34" s="630" t="str">
        <f>CONCATENATE(B34," ",C34," core (",H34," chip) ",E34," MHz")</f>
        <v>Intel Core i7-2600  4 core (1 chip) 3800 MHz</v>
      </c>
      <c r="B34" s="661" t="s">
        <v>472</v>
      </c>
      <c r="C34" s="2025">
        <v>4</v>
      </c>
      <c r="D34" s="50">
        <v>4</v>
      </c>
      <c r="E34" s="639">
        <v>3800</v>
      </c>
      <c r="F34" s="2012">
        <v>148</v>
      </c>
      <c r="G34" s="2015">
        <f>IF(F34=0,"",F34/C34)</f>
        <v>37</v>
      </c>
      <c r="H34" s="2604">
        <f>IF(C34=0,"",C34/D34)</f>
        <v>1</v>
      </c>
      <c r="I34" s="647" t="s">
        <v>335</v>
      </c>
      <c r="J34" s="694">
        <v>95</v>
      </c>
      <c r="K34" s="2648"/>
    </row>
    <row r="35" spans="1:11" s="693" customFormat="1" hidden="1" outlineLevel="2" x14ac:dyDescent="0.15">
      <c r="A35" s="630" t="str">
        <f>CONCATENATE(B35," ",C35," core (",H35," chip) ",E35," MHz")</f>
        <v>Intel Core i5-2500  4 core (1 chip) 3300 MHz</v>
      </c>
      <c r="B35" s="661" t="s">
        <v>473</v>
      </c>
      <c r="C35" s="2025">
        <v>4</v>
      </c>
      <c r="D35" s="50">
        <v>4</v>
      </c>
      <c r="E35" s="639">
        <v>3300</v>
      </c>
      <c r="F35" s="2012">
        <v>121</v>
      </c>
      <c r="G35" s="2015">
        <f>IF(F35=0,"",F35/C35)</f>
        <v>30.25</v>
      </c>
      <c r="H35" s="2604">
        <f>IF(C35=0,"",C35/D35)</f>
        <v>1</v>
      </c>
      <c r="I35" s="647" t="s">
        <v>335</v>
      </c>
      <c r="J35" s="694">
        <v>95</v>
      </c>
      <c r="K35" s="2648"/>
    </row>
    <row r="36" spans="1:11" s="693" customFormat="1" hidden="1" outlineLevel="2" x14ac:dyDescent="0.15">
      <c r="A36" s="630" t="str">
        <f>CONCATENATE(B36," ",C36," core (",H36," chip) ",E36," MHz")</f>
        <v>Intel Core i5-2400  4 core (1 chip) 3100 MHz</v>
      </c>
      <c r="B36" s="661" t="s">
        <v>474</v>
      </c>
      <c r="C36" s="2025">
        <v>4</v>
      </c>
      <c r="D36" s="50">
        <v>4</v>
      </c>
      <c r="E36" s="639">
        <v>3100</v>
      </c>
      <c r="F36" s="2012">
        <v>116</v>
      </c>
      <c r="G36" s="2015">
        <f>IF(F36=0,"",F36/C36)</f>
        <v>29</v>
      </c>
      <c r="H36" s="2604">
        <f>IF(C36=0,"",C36/D36)</f>
        <v>1</v>
      </c>
      <c r="I36" s="647" t="s">
        <v>335</v>
      </c>
      <c r="J36" s="694">
        <v>95</v>
      </c>
      <c r="K36" s="2648"/>
    </row>
    <row r="37" spans="1:11" s="693" customFormat="1" hidden="1" outlineLevel="2" x14ac:dyDescent="0.15">
      <c r="A37" s="630" t="str">
        <f>CONCATENATE(B37," ",C37," core (",H37," chip) ",E37," MHz")</f>
        <v>Intel Core i3-2120 2 core (1 chip) 3100 MHz</v>
      </c>
      <c r="B37" s="661" t="s">
        <v>475</v>
      </c>
      <c r="C37" s="2025">
        <v>2</v>
      </c>
      <c r="D37" s="50">
        <v>2</v>
      </c>
      <c r="E37" s="639">
        <v>3100</v>
      </c>
      <c r="F37" s="2012">
        <v>74.099999999999994</v>
      </c>
      <c r="G37" s="2015">
        <f>IF(F37=0,"",F37/C37)</f>
        <v>37.049999999999997</v>
      </c>
      <c r="H37" s="2604">
        <f>IF(C37=0,"",C37/D37)</f>
        <v>1</v>
      </c>
      <c r="I37" s="647" t="s">
        <v>335</v>
      </c>
      <c r="J37" s="694">
        <v>65</v>
      </c>
      <c r="K37" s="2648"/>
    </row>
    <row r="38" spans="1:11" s="693" customFormat="1" hidden="1" outlineLevel="1" collapsed="1" x14ac:dyDescent="0.15">
      <c r="A38" s="628" t="s">
        <v>172</v>
      </c>
      <c r="B38" s="689" t="str">
        <f>A38</f>
        <v xml:space="preserve"> ==== 2010 Desktop Platforms ====</v>
      </c>
      <c r="C38" s="690"/>
      <c r="D38" s="2022"/>
      <c r="E38" s="2023"/>
      <c r="F38" s="2010"/>
      <c r="G38" s="2017"/>
      <c r="H38" s="2602"/>
      <c r="I38" s="691"/>
      <c r="J38" s="692" t="s">
        <v>165</v>
      </c>
      <c r="K38" s="2648"/>
    </row>
    <row r="39" spans="1:11" s="693" customFormat="1" hidden="1" outlineLevel="2" x14ac:dyDescent="0.15">
      <c r="A39" s="630" t="str">
        <f t="shared" ref="A39:A46" si="0">CONCATENATE(B39," ",C39," core (",H39," chip) ",E39," MHz")</f>
        <v>Intel Core i5-680  2 core (1 chip) 3333 MHz</v>
      </c>
      <c r="B39" s="661" t="s">
        <v>196</v>
      </c>
      <c r="C39" s="2025">
        <v>2</v>
      </c>
      <c r="D39" s="50">
        <v>2</v>
      </c>
      <c r="E39" s="639">
        <v>3333</v>
      </c>
      <c r="F39" s="2012">
        <v>69.400000000000006</v>
      </c>
      <c r="G39" s="2015">
        <f>IF(F39=0,"",F39/C39)</f>
        <v>34.700000000000003</v>
      </c>
      <c r="H39" s="2604">
        <f>IF(C39=0,"",C39/D39)</f>
        <v>1</v>
      </c>
      <c r="I39" s="647" t="s">
        <v>335</v>
      </c>
      <c r="J39" s="694">
        <v>130</v>
      </c>
      <c r="K39" s="2648"/>
    </row>
    <row r="40" spans="1:11" s="693" customFormat="1" hidden="1" outlineLevel="2" x14ac:dyDescent="0.15">
      <c r="A40" s="630" t="str">
        <f t="shared" si="0"/>
        <v>Intel Xeon X5667 8 core (2 chip) 3067 MHz</v>
      </c>
      <c r="B40" s="660" t="s">
        <v>197</v>
      </c>
      <c r="C40" s="2024">
        <v>8</v>
      </c>
      <c r="D40" s="52">
        <v>4</v>
      </c>
      <c r="E40" s="639">
        <v>3067</v>
      </c>
      <c r="F40" s="2011">
        <v>249</v>
      </c>
      <c r="G40" s="2015">
        <f>F40/C40</f>
        <v>31.125</v>
      </c>
      <c r="H40" s="2604">
        <f>C40/D40</f>
        <v>2</v>
      </c>
      <c r="I40" s="646" t="s">
        <v>335</v>
      </c>
      <c r="J40" s="694">
        <v>130</v>
      </c>
      <c r="K40" s="2648"/>
    </row>
    <row r="41" spans="1:11" s="693" customFormat="1" hidden="1" outlineLevel="2" x14ac:dyDescent="0.15">
      <c r="A41" s="630" t="str">
        <f t="shared" si="0"/>
        <v>Intel Xeon X5677 Tboost 8 core (2 chip) 3467 MHz</v>
      </c>
      <c r="B41" s="660" t="s">
        <v>198</v>
      </c>
      <c r="C41" s="2024">
        <v>8</v>
      </c>
      <c r="D41" s="52">
        <v>4</v>
      </c>
      <c r="E41" s="639">
        <v>3467</v>
      </c>
      <c r="F41" s="2011">
        <v>255</v>
      </c>
      <c r="G41" s="2015">
        <f>F41/C41</f>
        <v>31.875</v>
      </c>
      <c r="H41" s="2604">
        <f>C41/D41</f>
        <v>2</v>
      </c>
      <c r="I41" s="646" t="s">
        <v>335</v>
      </c>
      <c r="J41" s="694">
        <v>130</v>
      </c>
      <c r="K41" s="2648"/>
    </row>
    <row r="42" spans="1:11" s="693" customFormat="1" hidden="1" outlineLevel="2" x14ac:dyDescent="0.15">
      <c r="A42" s="630" t="str">
        <f t="shared" si="0"/>
        <v>Intel Core i7-965 Tboost 4 core (1 chip) 3200 MHz</v>
      </c>
      <c r="B42" s="661" t="s">
        <v>199</v>
      </c>
      <c r="C42" s="2025">
        <v>4</v>
      </c>
      <c r="D42" s="50">
        <v>4</v>
      </c>
      <c r="E42" s="639">
        <v>3200</v>
      </c>
      <c r="F42" s="2012">
        <v>126</v>
      </c>
      <c r="G42" s="2015">
        <f t="shared" ref="G42:G56" si="1">IF(F42=0,"",F42/C42)</f>
        <v>31.5</v>
      </c>
      <c r="H42" s="2604">
        <f t="shared" ref="H42:H56" si="2">IF(C42=0,"",C42/D42)</f>
        <v>1</v>
      </c>
      <c r="I42" s="647" t="s">
        <v>335</v>
      </c>
      <c r="J42" s="694">
        <v>130</v>
      </c>
      <c r="K42" s="2648"/>
    </row>
    <row r="43" spans="1:11" s="693" customFormat="1" hidden="1" outlineLevel="2" x14ac:dyDescent="0.15">
      <c r="A43" s="630" t="str">
        <f>CONCATENATE(B43," ",C43," core (",H43," chip) ",E43," MHz")</f>
        <v>Intel Core i7-975 Tboost 4 core (1 chip) 3333 MHz</v>
      </c>
      <c r="B43" s="661" t="s">
        <v>200</v>
      </c>
      <c r="C43" s="2025">
        <v>4</v>
      </c>
      <c r="D43" s="50">
        <v>4</v>
      </c>
      <c r="E43" s="639">
        <v>3333</v>
      </c>
      <c r="F43" s="2012">
        <v>121</v>
      </c>
      <c r="G43" s="2015">
        <f t="shared" si="1"/>
        <v>30.25</v>
      </c>
      <c r="H43" s="2604">
        <f t="shared" si="2"/>
        <v>1</v>
      </c>
      <c r="I43" s="647" t="s">
        <v>335</v>
      </c>
      <c r="J43" s="694">
        <v>130</v>
      </c>
      <c r="K43" s="2648"/>
    </row>
    <row r="44" spans="1:11" s="693" customFormat="1" hidden="1" outlineLevel="2" x14ac:dyDescent="0.15">
      <c r="A44" s="630" t="str">
        <f t="shared" si="0"/>
        <v>Intel Core i7-860 Tboost 4 core (1 chip) 2800 MHz</v>
      </c>
      <c r="B44" s="661" t="s">
        <v>248</v>
      </c>
      <c r="C44" s="2025">
        <v>4</v>
      </c>
      <c r="D44" s="50">
        <v>4</v>
      </c>
      <c r="E44" s="639">
        <v>2800</v>
      </c>
      <c r="F44" s="2012">
        <v>121</v>
      </c>
      <c r="G44" s="2015">
        <f t="shared" si="1"/>
        <v>30.25</v>
      </c>
      <c r="H44" s="2604">
        <f t="shared" si="2"/>
        <v>1</v>
      </c>
      <c r="I44" s="647" t="s">
        <v>335</v>
      </c>
      <c r="J44" s="694">
        <v>130</v>
      </c>
      <c r="K44" s="2648"/>
    </row>
    <row r="45" spans="1:11" s="693" customFormat="1" hidden="1" outlineLevel="2" x14ac:dyDescent="0.15">
      <c r="A45" s="630" t="str">
        <f t="shared" si="0"/>
        <v>Intel Core i7-620M Tboost 4 core (1 chip) 2666 MHz</v>
      </c>
      <c r="B45" s="661" t="s">
        <v>205</v>
      </c>
      <c r="C45" s="2025">
        <v>4</v>
      </c>
      <c r="D45" s="50">
        <v>4</v>
      </c>
      <c r="E45" s="639">
        <v>2666</v>
      </c>
      <c r="F45" s="2012">
        <v>103</v>
      </c>
      <c r="G45" s="2015">
        <f t="shared" si="1"/>
        <v>25.75</v>
      </c>
      <c r="H45" s="2604">
        <f t="shared" si="2"/>
        <v>1</v>
      </c>
      <c r="I45" s="647" t="s">
        <v>335</v>
      </c>
      <c r="J45" s="694">
        <v>35</v>
      </c>
      <c r="K45" s="2648"/>
    </row>
    <row r="46" spans="1:11" s="693" customFormat="1" hidden="1" outlineLevel="2" x14ac:dyDescent="0.15">
      <c r="A46" s="630" t="str">
        <f t="shared" si="0"/>
        <v>Intel Core i7-610E  2 core (1 chip) 2533 MHz</v>
      </c>
      <c r="B46" s="661" t="s">
        <v>206</v>
      </c>
      <c r="C46" s="2025">
        <v>2</v>
      </c>
      <c r="D46" s="50">
        <v>2</v>
      </c>
      <c r="E46" s="639">
        <v>2533</v>
      </c>
      <c r="F46" s="2012">
        <v>49.2</v>
      </c>
      <c r="G46" s="2015">
        <f t="shared" si="1"/>
        <v>24.6</v>
      </c>
      <c r="H46" s="2604">
        <f t="shared" si="2"/>
        <v>1</v>
      </c>
      <c r="I46" s="647" t="s">
        <v>335</v>
      </c>
      <c r="J46" s="694">
        <v>35</v>
      </c>
      <c r="K46" s="2648"/>
    </row>
    <row r="47" spans="1:11" s="693" customFormat="1" hidden="1" outlineLevel="2" x14ac:dyDescent="0.15">
      <c r="A47" s="630" t="str">
        <f>CONCATENATE(B47," ",C47," core (",H47," chip) ",E47," MHz")</f>
        <v>Intel Core 2 Extreem X6800 2 core (1 chip) 2933 MHz</v>
      </c>
      <c r="B47" s="661" t="s">
        <v>201</v>
      </c>
      <c r="C47" s="2025">
        <v>2</v>
      </c>
      <c r="D47" s="50">
        <v>2</v>
      </c>
      <c r="E47" s="639">
        <v>2933</v>
      </c>
      <c r="F47" s="2012">
        <v>31.1</v>
      </c>
      <c r="G47" s="2015">
        <f t="shared" si="1"/>
        <v>15.55</v>
      </c>
      <c r="H47" s="2604">
        <f t="shared" si="2"/>
        <v>1</v>
      </c>
      <c r="I47" s="647" t="s">
        <v>335</v>
      </c>
      <c r="J47" s="694">
        <v>65</v>
      </c>
      <c r="K47" s="2648"/>
    </row>
    <row r="48" spans="1:11" s="693" customFormat="1" hidden="1" outlineLevel="2" x14ac:dyDescent="0.15">
      <c r="A48" s="630" t="str">
        <f>CONCATENATE(B48," ",C48," core (",H48," chip) ",E48," MHz")</f>
        <v>Intel Pentium Extreem 965 2 core (1 chip) 3600 MHz</v>
      </c>
      <c r="B48" s="661" t="s">
        <v>202</v>
      </c>
      <c r="C48" s="2025">
        <v>2</v>
      </c>
      <c r="D48" s="50">
        <v>2</v>
      </c>
      <c r="E48" s="639">
        <v>3600</v>
      </c>
      <c r="F48" s="2012">
        <v>21.8</v>
      </c>
      <c r="G48" s="2015">
        <f t="shared" si="1"/>
        <v>10.9</v>
      </c>
      <c r="H48" s="2604">
        <f t="shared" si="2"/>
        <v>1</v>
      </c>
      <c r="I48" s="647" t="s">
        <v>335</v>
      </c>
      <c r="J48" s="694">
        <v>65</v>
      </c>
      <c r="K48" s="2648"/>
    </row>
    <row r="49" spans="1:19" s="693" customFormat="1" hidden="1" outlineLevel="2" x14ac:dyDescent="0.15">
      <c r="A49" s="630" t="str">
        <f>CONCATENATE(B49," ",C49," core (",H49," chip) ",E49," MHz")</f>
        <v>Intel PentiumD  2 core (1 chip) 3200 MHz</v>
      </c>
      <c r="B49" s="661" t="s">
        <v>203</v>
      </c>
      <c r="C49" s="2025">
        <v>2</v>
      </c>
      <c r="D49" s="50">
        <v>2</v>
      </c>
      <c r="E49" s="639">
        <v>3200</v>
      </c>
      <c r="F49" s="2012">
        <v>18.600000000000001</v>
      </c>
      <c r="G49" s="2015">
        <f t="shared" si="1"/>
        <v>9.3000000000000007</v>
      </c>
      <c r="H49" s="2604">
        <f t="shared" si="2"/>
        <v>1</v>
      </c>
      <c r="I49" s="647" t="s">
        <v>335</v>
      </c>
      <c r="J49" s="694">
        <v>44</v>
      </c>
      <c r="K49" s="2648"/>
    </row>
    <row r="50" spans="1:19" hidden="1" outlineLevel="2" x14ac:dyDescent="0.15">
      <c r="A50" s="630" t="str">
        <f t="shared" ref="A50:A56" si="3">CONCATENATE(B50," ",C50," core (",H50," chip) ",E50," MHz")</f>
        <v>Intel Core 2 Quad Q9650 4 core (1 chip) 3000 MHz</v>
      </c>
      <c r="B50" s="661" t="s">
        <v>432</v>
      </c>
      <c r="C50" s="2025">
        <v>4</v>
      </c>
      <c r="D50" s="50">
        <v>4</v>
      </c>
      <c r="E50" s="639">
        <v>3000</v>
      </c>
      <c r="F50" s="2012">
        <v>79.599999999999994</v>
      </c>
      <c r="G50" s="2015">
        <f t="shared" si="1"/>
        <v>19.899999999999999</v>
      </c>
      <c r="H50" s="2604">
        <f t="shared" si="2"/>
        <v>1</v>
      </c>
      <c r="I50" s="647" t="s">
        <v>335</v>
      </c>
      <c r="J50" s="673">
        <v>95</v>
      </c>
      <c r="K50" s="2648"/>
    </row>
    <row r="51" spans="1:19" hidden="1" outlineLevel="2" x14ac:dyDescent="0.15">
      <c r="A51" s="630" t="str">
        <f t="shared" si="3"/>
        <v>Intel Core 2 Duo E8500 2 core (1 chip) 3166 MHz</v>
      </c>
      <c r="B51" s="661" t="s">
        <v>168</v>
      </c>
      <c r="C51" s="2025">
        <v>2</v>
      </c>
      <c r="D51" s="50">
        <v>2</v>
      </c>
      <c r="E51" s="639">
        <v>3166</v>
      </c>
      <c r="F51" s="2012">
        <v>38.299999999999997</v>
      </c>
      <c r="G51" s="2015">
        <f t="shared" si="1"/>
        <v>19.149999999999999</v>
      </c>
      <c r="H51" s="2604">
        <f t="shared" si="2"/>
        <v>1</v>
      </c>
      <c r="I51" s="647" t="s">
        <v>335</v>
      </c>
      <c r="J51" s="673">
        <v>65</v>
      </c>
      <c r="K51" s="2648"/>
    </row>
    <row r="52" spans="1:19" hidden="1" outlineLevel="2" x14ac:dyDescent="0.15">
      <c r="A52" s="630" t="str">
        <f t="shared" si="3"/>
        <v>Intel Core 2 Duo E6850 2 core (1 chip) 3000 MHz</v>
      </c>
      <c r="B52" s="661" t="s">
        <v>167</v>
      </c>
      <c r="C52" s="2025">
        <v>2</v>
      </c>
      <c r="D52" s="50">
        <v>2</v>
      </c>
      <c r="E52" s="639">
        <v>3000</v>
      </c>
      <c r="F52" s="2012">
        <v>33.700000000000003</v>
      </c>
      <c r="G52" s="2015">
        <f t="shared" si="1"/>
        <v>16.850000000000001</v>
      </c>
      <c r="H52" s="2604">
        <f t="shared" si="2"/>
        <v>1</v>
      </c>
      <c r="I52" s="647" t="s">
        <v>335</v>
      </c>
      <c r="J52" s="673">
        <v>65</v>
      </c>
      <c r="K52" s="2648"/>
    </row>
    <row r="53" spans="1:19" hidden="1" outlineLevel="2" x14ac:dyDescent="0.15">
      <c r="A53" s="630" t="str">
        <f t="shared" si="3"/>
        <v>Intel Core 2 Duo T9700 2 core (1 chip) 2800 MHz</v>
      </c>
      <c r="B53" s="661" t="s">
        <v>171</v>
      </c>
      <c r="C53" s="2025">
        <v>2</v>
      </c>
      <c r="D53" s="50">
        <v>2</v>
      </c>
      <c r="E53" s="639">
        <v>2800</v>
      </c>
      <c r="F53" s="2012">
        <v>32.9</v>
      </c>
      <c r="G53" s="2015">
        <f t="shared" si="1"/>
        <v>16.45</v>
      </c>
      <c r="H53" s="2604">
        <f t="shared" si="2"/>
        <v>1</v>
      </c>
      <c r="I53" s="647" t="s">
        <v>335</v>
      </c>
      <c r="J53" s="673">
        <v>44</v>
      </c>
      <c r="K53" s="2648"/>
    </row>
    <row r="54" spans="1:19" hidden="1" outlineLevel="2" x14ac:dyDescent="0.15">
      <c r="A54" s="630" t="str">
        <f t="shared" si="3"/>
        <v>Intel Core 2 Duo T9500 2 core (1 chip) 2600 MHz</v>
      </c>
      <c r="B54" s="661" t="s">
        <v>170</v>
      </c>
      <c r="C54" s="2025">
        <v>2</v>
      </c>
      <c r="D54" s="50">
        <v>2</v>
      </c>
      <c r="E54" s="639">
        <v>2600</v>
      </c>
      <c r="F54" s="2012">
        <v>31.5</v>
      </c>
      <c r="G54" s="2015">
        <f t="shared" si="1"/>
        <v>15.75</v>
      </c>
      <c r="H54" s="2604">
        <f t="shared" si="2"/>
        <v>1</v>
      </c>
      <c r="I54" s="647" t="s">
        <v>335</v>
      </c>
      <c r="J54" s="673">
        <v>44</v>
      </c>
      <c r="K54" s="2648"/>
    </row>
    <row r="55" spans="1:19" hidden="1" outlineLevel="2" x14ac:dyDescent="0.15">
      <c r="A55" s="630" t="str">
        <f t="shared" si="3"/>
        <v>Intel Core 2 Duo T7700 2 core (1 chip) 2400 MHz</v>
      </c>
      <c r="B55" s="661" t="s">
        <v>434</v>
      </c>
      <c r="C55" s="2025">
        <v>2</v>
      </c>
      <c r="D55" s="50">
        <v>2</v>
      </c>
      <c r="E55" s="639">
        <v>2400</v>
      </c>
      <c r="F55" s="2012">
        <v>27</v>
      </c>
      <c r="G55" s="2015">
        <f t="shared" si="1"/>
        <v>13.5</v>
      </c>
      <c r="H55" s="2604">
        <f t="shared" si="2"/>
        <v>1</v>
      </c>
      <c r="I55" s="647" t="s">
        <v>335</v>
      </c>
      <c r="J55" s="673">
        <v>65</v>
      </c>
      <c r="K55" s="2648" t="s">
        <v>117</v>
      </c>
    </row>
    <row r="56" spans="1:19" hidden="1" outlineLevel="2" x14ac:dyDescent="0.15">
      <c r="A56" s="630" t="str">
        <f t="shared" si="3"/>
        <v>Intel Core 2 Duo T7600 2 core (1 chip) 2333 MHz</v>
      </c>
      <c r="B56" s="661" t="s">
        <v>169</v>
      </c>
      <c r="C56" s="2025">
        <v>2</v>
      </c>
      <c r="D56" s="50">
        <v>2</v>
      </c>
      <c r="E56" s="639">
        <v>2333</v>
      </c>
      <c r="F56" s="2012">
        <v>23.9</v>
      </c>
      <c r="G56" s="2015">
        <f t="shared" si="1"/>
        <v>11.95</v>
      </c>
      <c r="H56" s="2604">
        <f t="shared" si="2"/>
        <v>1</v>
      </c>
      <c r="I56" s="647" t="s">
        <v>335</v>
      </c>
      <c r="J56" s="673">
        <v>65</v>
      </c>
      <c r="K56" s="2648"/>
    </row>
    <row r="57" spans="1:19" hidden="1" outlineLevel="1" collapsed="1" x14ac:dyDescent="0.15">
      <c r="A57" s="636"/>
      <c r="B57" s="2040"/>
      <c r="C57" s="2041"/>
      <c r="D57" s="641"/>
      <c r="E57" s="2042"/>
      <c r="F57" s="882"/>
      <c r="G57" s="2019"/>
      <c r="H57" s="2608"/>
      <c r="I57" s="649"/>
      <c r="J57" s="2646"/>
      <c r="K57" s="2651"/>
    </row>
    <row r="58" spans="1:19" collapsed="1" x14ac:dyDescent="0.15">
      <c r="A58" s="2841" t="s">
        <v>238</v>
      </c>
      <c r="B58" s="662" t="s">
        <v>162</v>
      </c>
      <c r="C58" s="2026" t="s">
        <v>164</v>
      </c>
      <c r="D58" s="2027"/>
      <c r="E58" s="640"/>
      <c r="F58" s="2013"/>
      <c r="G58" s="2018"/>
      <c r="H58" s="2605"/>
      <c r="I58" s="644"/>
      <c r="J58" s="2840" t="s">
        <v>165</v>
      </c>
      <c r="K58" s="2648"/>
    </row>
    <row r="59" spans="1:19" hidden="1" outlineLevel="2" x14ac:dyDescent="0.15">
      <c r="A59" s="630" t="str">
        <f>CONCATENATE(B59," ",C59," core (",H59," chip) ",E59," MHz")&amp;IF(ISBLANK(F59),"**","")</f>
        <v>Xeon E3-1270v5 4 core (1 chip) 3600 MHz</v>
      </c>
      <c r="B59" s="661" t="s">
        <v>1383</v>
      </c>
      <c r="C59" s="2024">
        <v>4</v>
      </c>
      <c r="D59" s="52">
        <v>4</v>
      </c>
      <c r="E59" s="639">
        <v>3600</v>
      </c>
      <c r="F59" s="2192">
        <v>258</v>
      </c>
      <c r="G59" s="2193">
        <f>F59/C59</f>
        <v>64.5</v>
      </c>
      <c r="H59" s="2603">
        <f>C59/D59</f>
        <v>1</v>
      </c>
      <c r="I59" s="646" t="s">
        <v>335</v>
      </c>
      <c r="J59" s="2048">
        <v>80</v>
      </c>
      <c r="K59" s="2647" t="s">
        <v>1422</v>
      </c>
      <c r="L59" s="1149"/>
      <c r="M59" s="1149"/>
      <c r="N59" s="1149"/>
      <c r="O59" s="1149"/>
      <c r="P59" s="2196"/>
      <c r="Q59" s="2196"/>
      <c r="R59" s="2196"/>
      <c r="S59" s="1149"/>
    </row>
    <row r="60" spans="1:19" hidden="1" outlineLevel="2" x14ac:dyDescent="0.15">
      <c r="A60" s="630" t="str">
        <f>CONCATENATE(B60," ",C60," core (",H60," chip) ",E60," MHz")&amp;IF(ISBLANK(F60),"**","")</f>
        <v>Xeon E5-2637v4 4 core (1 chip) 3500 MHz</v>
      </c>
      <c r="B60" s="661" t="s">
        <v>1393</v>
      </c>
      <c r="C60" s="2024">
        <v>4</v>
      </c>
      <c r="D60" s="52">
        <v>4</v>
      </c>
      <c r="E60" s="639">
        <v>3500</v>
      </c>
      <c r="F60" s="2192">
        <v>240</v>
      </c>
      <c r="G60" s="2193">
        <f>F60/C60</f>
        <v>60</v>
      </c>
      <c r="H60" s="2603">
        <f>C60/D60</f>
        <v>1</v>
      </c>
      <c r="I60" s="646" t="s">
        <v>335</v>
      </c>
      <c r="J60" s="2048">
        <v>135</v>
      </c>
      <c r="K60" s="2647" t="s">
        <v>1423</v>
      </c>
      <c r="L60" s="1149"/>
      <c r="M60" s="1149"/>
      <c r="N60" s="1149"/>
      <c r="O60" s="1149"/>
      <c r="P60" s="2196"/>
      <c r="Q60" s="2196"/>
      <c r="R60" s="2196"/>
      <c r="S60" s="1149"/>
    </row>
    <row r="61" spans="1:19" hidden="1" outlineLevel="2" x14ac:dyDescent="0.15">
      <c r="A61" s="630" t="str">
        <f>CONCATENATE(B61," ",C61," core (",H61," chip) ",E61," MHz")&amp;IF(ISBLANK(F61),"**","")</f>
        <v>Xeon E5-2637v4 8 core (2 chip) 3500 MHz</v>
      </c>
      <c r="B61" s="661" t="s">
        <v>1393</v>
      </c>
      <c r="C61" s="2024">
        <v>8</v>
      </c>
      <c r="D61" s="52">
        <v>4</v>
      </c>
      <c r="E61" s="639">
        <v>3500</v>
      </c>
      <c r="F61" s="2192">
        <v>479</v>
      </c>
      <c r="G61" s="2193">
        <f>F61/C61</f>
        <v>59.875</v>
      </c>
      <c r="H61" s="2603">
        <f>C61/D61</f>
        <v>2</v>
      </c>
      <c r="I61" s="646" t="s">
        <v>335</v>
      </c>
      <c r="J61" s="2048">
        <v>135</v>
      </c>
      <c r="K61" s="2647" t="s">
        <v>1423</v>
      </c>
      <c r="L61" s="1149"/>
      <c r="M61" s="1149"/>
      <c r="N61" s="1149"/>
      <c r="O61" s="1149"/>
      <c r="P61" s="2196"/>
      <c r="Q61" s="2196"/>
      <c r="R61" s="2196"/>
      <c r="S61" s="1149"/>
    </row>
    <row r="62" spans="1:19" hidden="1" outlineLevel="2" x14ac:dyDescent="0.15">
      <c r="A62" s="630" t="str">
        <f>CONCATENATE(B62," ",C62," core (",H62," chip) ",E62," MHz")&amp;IF(ISBLANK(F62),"**","")</f>
        <v>Xeon E5-2643v4 12 core (2 chip) 3400 MHz</v>
      </c>
      <c r="B62" s="661" t="s">
        <v>1394</v>
      </c>
      <c r="C62" s="2024">
        <v>12</v>
      </c>
      <c r="D62" s="52">
        <v>6</v>
      </c>
      <c r="E62" s="639">
        <v>3400</v>
      </c>
      <c r="F62" s="2192">
        <v>702</v>
      </c>
      <c r="G62" s="2193">
        <f>F62/C62</f>
        <v>58.5</v>
      </c>
      <c r="H62" s="2603">
        <f>C62/D62</f>
        <v>2</v>
      </c>
      <c r="I62" s="646" t="s">
        <v>335</v>
      </c>
      <c r="J62" s="2048">
        <v>135</v>
      </c>
      <c r="K62" s="2647" t="s">
        <v>1423</v>
      </c>
      <c r="L62" s="1149"/>
      <c r="M62" s="1149"/>
      <c r="N62" s="1149"/>
      <c r="O62" s="1149"/>
      <c r="P62" s="2196"/>
      <c r="Q62" s="2196"/>
      <c r="R62" s="2196"/>
      <c r="S62" s="1149"/>
    </row>
    <row r="63" spans="1:19" hidden="1" outlineLevel="2" x14ac:dyDescent="0.15">
      <c r="A63" s="630" t="str">
        <f>CONCATENATE(B63," ",C63," core (",H63," chip) ",E63," MHz")&amp;IF(ISBLANK(F63),"**","")</f>
        <v>Xeon E5-2667v4 16 core (2 chip) 3200 MHz</v>
      </c>
      <c r="B63" s="661" t="s">
        <v>1395</v>
      </c>
      <c r="C63" s="2024">
        <v>16</v>
      </c>
      <c r="D63" s="52">
        <v>8</v>
      </c>
      <c r="E63" s="639">
        <v>3200</v>
      </c>
      <c r="F63" s="2192">
        <v>888</v>
      </c>
      <c r="G63" s="2193">
        <f>F63/C63</f>
        <v>55.5</v>
      </c>
      <c r="H63" s="2603">
        <f>C63/D63</f>
        <v>2</v>
      </c>
      <c r="I63" s="646" t="s">
        <v>335</v>
      </c>
      <c r="J63" s="2048">
        <v>135</v>
      </c>
      <c r="K63" s="2647" t="s">
        <v>1423</v>
      </c>
      <c r="L63" s="1149"/>
      <c r="M63" s="1149"/>
      <c r="N63" s="1149"/>
      <c r="O63" s="1149"/>
      <c r="Q63" s="2196"/>
      <c r="R63" s="2196"/>
      <c r="S63" s="1149"/>
    </row>
    <row r="64" spans="1:19" s="693" customFormat="1" hidden="1" outlineLevel="2" x14ac:dyDescent="0.15">
      <c r="A64" s="630" t="str">
        <f t="shared" ref="A64:A69" si="4">CONCATENATE(B64," ",C64," core (",H64," chip) ",E64," MHz")</f>
        <v>Xeon E5-2689v4 20 core (2 chip) 3100 MHz</v>
      </c>
      <c r="B64" s="661" t="s">
        <v>1396</v>
      </c>
      <c r="C64" s="2025">
        <v>20</v>
      </c>
      <c r="D64" s="50">
        <v>10</v>
      </c>
      <c r="E64" s="639">
        <v>3100</v>
      </c>
      <c r="F64" s="2012">
        <v>1040</v>
      </c>
      <c r="G64" s="2193">
        <f>IF(F64=0,"",F64/C64)</f>
        <v>52</v>
      </c>
      <c r="H64" s="2603">
        <f>IF(C64=0,"",C64/D64)</f>
        <v>2</v>
      </c>
      <c r="I64" s="647" t="s">
        <v>335</v>
      </c>
      <c r="J64" s="2048">
        <v>165</v>
      </c>
      <c r="K64" s="2650" t="s">
        <v>1423</v>
      </c>
      <c r="L64" s="1304"/>
      <c r="M64" s="1304"/>
      <c r="N64" s="1304"/>
      <c r="O64" s="1304"/>
      <c r="P64" s="31"/>
    </row>
    <row r="65" spans="1:19" s="693" customFormat="1" hidden="1" outlineLevel="2" x14ac:dyDescent="0.15">
      <c r="A65" s="630" t="str">
        <f t="shared" si="4"/>
        <v>Xeon E5-2687Wv4 24 core (2 chip) 3000 MHz</v>
      </c>
      <c r="B65" s="661" t="s">
        <v>1397</v>
      </c>
      <c r="C65" s="2025">
        <v>24</v>
      </c>
      <c r="D65" s="50">
        <v>12</v>
      </c>
      <c r="E65" s="639">
        <v>3000</v>
      </c>
      <c r="F65" s="2012">
        <v>1180</v>
      </c>
      <c r="G65" s="2193">
        <f>IF(F65=0,"",F65/C65)</f>
        <v>49.166666666666664</v>
      </c>
      <c r="H65" s="2603">
        <f>IF(C65=0,"",C65/D65)</f>
        <v>2</v>
      </c>
      <c r="I65" s="647" t="s">
        <v>335</v>
      </c>
      <c r="J65" s="2048">
        <v>160</v>
      </c>
      <c r="K65" s="2650" t="s">
        <v>1423</v>
      </c>
      <c r="L65" s="1891"/>
      <c r="M65" s="1891"/>
      <c r="N65" s="1891"/>
      <c r="O65" s="1891"/>
      <c r="P65" s="31"/>
    </row>
    <row r="66" spans="1:19" s="693" customFormat="1" hidden="1" outlineLevel="2" x14ac:dyDescent="0.15">
      <c r="A66" s="630" t="str">
        <f t="shared" si="4"/>
        <v>Xeon E5-2690v4 28 core (2 chip) 2600 MHz</v>
      </c>
      <c r="B66" s="661" t="s">
        <v>1398</v>
      </c>
      <c r="C66" s="2025">
        <v>28</v>
      </c>
      <c r="D66" s="50">
        <v>14</v>
      </c>
      <c r="E66" s="639">
        <v>2600</v>
      </c>
      <c r="F66" s="2012">
        <v>1330</v>
      </c>
      <c r="G66" s="2193">
        <f>F66/C66</f>
        <v>47.5</v>
      </c>
      <c r="H66" s="2603">
        <f>C66/D66</f>
        <v>2</v>
      </c>
      <c r="I66" s="646" t="s">
        <v>335</v>
      </c>
      <c r="J66" s="2048">
        <v>135</v>
      </c>
      <c r="K66" s="2648" t="s">
        <v>1423</v>
      </c>
      <c r="P66" s="31"/>
    </row>
    <row r="67" spans="1:19" s="693" customFormat="1" hidden="1" outlineLevel="2" x14ac:dyDescent="0.15">
      <c r="A67" s="630" t="str">
        <f t="shared" si="4"/>
        <v>Xeon E5-2697Av4 32 core (2 chip) 2600 MHz</v>
      </c>
      <c r="B67" s="661" t="s">
        <v>1399</v>
      </c>
      <c r="C67" s="2025">
        <v>32</v>
      </c>
      <c r="D67" s="50">
        <v>16</v>
      </c>
      <c r="E67" s="639">
        <v>2600</v>
      </c>
      <c r="F67" s="2012">
        <v>1420</v>
      </c>
      <c r="G67" s="2193">
        <f>IF(F67=0,"",F67/C67)</f>
        <v>44.375</v>
      </c>
      <c r="H67" s="2603">
        <f>IF(C67=0,"",C67/D67)</f>
        <v>2</v>
      </c>
      <c r="I67" s="647" t="s">
        <v>335</v>
      </c>
      <c r="J67" s="2048">
        <v>145</v>
      </c>
      <c r="K67" s="2650" t="s">
        <v>1423</v>
      </c>
      <c r="L67" s="1304"/>
      <c r="M67" s="1304"/>
      <c r="N67" s="1304"/>
      <c r="O67" s="1304"/>
      <c r="P67" s="31"/>
    </row>
    <row r="68" spans="1:19" s="693" customFormat="1" hidden="1" outlineLevel="2" x14ac:dyDescent="0.15">
      <c r="A68" s="630" t="str">
        <f t="shared" si="4"/>
        <v>Xeon E5-2697v4 36 core (2 chip) 2300 MHz</v>
      </c>
      <c r="B68" s="661" t="s">
        <v>1400</v>
      </c>
      <c r="C68" s="2025">
        <v>36</v>
      </c>
      <c r="D68" s="50">
        <v>18</v>
      </c>
      <c r="E68" s="639">
        <v>2300</v>
      </c>
      <c r="F68" s="2012">
        <v>1510</v>
      </c>
      <c r="G68" s="2193">
        <f>IF(F68=0,"",F68/C68)</f>
        <v>41.944444444444443</v>
      </c>
      <c r="H68" s="2603">
        <f>IF(C68=0,"",C68/D68)</f>
        <v>2</v>
      </c>
      <c r="I68" s="647" t="s">
        <v>335</v>
      </c>
      <c r="J68" s="2048">
        <v>145</v>
      </c>
      <c r="K68" s="2650" t="s">
        <v>1423</v>
      </c>
      <c r="L68" s="1891"/>
      <c r="M68" s="1891"/>
      <c r="N68" s="1891"/>
      <c r="O68" s="1891"/>
      <c r="P68" s="31"/>
    </row>
    <row r="69" spans="1:19" s="693" customFormat="1" hidden="1" outlineLevel="2" x14ac:dyDescent="0.15">
      <c r="A69" s="630" t="str">
        <f t="shared" si="4"/>
        <v>Xeon E5-2699Av4 44 core (2 chip) 2400 MHz</v>
      </c>
      <c r="B69" s="661" t="s">
        <v>1503</v>
      </c>
      <c r="C69" s="2025">
        <v>44</v>
      </c>
      <c r="D69" s="50">
        <v>22</v>
      </c>
      <c r="E69" s="639">
        <v>2400</v>
      </c>
      <c r="F69" s="2012">
        <v>1810</v>
      </c>
      <c r="G69" s="2193">
        <f>F69/C69</f>
        <v>41.136363636363633</v>
      </c>
      <c r="H69" s="2603">
        <f>C69/D69</f>
        <v>2</v>
      </c>
      <c r="I69" s="646" t="s">
        <v>335</v>
      </c>
      <c r="J69" s="2048">
        <v>145</v>
      </c>
      <c r="K69" s="2648" t="s">
        <v>1423</v>
      </c>
      <c r="P69" s="31"/>
    </row>
    <row r="70" spans="1:19" hidden="1" outlineLevel="1" collapsed="1" x14ac:dyDescent="0.15">
      <c r="A70" s="636"/>
      <c r="B70" s="2040"/>
      <c r="C70" s="2041"/>
      <c r="D70" s="641"/>
      <c r="E70" s="2042"/>
      <c r="F70" s="882"/>
      <c r="G70" s="2019"/>
      <c r="H70" s="2608"/>
      <c r="I70" s="649"/>
      <c r="J70" s="2646"/>
      <c r="K70" s="2837"/>
      <c r="L70" s="2904"/>
      <c r="M70" s="3055"/>
      <c r="N70" s="1152"/>
      <c r="O70" s="1152"/>
      <c r="Q70" s="3074"/>
      <c r="R70" s="3073"/>
    </row>
    <row r="71" spans="1:19" collapsed="1" x14ac:dyDescent="0.15">
      <c r="A71" s="627" t="s">
        <v>1429</v>
      </c>
      <c r="B71" s="662" t="str">
        <f>A71</f>
        <v xml:space="preserve"> ==== Intel Windows Server Candidates ======</v>
      </c>
      <c r="C71" s="657"/>
      <c r="D71" s="2027"/>
      <c r="E71" s="2028"/>
      <c r="F71" s="2013"/>
      <c r="G71" s="3052"/>
      <c r="H71" s="2605"/>
      <c r="I71" s="644"/>
      <c r="J71" s="673"/>
      <c r="K71" s="2651"/>
    </row>
    <row r="72" spans="1:19" hidden="1" outlineLevel="1" x14ac:dyDescent="0.15">
      <c r="A72" s="628" t="s">
        <v>1502</v>
      </c>
      <c r="B72" s="659" t="str">
        <f>A72</f>
        <v xml:space="preserve"> ==== 2017 DP Server Platforms ====</v>
      </c>
      <c r="C72" s="656"/>
      <c r="D72" s="2022"/>
      <c r="E72" s="2023"/>
      <c r="F72" s="2189"/>
      <c r="G72" s="2190"/>
      <c r="H72" s="2606"/>
      <c r="I72" s="645"/>
      <c r="J72" s="2191" t="s">
        <v>165</v>
      </c>
      <c r="K72" s="2652" t="s">
        <v>1029</v>
      </c>
      <c r="L72" s="1149"/>
      <c r="M72" s="1149"/>
      <c r="N72" s="1149"/>
      <c r="O72" s="1149"/>
      <c r="Q72" s="2194"/>
      <c r="R72" s="2195"/>
      <c r="S72" s="1149"/>
    </row>
    <row r="73" spans="1:19" hidden="1" outlineLevel="2" x14ac:dyDescent="0.15">
      <c r="A73" s="630" t="str">
        <f t="shared" ref="A73:A78" si="5">CONCATENATE(B73," ",C73," core (",H73," chip) ",E73," MHz")&amp;IF(ISBLANK(F73),"**","")</f>
        <v>Xeon E3-1280v6 4 core (1 chip) 3900 MHz</v>
      </c>
      <c r="B73" s="661" t="s">
        <v>1593</v>
      </c>
      <c r="C73" s="2024">
        <v>4</v>
      </c>
      <c r="D73" s="52">
        <v>4</v>
      </c>
      <c r="E73" s="639">
        <v>3900</v>
      </c>
      <c r="F73" s="2192">
        <v>274</v>
      </c>
      <c r="G73" s="2193">
        <f t="shared" ref="G73:G78" si="6">F73/C73</f>
        <v>68.5</v>
      </c>
      <c r="H73" s="2603">
        <f t="shared" ref="H73:H78" si="7">C73/D73</f>
        <v>1</v>
      </c>
      <c r="I73" s="646" t="s">
        <v>335</v>
      </c>
      <c r="J73" s="2048"/>
      <c r="K73" s="2647" t="s">
        <v>1595</v>
      </c>
      <c r="L73" s="1149"/>
      <c r="M73" s="1149"/>
      <c r="N73" s="1149"/>
      <c r="O73" s="1149"/>
      <c r="P73" s="2196"/>
      <c r="Q73" s="2196"/>
      <c r="R73" s="2196"/>
      <c r="S73" s="1149"/>
    </row>
    <row r="74" spans="1:19" hidden="1" outlineLevel="2" x14ac:dyDescent="0.15">
      <c r="A74" s="630" t="str">
        <f t="shared" si="5"/>
        <v>Xeon Gold 5122 8 core (2 chip) 3600 MHz</v>
      </c>
      <c r="B74" s="661" t="s">
        <v>1583</v>
      </c>
      <c r="C74" s="2024">
        <v>8</v>
      </c>
      <c r="D74" s="52">
        <v>4</v>
      </c>
      <c r="E74" s="639">
        <v>3600</v>
      </c>
      <c r="F74" s="2192">
        <v>544</v>
      </c>
      <c r="G74" s="2193">
        <f t="shared" si="6"/>
        <v>68</v>
      </c>
      <c r="H74" s="2603">
        <f t="shared" si="7"/>
        <v>2</v>
      </c>
      <c r="I74" s="646" t="s">
        <v>335</v>
      </c>
      <c r="J74" s="2048"/>
      <c r="K74" s="2647" t="s">
        <v>1594</v>
      </c>
      <c r="L74" s="1149"/>
      <c r="M74" s="1149"/>
      <c r="N74" s="1149"/>
      <c r="O74" s="1149"/>
      <c r="P74" s="2196"/>
      <c r="Q74" s="2196"/>
      <c r="R74" s="2196"/>
      <c r="S74" s="1149"/>
    </row>
    <row r="75" spans="1:19" hidden="1" outlineLevel="2" x14ac:dyDescent="0.15">
      <c r="A75" s="630" t="str">
        <f t="shared" si="5"/>
        <v>Xeon Gold 6128 12 core (2 chip) 3400 MHz</v>
      </c>
      <c r="B75" s="661" t="s">
        <v>1584</v>
      </c>
      <c r="C75" s="2024">
        <v>12</v>
      </c>
      <c r="D75" s="52">
        <v>6</v>
      </c>
      <c r="E75" s="639">
        <v>3400</v>
      </c>
      <c r="F75" s="2192">
        <v>809</v>
      </c>
      <c r="G75" s="2193">
        <f t="shared" si="6"/>
        <v>67.416666666666671</v>
      </c>
      <c r="H75" s="2603">
        <f t="shared" si="7"/>
        <v>2</v>
      </c>
      <c r="I75" s="646" t="s">
        <v>335</v>
      </c>
      <c r="J75" s="2048"/>
      <c r="K75" s="2647" t="s">
        <v>1594</v>
      </c>
      <c r="L75" s="1149"/>
      <c r="M75" s="1149"/>
      <c r="N75" s="1149"/>
      <c r="O75" s="1149"/>
      <c r="P75" s="2196"/>
      <c r="Q75" s="2196"/>
      <c r="R75" s="2196"/>
      <c r="S75" s="1149"/>
    </row>
    <row r="76" spans="1:19" hidden="1" outlineLevel="2" x14ac:dyDescent="0.15">
      <c r="A76" s="630" t="str">
        <f t="shared" si="5"/>
        <v>Xeon Gold 6134 16 core (2 chip) 3200 MHz</v>
      </c>
      <c r="B76" s="661" t="s">
        <v>1585</v>
      </c>
      <c r="C76" s="2024">
        <v>16</v>
      </c>
      <c r="D76" s="52">
        <v>8</v>
      </c>
      <c r="E76" s="639">
        <v>3200</v>
      </c>
      <c r="F76" s="2192">
        <v>1030</v>
      </c>
      <c r="G76" s="2193">
        <f t="shared" si="6"/>
        <v>64.375</v>
      </c>
      <c r="H76" s="2603">
        <f t="shared" si="7"/>
        <v>2</v>
      </c>
      <c r="I76" s="646" t="s">
        <v>335</v>
      </c>
      <c r="J76" s="2048"/>
      <c r="K76" s="2647" t="s">
        <v>1594</v>
      </c>
      <c r="L76" s="1149"/>
      <c r="M76" s="1149"/>
      <c r="N76" s="1149"/>
      <c r="O76" s="1149"/>
      <c r="P76" s="2196"/>
      <c r="Q76" s="2196"/>
      <c r="R76" s="2196"/>
      <c r="S76" s="1149"/>
    </row>
    <row r="77" spans="1:19" hidden="1" outlineLevel="2" x14ac:dyDescent="0.15">
      <c r="A77" s="630" t="str">
        <f t="shared" si="5"/>
        <v>Xeon Gold 5115 20 core (2 chip) 2400 MHz</v>
      </c>
      <c r="B77" s="661" t="s">
        <v>1586</v>
      </c>
      <c r="C77" s="2024">
        <v>20</v>
      </c>
      <c r="D77" s="52">
        <v>10</v>
      </c>
      <c r="E77" s="639">
        <v>2400</v>
      </c>
      <c r="F77" s="2192">
        <v>972</v>
      </c>
      <c r="G77" s="2193">
        <f t="shared" si="6"/>
        <v>48.6</v>
      </c>
      <c r="H77" s="2603">
        <f t="shared" si="7"/>
        <v>2</v>
      </c>
      <c r="I77" s="646" t="s">
        <v>335</v>
      </c>
      <c r="J77" s="2048"/>
      <c r="K77" s="2647" t="s">
        <v>1594</v>
      </c>
      <c r="L77" s="1149"/>
      <c r="M77" s="1149"/>
      <c r="N77" s="1149"/>
      <c r="O77" s="1149"/>
      <c r="P77" s="2196"/>
      <c r="Q77" s="2196"/>
      <c r="R77" s="2196"/>
      <c r="S77" s="1149"/>
    </row>
    <row r="78" spans="1:19" hidden="1" outlineLevel="2" x14ac:dyDescent="0.15">
      <c r="A78" s="630" t="str">
        <f t="shared" si="5"/>
        <v>Xeon Gold 6136 24 core (2 chip) 3000 MHz</v>
      </c>
      <c r="B78" s="661" t="s">
        <v>1587</v>
      </c>
      <c r="C78" s="2024">
        <v>24</v>
      </c>
      <c r="D78" s="52">
        <v>12</v>
      </c>
      <c r="E78" s="639">
        <v>3000</v>
      </c>
      <c r="F78" s="2192">
        <v>1450</v>
      </c>
      <c r="G78" s="2193">
        <f t="shared" si="6"/>
        <v>60.416666666666664</v>
      </c>
      <c r="H78" s="2603">
        <f t="shared" si="7"/>
        <v>2</v>
      </c>
      <c r="I78" s="646" t="s">
        <v>335</v>
      </c>
      <c r="J78" s="2048"/>
      <c r="K78" s="2647" t="s">
        <v>1594</v>
      </c>
      <c r="L78" s="1149"/>
      <c r="M78" s="1149"/>
      <c r="N78" s="1149"/>
      <c r="O78" s="1149"/>
      <c r="Q78" s="2196"/>
      <c r="R78" s="2196"/>
      <c r="S78" s="1149"/>
    </row>
    <row r="79" spans="1:19" s="693" customFormat="1" hidden="1" outlineLevel="2" x14ac:dyDescent="0.15">
      <c r="A79" s="630" t="str">
        <f>CONCATENATE(B79," ",C79," core (",H79," chip) ",E79," MHz")</f>
        <v>Xeon Gold 6132 28 core (2 chip) 2600 MHz</v>
      </c>
      <c r="B79" s="661" t="s">
        <v>1588</v>
      </c>
      <c r="C79" s="2025">
        <v>28</v>
      </c>
      <c r="D79" s="50">
        <v>14</v>
      </c>
      <c r="E79" s="639">
        <v>2600</v>
      </c>
      <c r="F79" s="2012">
        <v>1510</v>
      </c>
      <c r="G79" s="2193">
        <f>IF(F79=0,"",F79/C79)</f>
        <v>53.928571428571431</v>
      </c>
      <c r="H79" s="2603">
        <f>IF(C79=0,"",C79/D79)</f>
        <v>2</v>
      </c>
      <c r="I79" s="647" t="s">
        <v>335</v>
      </c>
      <c r="J79" s="2048"/>
      <c r="K79" s="2650" t="s">
        <v>1594</v>
      </c>
      <c r="L79" s="1304"/>
      <c r="M79" s="1304"/>
      <c r="N79" s="1304"/>
      <c r="O79" s="1304"/>
      <c r="P79" s="31"/>
    </row>
    <row r="80" spans="1:19" s="693" customFormat="1" hidden="1" outlineLevel="2" x14ac:dyDescent="0.15">
      <c r="A80" s="630" t="str">
        <f>CONCATENATE(B80," ",C80," core (",H80," chip) ",E80," MHz")</f>
        <v>Xeon Gold 6142 32 core (2 chip) 2600 MHz</v>
      </c>
      <c r="B80" s="661" t="s">
        <v>1589</v>
      </c>
      <c r="C80" s="2025">
        <v>32</v>
      </c>
      <c r="D80" s="50">
        <v>16</v>
      </c>
      <c r="E80" s="639">
        <v>2600</v>
      </c>
      <c r="F80" s="2012">
        <v>1690</v>
      </c>
      <c r="G80" s="2193">
        <f>IF(F80=0,"",F80/C80)</f>
        <v>52.8125</v>
      </c>
      <c r="H80" s="2603">
        <f>IF(C80=0,"",C80/D80)</f>
        <v>2</v>
      </c>
      <c r="I80" s="647" t="s">
        <v>335</v>
      </c>
      <c r="J80" s="2048"/>
      <c r="K80" s="2650" t="s">
        <v>1594</v>
      </c>
      <c r="L80" s="1891"/>
      <c r="M80" s="1891"/>
      <c r="N80" s="1891"/>
      <c r="O80" s="1891"/>
      <c r="P80" s="31"/>
    </row>
    <row r="81" spans="1:19" s="693" customFormat="1" hidden="1" outlineLevel="2" x14ac:dyDescent="0.15">
      <c r="A81" s="630" t="str">
        <f>CONCATENATE(B81," ",C81," core (",H81," chip) ",E81," MHz")</f>
        <v>Xeon Gold 6154 36 core (2 chip) 3000 MHz</v>
      </c>
      <c r="B81" s="661" t="s">
        <v>1590</v>
      </c>
      <c r="C81" s="2025">
        <v>36</v>
      </c>
      <c r="D81" s="50">
        <v>18</v>
      </c>
      <c r="E81" s="639">
        <v>3000</v>
      </c>
      <c r="F81" s="2012">
        <v>2050</v>
      </c>
      <c r="G81" s="2193">
        <f>F81/C81</f>
        <v>56.944444444444443</v>
      </c>
      <c r="H81" s="2603">
        <f>C81/D81</f>
        <v>2</v>
      </c>
      <c r="I81" s="646" t="s">
        <v>335</v>
      </c>
      <c r="J81" s="2048"/>
      <c r="K81" s="2648" t="s">
        <v>1594</v>
      </c>
      <c r="P81" s="31"/>
    </row>
    <row r="82" spans="1:19" s="693" customFormat="1" hidden="1" outlineLevel="2" x14ac:dyDescent="0.15">
      <c r="A82" s="630" t="str">
        <f>CONCATENATE(B82," ",C82," core (",H82," chip) ",E82," MHz")</f>
        <v>Xeon Gold 6148 40 core (2 chip) 2400 MHz</v>
      </c>
      <c r="B82" s="661" t="s">
        <v>1591</v>
      </c>
      <c r="C82" s="2025">
        <v>40</v>
      </c>
      <c r="D82" s="50">
        <v>20</v>
      </c>
      <c r="E82" s="639">
        <v>2400</v>
      </c>
      <c r="F82" s="2012">
        <v>1950</v>
      </c>
      <c r="G82" s="2193">
        <f>IF(F82=0,"",F82/C82)</f>
        <v>48.75</v>
      </c>
      <c r="H82" s="2603">
        <f>IF(C82=0,"",C82/D82)</f>
        <v>2</v>
      </c>
      <c r="I82" s="647" t="s">
        <v>335</v>
      </c>
      <c r="J82" s="2048"/>
      <c r="K82" s="2650" t="s">
        <v>1594</v>
      </c>
      <c r="L82" s="1304"/>
      <c r="M82" s="1304"/>
      <c r="N82" s="1304"/>
      <c r="O82" s="1304"/>
      <c r="P82" s="31"/>
    </row>
    <row r="83" spans="1:19" s="693" customFormat="1" hidden="1" outlineLevel="2" x14ac:dyDescent="0.15">
      <c r="A83" s="630" t="str">
        <f>CONCATENATE(B83," ",C83," core (",H83," chip) ",E83," MHz")</f>
        <v>Xeon Gold 6152 44 core (2 chip) 2100 MHz</v>
      </c>
      <c r="B83" s="661" t="s">
        <v>1592</v>
      </c>
      <c r="C83" s="2025">
        <v>44</v>
      </c>
      <c r="D83" s="50">
        <v>22</v>
      </c>
      <c r="E83" s="639">
        <v>2100</v>
      </c>
      <c r="F83" s="2012">
        <v>1970</v>
      </c>
      <c r="G83" s="2193">
        <f>IF(F83=0,"",F83/C83)</f>
        <v>44.772727272727273</v>
      </c>
      <c r="H83" s="2603">
        <f>IF(C83=0,"",C83/D83)</f>
        <v>2</v>
      </c>
      <c r="I83" s="647" t="s">
        <v>335</v>
      </c>
      <c r="J83" s="2048"/>
      <c r="K83" s="2650" t="s">
        <v>1594</v>
      </c>
      <c r="L83" s="1891"/>
      <c r="M83" s="1891"/>
      <c r="N83" s="1891"/>
      <c r="O83" s="1891"/>
      <c r="P83" s="31"/>
    </row>
    <row r="84" spans="1:19" hidden="1" outlineLevel="2" x14ac:dyDescent="0.15">
      <c r="A84" s="630" t="str">
        <f>CONCATENATE(B84," ",C84," core (",H84," chip) ",E84," MHz")&amp;IF(ISBLANK(F84),"**","")</f>
        <v>Xeon Gold 5122 16 core (4 chip) 3600 MHz</v>
      </c>
      <c r="B84" s="661" t="s">
        <v>1583</v>
      </c>
      <c r="C84" s="2024">
        <v>16</v>
      </c>
      <c r="D84" s="52">
        <v>4</v>
      </c>
      <c r="E84" s="639">
        <v>3600</v>
      </c>
      <c r="F84" s="2192">
        <v>1080</v>
      </c>
      <c r="G84" s="2193">
        <f>F84/C84</f>
        <v>67.5</v>
      </c>
      <c r="H84" s="2603">
        <f>C84/D84</f>
        <v>4</v>
      </c>
      <c r="I84" s="646" t="s">
        <v>335</v>
      </c>
      <c r="J84" s="2048"/>
      <c r="K84" s="2647" t="s">
        <v>1594</v>
      </c>
      <c r="L84" s="1149"/>
      <c r="M84" s="1149"/>
      <c r="N84" s="1149"/>
      <c r="O84" s="1149"/>
      <c r="P84" s="2196"/>
      <c r="Q84" s="2196"/>
      <c r="R84" s="2196"/>
      <c r="S84" s="1149"/>
    </row>
    <row r="85" spans="1:19" hidden="1" outlineLevel="2" x14ac:dyDescent="0.15">
      <c r="A85" s="630" t="str">
        <f>CONCATENATE(B85," ",C85," core (",H85," chip) ",E85," MHz")&amp;IF(ISBLANK(F85),"**","")</f>
        <v>Xeon Gold 6128 24 core (4 chip) 3400 MHz</v>
      </c>
      <c r="B85" s="661" t="s">
        <v>1584</v>
      </c>
      <c r="C85" s="2024">
        <v>24</v>
      </c>
      <c r="D85" s="52">
        <v>6</v>
      </c>
      <c r="E85" s="639">
        <v>3400</v>
      </c>
      <c r="F85" s="2192">
        <v>1600</v>
      </c>
      <c r="G85" s="2193">
        <f>F85/C85</f>
        <v>66.666666666666671</v>
      </c>
      <c r="H85" s="2603">
        <f>C85/D85</f>
        <v>4</v>
      </c>
      <c r="I85" s="646" t="s">
        <v>335</v>
      </c>
      <c r="J85" s="2048"/>
      <c r="K85" s="2647" t="s">
        <v>1594</v>
      </c>
      <c r="L85" s="1149"/>
      <c r="M85" s="1149"/>
      <c r="N85" s="1149"/>
      <c r="O85" s="1149"/>
      <c r="P85" s="2196"/>
      <c r="Q85" s="2196"/>
      <c r="R85" s="2196"/>
      <c r="S85" s="1149"/>
    </row>
    <row r="86" spans="1:19" hidden="1" outlineLevel="2" x14ac:dyDescent="0.15">
      <c r="A86" s="630" t="str">
        <f>CONCATENATE(B86," ",C86," core (",H86," chip) ",E86," MHz")&amp;IF(ISBLANK(F86),"**","")</f>
        <v>Xeon Gold 6134 32 core (4 chip) 3200 MHz</v>
      </c>
      <c r="B86" s="661" t="s">
        <v>1585</v>
      </c>
      <c r="C86" s="2024">
        <v>32</v>
      </c>
      <c r="D86" s="52">
        <v>8</v>
      </c>
      <c r="E86" s="639">
        <v>3200</v>
      </c>
      <c r="F86" s="2192">
        <v>2030</v>
      </c>
      <c r="G86" s="2193">
        <f>F86/C86</f>
        <v>63.4375</v>
      </c>
      <c r="H86" s="2603">
        <f>C86/D86</f>
        <v>4</v>
      </c>
      <c r="I86" s="646" t="s">
        <v>335</v>
      </c>
      <c r="J86" s="2048"/>
      <c r="K86" s="2647" t="s">
        <v>1594</v>
      </c>
      <c r="L86" s="1149"/>
      <c r="M86" s="1149"/>
      <c r="N86" s="1149"/>
      <c r="O86" s="1149"/>
      <c r="P86" s="2196"/>
      <c r="Q86" s="2196"/>
      <c r="R86" s="2196"/>
      <c r="S86" s="1149"/>
    </row>
    <row r="87" spans="1:19" hidden="1" outlineLevel="2" x14ac:dyDescent="0.15">
      <c r="A87" s="630" t="str">
        <f>CONCATENATE(B87," ",C87," core (",H87," chip) ",E87," MHz")&amp;IF(ISBLANK(F87),"**","")</f>
        <v>Xeon Gold 5115 40 core (4 chip) 2400 MHz</v>
      </c>
      <c r="B87" s="661" t="s">
        <v>1586</v>
      </c>
      <c r="C87" s="2024">
        <v>40</v>
      </c>
      <c r="D87" s="52">
        <v>10</v>
      </c>
      <c r="E87" s="639">
        <v>2400</v>
      </c>
      <c r="F87" s="2192">
        <v>1840</v>
      </c>
      <c r="G87" s="2193">
        <f>F87/C87</f>
        <v>46</v>
      </c>
      <c r="H87" s="2603">
        <f>C87/D87</f>
        <v>4</v>
      </c>
      <c r="I87" s="646" t="s">
        <v>335</v>
      </c>
      <c r="J87" s="2048"/>
      <c r="K87" s="2647" t="s">
        <v>1594</v>
      </c>
      <c r="L87" s="1149"/>
      <c r="M87" s="1149"/>
      <c r="N87" s="1149"/>
      <c r="O87" s="1149"/>
      <c r="Q87" s="2196"/>
      <c r="R87" s="2196"/>
      <c r="S87" s="1149"/>
    </row>
    <row r="88" spans="1:19" hidden="1" outlineLevel="2" x14ac:dyDescent="0.15">
      <c r="A88" s="630" t="str">
        <f>CONCATENATE(B88," ",C88," core (",H88," chip) ",E88," MHz")&amp;IF(ISBLANK(F88),"**","")</f>
        <v>Xeon Gold 6136 48 core (4 chip) 3000 MHz</v>
      </c>
      <c r="B88" s="661" t="s">
        <v>1587</v>
      </c>
      <c r="C88" s="2024">
        <v>48</v>
      </c>
      <c r="D88" s="52">
        <v>12</v>
      </c>
      <c r="E88" s="639">
        <v>3000</v>
      </c>
      <c r="F88" s="2192">
        <v>2860</v>
      </c>
      <c r="G88" s="2193">
        <f>F88/C88</f>
        <v>59.583333333333336</v>
      </c>
      <c r="H88" s="2603">
        <f>C88/D88</f>
        <v>4</v>
      </c>
      <c r="I88" s="646" t="s">
        <v>335</v>
      </c>
      <c r="J88" s="2048"/>
      <c r="K88" s="2647" t="s">
        <v>1594</v>
      </c>
      <c r="L88" s="1149"/>
      <c r="M88" s="1149"/>
      <c r="N88" s="1149"/>
      <c r="O88" s="1149"/>
      <c r="Q88" s="2196"/>
      <c r="R88" s="2196"/>
      <c r="S88" s="1149"/>
    </row>
    <row r="89" spans="1:19" s="693" customFormat="1" hidden="1" outlineLevel="2" x14ac:dyDescent="0.15">
      <c r="A89" s="630" t="str">
        <f>CONCATENATE(B89," ",C89," core (",H89," chip) ",E89," MHz")</f>
        <v>Xeon Gold 6132 56 core (4 chip) 2600 MHz</v>
      </c>
      <c r="B89" s="661" t="s">
        <v>1588</v>
      </c>
      <c r="C89" s="2025">
        <v>56</v>
      </c>
      <c r="D89" s="50">
        <v>14</v>
      </c>
      <c r="E89" s="639">
        <v>2600</v>
      </c>
      <c r="F89" s="2012">
        <v>2930</v>
      </c>
      <c r="G89" s="2193">
        <f>IF(F89=0,"",F89/C89)</f>
        <v>52.321428571428569</v>
      </c>
      <c r="H89" s="2603">
        <f>IF(C89=0,"",C89/D89)</f>
        <v>4</v>
      </c>
      <c r="I89" s="647" t="s">
        <v>335</v>
      </c>
      <c r="J89" s="2048"/>
      <c r="K89" s="2650" t="s">
        <v>1594</v>
      </c>
      <c r="L89" s="1304"/>
      <c r="M89" s="1304"/>
      <c r="N89" s="1304"/>
      <c r="O89" s="1304"/>
      <c r="P89" s="31"/>
    </row>
    <row r="90" spans="1:19" s="693" customFormat="1" hidden="1" outlineLevel="2" x14ac:dyDescent="0.15">
      <c r="A90" s="630" t="str">
        <f>CONCATENATE(B90," ",C90," core (",H90," chip) ",E90," MHz")</f>
        <v>Xeon Gold 6142 64 core (4 chip) 2600 MHz</v>
      </c>
      <c r="B90" s="661" t="s">
        <v>1589</v>
      </c>
      <c r="C90" s="2025">
        <v>64</v>
      </c>
      <c r="D90" s="50">
        <v>16</v>
      </c>
      <c r="E90" s="639">
        <v>2600</v>
      </c>
      <c r="F90" s="2012">
        <v>3280</v>
      </c>
      <c r="G90" s="2193">
        <f>IF(F90=0,"",F90/C90)</f>
        <v>51.25</v>
      </c>
      <c r="H90" s="2603">
        <f>IF(C90=0,"",C90/D90)</f>
        <v>4</v>
      </c>
      <c r="I90" s="647" t="s">
        <v>335</v>
      </c>
      <c r="J90" s="2048"/>
      <c r="K90" s="2650" t="s">
        <v>1594</v>
      </c>
      <c r="L90" s="1891"/>
      <c r="M90" s="1891"/>
      <c r="N90" s="1891"/>
      <c r="O90" s="1891"/>
      <c r="P90" s="31"/>
    </row>
    <row r="91" spans="1:19" s="693" customFormat="1" hidden="1" outlineLevel="2" x14ac:dyDescent="0.15">
      <c r="A91" s="630" t="str">
        <f>CONCATENATE(B91," ",C91," core (",H91," chip) ",E91," MHz")</f>
        <v>Xeon Gold 6154 72 core (4 chip) 3000 MHz</v>
      </c>
      <c r="B91" s="661" t="s">
        <v>1590</v>
      </c>
      <c r="C91" s="2025">
        <v>72</v>
      </c>
      <c r="D91" s="50">
        <v>18</v>
      </c>
      <c r="E91" s="639">
        <v>3000</v>
      </c>
      <c r="F91" s="2012">
        <v>4040</v>
      </c>
      <c r="G91" s="2193">
        <f>F91/C91</f>
        <v>56.111111111111114</v>
      </c>
      <c r="H91" s="2603">
        <f>C91/D91</f>
        <v>4</v>
      </c>
      <c r="I91" s="646" t="s">
        <v>335</v>
      </c>
      <c r="J91" s="2048"/>
      <c r="K91" s="2648" t="s">
        <v>1594</v>
      </c>
      <c r="P91" s="31"/>
    </row>
    <row r="92" spans="1:19" s="693" customFormat="1" hidden="1" outlineLevel="2" x14ac:dyDescent="0.15">
      <c r="A92" s="630" t="str">
        <f>CONCATENATE(B92," ",C92," core (",H92," chip) ",E92," MHz")</f>
        <v>Xeon Gold 6148 80 core (4 chip) 2400 MHz</v>
      </c>
      <c r="B92" s="661" t="s">
        <v>1591</v>
      </c>
      <c r="C92" s="2025">
        <v>80</v>
      </c>
      <c r="D92" s="50">
        <v>20</v>
      </c>
      <c r="E92" s="639">
        <v>2400</v>
      </c>
      <c r="F92" s="2012">
        <v>3730</v>
      </c>
      <c r="G92" s="2193">
        <f>IF(F92=0,"",F92/C92)</f>
        <v>46.625</v>
      </c>
      <c r="H92" s="2603">
        <f>IF(C92=0,"",C92/D92)</f>
        <v>4</v>
      </c>
      <c r="I92" s="647" t="s">
        <v>335</v>
      </c>
      <c r="J92" s="2048"/>
      <c r="K92" s="2650" t="s">
        <v>1594</v>
      </c>
      <c r="L92" s="1304"/>
      <c r="M92" s="1304"/>
      <c r="N92" s="1304"/>
      <c r="O92" s="1304"/>
      <c r="P92" s="31"/>
    </row>
    <row r="93" spans="1:19" s="693" customFormat="1" hidden="1" outlineLevel="2" x14ac:dyDescent="0.15">
      <c r="A93" s="630" t="str">
        <f>CONCATENATE(B93," ",C93," core (",H93," chip) ",E93," MHz")</f>
        <v>Xeon Gold 6152 88 core (4 chip) 2100 MHz</v>
      </c>
      <c r="B93" s="661" t="s">
        <v>1592</v>
      </c>
      <c r="C93" s="2025">
        <v>88</v>
      </c>
      <c r="D93" s="50">
        <v>22</v>
      </c>
      <c r="E93" s="639">
        <v>2100</v>
      </c>
      <c r="F93" s="2012">
        <v>3820</v>
      </c>
      <c r="G93" s="2193">
        <f>IF(F93=0,"",F93/C93)</f>
        <v>43.409090909090907</v>
      </c>
      <c r="H93" s="2603">
        <f>IF(C93=0,"",C93/D93)</f>
        <v>4</v>
      </c>
      <c r="I93" s="647" t="s">
        <v>335</v>
      </c>
      <c r="J93" s="2048"/>
      <c r="K93" s="2650" t="s">
        <v>1594</v>
      </c>
      <c r="L93" s="1891"/>
      <c r="M93" s="1891"/>
      <c r="N93" s="1891"/>
      <c r="O93" s="1891"/>
      <c r="P93" s="31"/>
    </row>
    <row r="94" spans="1:19" hidden="1" outlineLevel="1" collapsed="1" x14ac:dyDescent="0.15">
      <c r="A94" s="628" t="s">
        <v>1332</v>
      </c>
      <c r="B94" s="659" t="str">
        <f>A94</f>
        <v xml:space="preserve"> ==== 2016 DP Server Platforms ====</v>
      </c>
      <c r="C94" s="656"/>
      <c r="D94" s="2022"/>
      <c r="E94" s="2023"/>
      <c r="F94" s="2189"/>
      <c r="G94" s="2190"/>
      <c r="H94" s="2606"/>
      <c r="I94" s="645"/>
      <c r="J94" s="2191" t="s">
        <v>165</v>
      </c>
      <c r="K94" s="2652" t="s">
        <v>1029</v>
      </c>
      <c r="L94" s="1149"/>
      <c r="M94" s="1149"/>
      <c r="N94" s="1149"/>
      <c r="O94" s="1149"/>
      <c r="Q94" s="2194"/>
      <c r="R94" s="2195"/>
      <c r="S94" s="1149"/>
    </row>
    <row r="95" spans="1:19" hidden="1" outlineLevel="2" x14ac:dyDescent="0.15">
      <c r="A95" s="630" t="str">
        <f t="shared" ref="A95:A100" si="8">CONCATENATE(B95," ",C95," core (",H95," chip) ",E95," MHz")&amp;IF(ISBLANK(F95),"**","")</f>
        <v>Xeon E3-1280v5 4 core (1 chip) 3700 MHz</v>
      </c>
      <c r="B95" s="661" t="s">
        <v>1442</v>
      </c>
      <c r="C95" s="2024">
        <v>4</v>
      </c>
      <c r="D95" s="52">
        <v>4</v>
      </c>
      <c r="E95" s="639">
        <v>3700</v>
      </c>
      <c r="F95" s="2192">
        <v>252</v>
      </c>
      <c r="G95" s="2193">
        <f t="shared" ref="G95:G100" si="9">F95/C95</f>
        <v>63</v>
      </c>
      <c r="H95" s="2603">
        <f t="shared" ref="H95:H100" si="10">C95/D95</f>
        <v>1</v>
      </c>
      <c r="I95" s="646" t="s">
        <v>335</v>
      </c>
      <c r="J95" s="2048"/>
      <c r="K95" s="2647" t="s">
        <v>1422</v>
      </c>
      <c r="L95" s="1149"/>
      <c r="M95" s="1149"/>
      <c r="N95" s="1149"/>
      <c r="O95" s="1149"/>
      <c r="P95" s="2196"/>
      <c r="Q95" s="2196"/>
      <c r="R95" s="2196"/>
      <c r="S95" s="1149"/>
    </row>
    <row r="96" spans="1:19" hidden="1" outlineLevel="2" x14ac:dyDescent="0.15">
      <c r="A96" s="630" t="str">
        <f t="shared" si="8"/>
        <v>Xeon E3-1270v5 4 core (1 chip) 3600 MHz</v>
      </c>
      <c r="B96" s="661" t="s">
        <v>1383</v>
      </c>
      <c r="C96" s="2024">
        <v>4</v>
      </c>
      <c r="D96" s="52">
        <v>4</v>
      </c>
      <c r="E96" s="639">
        <v>3600</v>
      </c>
      <c r="F96" s="2192">
        <v>258</v>
      </c>
      <c r="G96" s="2193">
        <f t="shared" si="9"/>
        <v>64.5</v>
      </c>
      <c r="H96" s="2603">
        <f t="shared" si="10"/>
        <v>1</v>
      </c>
      <c r="I96" s="646" t="s">
        <v>335</v>
      </c>
      <c r="J96" s="2048">
        <v>80</v>
      </c>
      <c r="K96" s="2647" t="s">
        <v>1422</v>
      </c>
      <c r="L96" s="1149"/>
      <c r="M96" s="1149"/>
      <c r="N96" s="1149"/>
      <c r="O96" s="1149"/>
      <c r="P96" s="2196"/>
      <c r="Q96" s="2196"/>
      <c r="R96" s="2196"/>
      <c r="S96" s="1149"/>
    </row>
    <row r="97" spans="1:19" hidden="1" outlineLevel="2" x14ac:dyDescent="0.15">
      <c r="A97" s="630" t="str">
        <f t="shared" si="8"/>
        <v>Xeon E5-2637v4 4 core (1 chip) 3500 MHz</v>
      </c>
      <c r="B97" s="661" t="s">
        <v>1393</v>
      </c>
      <c r="C97" s="2024">
        <v>4</v>
      </c>
      <c r="D97" s="52">
        <v>4</v>
      </c>
      <c r="E97" s="639">
        <v>3500</v>
      </c>
      <c r="F97" s="2192">
        <v>240</v>
      </c>
      <c r="G97" s="2193">
        <f t="shared" si="9"/>
        <v>60</v>
      </c>
      <c r="H97" s="2603">
        <f t="shared" si="10"/>
        <v>1</v>
      </c>
      <c r="I97" s="646" t="s">
        <v>335</v>
      </c>
      <c r="J97" s="2048">
        <v>135</v>
      </c>
      <c r="K97" s="2647" t="s">
        <v>1423</v>
      </c>
      <c r="L97" s="1149"/>
      <c r="M97" s="1149"/>
      <c r="N97" s="1149"/>
      <c r="O97" s="1149"/>
      <c r="P97" s="2196"/>
      <c r="Q97" s="2196"/>
      <c r="R97" s="2196"/>
      <c r="S97" s="1149"/>
    </row>
    <row r="98" spans="1:19" hidden="1" outlineLevel="2" x14ac:dyDescent="0.15">
      <c r="A98" s="630" t="str">
        <f t="shared" si="8"/>
        <v>Xeon E5-2637v4 8 core (2 chip) 3500 MHz</v>
      </c>
      <c r="B98" s="661" t="s">
        <v>1393</v>
      </c>
      <c r="C98" s="2024">
        <v>8</v>
      </c>
      <c r="D98" s="52">
        <v>4</v>
      </c>
      <c r="E98" s="639">
        <v>3500</v>
      </c>
      <c r="F98" s="2192">
        <v>479</v>
      </c>
      <c r="G98" s="2193">
        <f t="shared" si="9"/>
        <v>59.875</v>
      </c>
      <c r="H98" s="2603">
        <f t="shared" si="10"/>
        <v>2</v>
      </c>
      <c r="I98" s="646" t="s">
        <v>335</v>
      </c>
      <c r="J98" s="2048">
        <v>135</v>
      </c>
      <c r="K98" s="2647" t="s">
        <v>1423</v>
      </c>
      <c r="L98" s="1149"/>
      <c r="M98" s="1149"/>
      <c r="N98" s="1149"/>
      <c r="O98" s="1149"/>
      <c r="P98" s="2196"/>
      <c r="Q98" s="2196"/>
      <c r="R98" s="2196"/>
      <c r="S98" s="1149"/>
    </row>
    <row r="99" spans="1:19" hidden="1" outlineLevel="2" x14ac:dyDescent="0.15">
      <c r="A99" s="630" t="str">
        <f t="shared" si="8"/>
        <v>Xeon E5-2643v4 12 core (2 chip) 3400 MHz</v>
      </c>
      <c r="B99" s="661" t="s">
        <v>1394</v>
      </c>
      <c r="C99" s="2024">
        <v>12</v>
      </c>
      <c r="D99" s="52">
        <v>6</v>
      </c>
      <c r="E99" s="639">
        <v>3400</v>
      </c>
      <c r="F99" s="2192">
        <v>702</v>
      </c>
      <c r="G99" s="2193">
        <f t="shared" si="9"/>
        <v>58.5</v>
      </c>
      <c r="H99" s="2603">
        <f t="shared" si="10"/>
        <v>2</v>
      </c>
      <c r="I99" s="646" t="s">
        <v>335</v>
      </c>
      <c r="J99" s="2048">
        <v>135</v>
      </c>
      <c r="K99" s="2647" t="s">
        <v>1423</v>
      </c>
      <c r="L99" s="1149"/>
      <c r="M99" s="1149"/>
      <c r="N99" s="1149"/>
      <c r="O99" s="1149"/>
      <c r="P99" s="2196"/>
      <c r="Q99" s="2196"/>
      <c r="R99" s="2196"/>
      <c r="S99" s="1149"/>
    </row>
    <row r="100" spans="1:19" hidden="1" outlineLevel="2" x14ac:dyDescent="0.15">
      <c r="A100" s="630" t="str">
        <f t="shared" si="8"/>
        <v>Xeon E5-2667v4 16 core (2 chip) 3200 MHz</v>
      </c>
      <c r="B100" s="661" t="s">
        <v>1395</v>
      </c>
      <c r="C100" s="2024">
        <v>16</v>
      </c>
      <c r="D100" s="52">
        <v>8</v>
      </c>
      <c r="E100" s="639">
        <v>3200</v>
      </c>
      <c r="F100" s="2192">
        <v>888</v>
      </c>
      <c r="G100" s="2193">
        <f t="shared" si="9"/>
        <v>55.5</v>
      </c>
      <c r="H100" s="2603">
        <f t="shared" si="10"/>
        <v>2</v>
      </c>
      <c r="I100" s="646" t="s">
        <v>335</v>
      </c>
      <c r="J100" s="2048">
        <v>135</v>
      </c>
      <c r="K100" s="2647" t="s">
        <v>1423</v>
      </c>
      <c r="L100" s="1149"/>
      <c r="M100" s="1149"/>
      <c r="N100" s="1149"/>
      <c r="O100" s="1149"/>
      <c r="Q100" s="2196"/>
      <c r="R100" s="2196"/>
      <c r="S100" s="1149"/>
    </row>
    <row r="101" spans="1:19" s="693" customFormat="1" hidden="1" outlineLevel="2" x14ac:dyDescent="0.15">
      <c r="A101" s="630" t="str">
        <f t="shared" ref="A101:A106" si="11">CONCATENATE(B101," ",C101," core (",H101," chip) ",E101," MHz")</f>
        <v>Xeon E5-2689v4 20 core (2 chip) 3100 MHz</v>
      </c>
      <c r="B101" s="661" t="s">
        <v>1396</v>
      </c>
      <c r="C101" s="2025">
        <v>20</v>
      </c>
      <c r="D101" s="50">
        <v>10</v>
      </c>
      <c r="E101" s="639">
        <v>3100</v>
      </c>
      <c r="F101" s="2012">
        <v>1040</v>
      </c>
      <c r="G101" s="2193">
        <f>IF(F101=0,"",F101/C101)</f>
        <v>52</v>
      </c>
      <c r="H101" s="2603">
        <f>IF(C101=0,"",C101/D101)</f>
        <v>2</v>
      </c>
      <c r="I101" s="647" t="s">
        <v>335</v>
      </c>
      <c r="J101" s="2048">
        <v>165</v>
      </c>
      <c r="K101" s="2650" t="s">
        <v>1423</v>
      </c>
      <c r="L101" s="1304"/>
      <c r="M101" s="1304"/>
      <c r="N101" s="1304"/>
      <c r="O101" s="1304"/>
      <c r="P101" s="31"/>
    </row>
    <row r="102" spans="1:19" s="693" customFormat="1" hidden="1" outlineLevel="2" x14ac:dyDescent="0.15">
      <c r="A102" s="630" t="str">
        <f t="shared" si="11"/>
        <v>Xeon E5-2687Wv4 24 core (2 chip) 3000 MHz</v>
      </c>
      <c r="B102" s="661" t="s">
        <v>1397</v>
      </c>
      <c r="C102" s="2025">
        <v>24</v>
      </c>
      <c r="D102" s="50">
        <v>12</v>
      </c>
      <c r="E102" s="639">
        <v>3000</v>
      </c>
      <c r="F102" s="2012">
        <v>1180</v>
      </c>
      <c r="G102" s="2193">
        <f>IF(F102=0,"",F102/C102)</f>
        <v>49.166666666666664</v>
      </c>
      <c r="H102" s="2603">
        <f>IF(C102=0,"",C102/D102)</f>
        <v>2</v>
      </c>
      <c r="I102" s="647" t="s">
        <v>335</v>
      </c>
      <c r="J102" s="2048">
        <v>160</v>
      </c>
      <c r="K102" s="2650" t="s">
        <v>1423</v>
      </c>
      <c r="L102" s="1891"/>
      <c r="M102" s="1891"/>
      <c r="N102" s="1891"/>
      <c r="O102" s="1891"/>
      <c r="P102" s="31"/>
    </row>
    <row r="103" spans="1:19" s="693" customFormat="1" hidden="1" outlineLevel="2" x14ac:dyDescent="0.15">
      <c r="A103" s="630" t="str">
        <f t="shared" si="11"/>
        <v>Xeon E5-2690v4 28 core (2 chip) 2600 MHz</v>
      </c>
      <c r="B103" s="661" t="s">
        <v>1398</v>
      </c>
      <c r="C103" s="2025">
        <v>28</v>
      </c>
      <c r="D103" s="50">
        <v>14</v>
      </c>
      <c r="E103" s="639">
        <v>2600</v>
      </c>
      <c r="F103" s="2012">
        <v>1330</v>
      </c>
      <c r="G103" s="2193">
        <f>F103/C103</f>
        <v>47.5</v>
      </c>
      <c r="H103" s="2603">
        <f>C103/D103</f>
        <v>2</v>
      </c>
      <c r="I103" s="646" t="s">
        <v>335</v>
      </c>
      <c r="J103" s="2048">
        <v>135</v>
      </c>
      <c r="K103" s="2648" t="s">
        <v>1423</v>
      </c>
      <c r="P103" s="31"/>
    </row>
    <row r="104" spans="1:19" s="693" customFormat="1" hidden="1" outlineLevel="2" x14ac:dyDescent="0.15">
      <c r="A104" s="630" t="str">
        <f t="shared" si="11"/>
        <v>Xeon E5-2697Av4 32 core (2 chip) 2600 MHz</v>
      </c>
      <c r="B104" s="661" t="s">
        <v>1399</v>
      </c>
      <c r="C104" s="2025">
        <v>32</v>
      </c>
      <c r="D104" s="50">
        <v>16</v>
      </c>
      <c r="E104" s="639">
        <v>2600</v>
      </c>
      <c r="F104" s="2012">
        <v>1420</v>
      </c>
      <c r="G104" s="2193">
        <f>IF(F104=0,"",F104/C104)</f>
        <v>44.375</v>
      </c>
      <c r="H104" s="2603">
        <f>IF(C104=0,"",C104/D104)</f>
        <v>2</v>
      </c>
      <c r="I104" s="647" t="s">
        <v>335</v>
      </c>
      <c r="J104" s="2048">
        <v>145</v>
      </c>
      <c r="K104" s="2650" t="s">
        <v>1423</v>
      </c>
      <c r="L104" s="1304"/>
      <c r="M104" s="1304"/>
      <c r="N104" s="1304"/>
      <c r="O104" s="1304"/>
      <c r="P104" s="31"/>
    </row>
    <row r="105" spans="1:19" s="693" customFormat="1" hidden="1" outlineLevel="2" x14ac:dyDescent="0.15">
      <c r="A105" s="630" t="str">
        <f t="shared" si="11"/>
        <v>Xeon E5-2697v4 36 core (2 chip) 2300 MHz</v>
      </c>
      <c r="B105" s="661" t="s">
        <v>1400</v>
      </c>
      <c r="C105" s="2025">
        <v>36</v>
      </c>
      <c r="D105" s="50">
        <v>18</v>
      </c>
      <c r="E105" s="639">
        <v>2300</v>
      </c>
      <c r="F105" s="2012">
        <v>1510</v>
      </c>
      <c r="G105" s="2193">
        <f>IF(F105=0,"",F105/C105)</f>
        <v>41.944444444444443</v>
      </c>
      <c r="H105" s="2603">
        <f>IF(C105=0,"",C105/D105)</f>
        <v>2</v>
      </c>
      <c r="I105" s="647" t="s">
        <v>335</v>
      </c>
      <c r="J105" s="2048">
        <v>145</v>
      </c>
      <c r="K105" s="2650" t="s">
        <v>1423</v>
      </c>
      <c r="L105" s="1891"/>
      <c r="M105" s="1891"/>
      <c r="N105" s="1891"/>
      <c r="O105" s="1891"/>
      <c r="P105" s="31"/>
    </row>
    <row r="106" spans="1:19" s="693" customFormat="1" hidden="1" outlineLevel="2" x14ac:dyDescent="0.15">
      <c r="A106" s="630" t="str">
        <f t="shared" si="11"/>
        <v>Xeon E5-2699v4 44 core (2 chip) 2200 MHz</v>
      </c>
      <c r="B106" s="661" t="s">
        <v>1401</v>
      </c>
      <c r="C106" s="2025">
        <v>44</v>
      </c>
      <c r="D106" s="50">
        <v>22</v>
      </c>
      <c r="E106" s="639">
        <v>2200</v>
      </c>
      <c r="F106" s="2012">
        <v>1780</v>
      </c>
      <c r="G106" s="2193">
        <f>F106/C106</f>
        <v>40.454545454545453</v>
      </c>
      <c r="H106" s="2603">
        <f>C106/D106</f>
        <v>2</v>
      </c>
      <c r="I106" s="646" t="s">
        <v>335</v>
      </c>
      <c r="J106" s="2048">
        <v>145</v>
      </c>
      <c r="K106" s="2648" t="s">
        <v>1423</v>
      </c>
      <c r="P106" s="31"/>
    </row>
    <row r="107" spans="1:19" hidden="1" outlineLevel="1" collapsed="1" x14ac:dyDescent="0.15">
      <c r="A107" s="628" t="s">
        <v>1028</v>
      </c>
      <c r="B107" s="659" t="str">
        <f>A107</f>
        <v xml:space="preserve"> ==== 2015 DP Server Platforms ====</v>
      </c>
      <c r="C107" s="656"/>
      <c r="D107" s="2022"/>
      <c r="E107" s="2023"/>
      <c r="F107" s="2189"/>
      <c r="G107" s="2190"/>
      <c r="H107" s="2606"/>
      <c r="I107" s="645"/>
      <c r="J107" s="2191" t="s">
        <v>165</v>
      </c>
      <c r="K107" s="2652" t="s">
        <v>1029</v>
      </c>
      <c r="L107" s="1149"/>
      <c r="M107" s="1149"/>
      <c r="N107" s="1149"/>
      <c r="O107" s="1149"/>
      <c r="P107" s="2194"/>
      <c r="Q107" s="2194"/>
      <c r="R107" s="2195"/>
      <c r="S107" s="1149"/>
    </row>
    <row r="108" spans="1:19" hidden="1" outlineLevel="2" x14ac:dyDescent="0.15">
      <c r="A108" s="630" t="str">
        <f t="shared" ref="A108:A130" si="12">CONCATENATE(B108," ",C108," core (",H108," chip) ",E108," MHz")&amp;IF(ISBLANK(F108),"**","")</f>
        <v>Xeon E5-2637v3 4 core (1 chip) 3500 MHz</v>
      </c>
      <c r="B108" s="661" t="s">
        <v>1030</v>
      </c>
      <c r="C108" s="2024">
        <v>4</v>
      </c>
      <c r="D108" s="52">
        <v>4</v>
      </c>
      <c r="E108" s="639">
        <v>3500</v>
      </c>
      <c r="F108" s="2192">
        <v>235</v>
      </c>
      <c r="G108" s="2193">
        <f t="shared" ref="G108:G125" si="13">F108/C108</f>
        <v>58.75</v>
      </c>
      <c r="H108" s="2603">
        <f t="shared" ref="H108:H130" si="14">C108/D108</f>
        <v>1</v>
      </c>
      <c r="I108" s="646" t="s">
        <v>335</v>
      </c>
      <c r="J108" s="2048">
        <v>135</v>
      </c>
      <c r="K108" s="2647">
        <v>42050</v>
      </c>
      <c r="L108" s="1149"/>
      <c r="M108" s="1149"/>
      <c r="N108" s="1149"/>
      <c r="O108" s="1149"/>
      <c r="P108" s="2196"/>
      <c r="Q108" s="2196"/>
      <c r="R108" s="2196"/>
      <c r="S108" s="1149"/>
    </row>
    <row r="109" spans="1:19" hidden="1" outlineLevel="2" x14ac:dyDescent="0.15">
      <c r="A109" s="630" t="str">
        <f t="shared" si="12"/>
        <v>Xeon E5-2637v3 8 core (2 chip) 3500 MHz</v>
      </c>
      <c r="B109" s="661" t="s">
        <v>1030</v>
      </c>
      <c r="C109" s="2024">
        <v>8</v>
      </c>
      <c r="D109" s="52">
        <v>4</v>
      </c>
      <c r="E109" s="639">
        <v>3500</v>
      </c>
      <c r="F109" s="2192">
        <v>459</v>
      </c>
      <c r="G109" s="2193">
        <f t="shared" si="13"/>
        <v>57.375</v>
      </c>
      <c r="H109" s="2603">
        <f t="shared" si="14"/>
        <v>2</v>
      </c>
      <c r="I109" s="646" t="s">
        <v>335</v>
      </c>
      <c r="J109" s="2048">
        <v>135</v>
      </c>
      <c r="K109" s="2647">
        <v>41883</v>
      </c>
      <c r="L109" s="1149"/>
      <c r="M109" s="1149"/>
      <c r="N109" s="1149"/>
      <c r="O109" s="1149"/>
      <c r="P109" s="2196"/>
      <c r="Q109" s="2196"/>
      <c r="R109" s="2196"/>
      <c r="S109" s="1149"/>
    </row>
    <row r="110" spans="1:19" hidden="1" outlineLevel="2" x14ac:dyDescent="0.15">
      <c r="A110" s="630" t="str">
        <f t="shared" si="12"/>
        <v>Xeon E5-2643v3 6 core (1 chip) 3400 MHz</v>
      </c>
      <c r="B110" s="661" t="s">
        <v>1031</v>
      </c>
      <c r="C110" s="2024">
        <v>6</v>
      </c>
      <c r="D110" s="52">
        <v>6</v>
      </c>
      <c r="E110" s="639">
        <v>3400</v>
      </c>
      <c r="F110" s="2192">
        <v>344</v>
      </c>
      <c r="G110" s="2193">
        <f t="shared" si="13"/>
        <v>57.333333333333336</v>
      </c>
      <c r="H110" s="2603">
        <f t="shared" si="14"/>
        <v>1</v>
      </c>
      <c r="I110" s="646" t="s">
        <v>335</v>
      </c>
      <c r="J110" s="2048">
        <v>135</v>
      </c>
      <c r="K110" s="2647">
        <v>42036</v>
      </c>
      <c r="L110" s="1149"/>
      <c r="M110" s="1149"/>
      <c r="N110" s="1149"/>
      <c r="O110" s="1149"/>
      <c r="P110" s="2196"/>
      <c r="Q110" s="2196"/>
      <c r="R110" s="2196"/>
      <c r="S110" s="1149"/>
    </row>
    <row r="111" spans="1:19" hidden="1" outlineLevel="2" x14ac:dyDescent="0.15">
      <c r="A111" s="630" t="str">
        <f t="shared" si="12"/>
        <v>Xeon E5-2643v3 12 core (2 chip) 3400 MHz</v>
      </c>
      <c r="B111" s="661" t="s">
        <v>1031</v>
      </c>
      <c r="C111" s="2024">
        <v>12</v>
      </c>
      <c r="D111" s="52">
        <v>6</v>
      </c>
      <c r="E111" s="639">
        <v>3400</v>
      </c>
      <c r="F111" s="2192">
        <v>671</v>
      </c>
      <c r="G111" s="2193">
        <f t="shared" si="13"/>
        <v>55.916666666666664</v>
      </c>
      <c r="H111" s="2603">
        <f t="shared" si="14"/>
        <v>2</v>
      </c>
      <c r="I111" s="646" t="s">
        <v>335</v>
      </c>
      <c r="J111" s="2048">
        <v>135</v>
      </c>
      <c r="K111" s="2647">
        <v>41883</v>
      </c>
      <c r="L111" s="1149"/>
      <c r="M111" s="1149"/>
      <c r="N111" s="1149"/>
      <c r="O111" s="1149"/>
      <c r="P111" s="2196"/>
      <c r="Q111" s="2196"/>
      <c r="R111" s="2196"/>
      <c r="S111" s="1149"/>
    </row>
    <row r="112" spans="1:19" hidden="1" outlineLevel="2" x14ac:dyDescent="0.15">
      <c r="A112" s="630" t="str">
        <f t="shared" si="12"/>
        <v>Xeon E3-1231v3 4 core (1 chip) 3400 MHz</v>
      </c>
      <c r="B112" s="661" t="s">
        <v>1032</v>
      </c>
      <c r="C112" s="2024">
        <v>4</v>
      </c>
      <c r="D112" s="52">
        <v>4</v>
      </c>
      <c r="E112" s="639">
        <v>3400</v>
      </c>
      <c r="F112" s="2192">
        <v>210</v>
      </c>
      <c r="G112" s="2193">
        <f t="shared" si="13"/>
        <v>52.5</v>
      </c>
      <c r="H112" s="2603">
        <f t="shared" si="14"/>
        <v>1</v>
      </c>
      <c r="I112" s="646" t="s">
        <v>335</v>
      </c>
      <c r="J112" s="2048">
        <v>80</v>
      </c>
      <c r="K112" s="2647">
        <v>42005</v>
      </c>
      <c r="L112" s="1149"/>
      <c r="M112" s="1149"/>
      <c r="N112" s="1149"/>
      <c r="O112" s="1149"/>
      <c r="P112" s="2196"/>
      <c r="Q112" s="2196"/>
      <c r="R112" s="2196"/>
      <c r="S112" s="1149"/>
    </row>
    <row r="113" spans="1:19" hidden="1" outlineLevel="2" x14ac:dyDescent="0.15">
      <c r="A113" s="630" t="str">
        <f t="shared" si="12"/>
        <v>Xeon E5-2623v3 8 core (2 chip) 3000 MHz</v>
      </c>
      <c r="B113" s="661" t="s">
        <v>1033</v>
      </c>
      <c r="C113" s="2024">
        <v>8</v>
      </c>
      <c r="D113" s="52">
        <v>4</v>
      </c>
      <c r="E113" s="639">
        <v>3000</v>
      </c>
      <c r="F113" s="2192">
        <v>411</v>
      </c>
      <c r="G113" s="2193">
        <f t="shared" si="13"/>
        <v>51.375</v>
      </c>
      <c r="H113" s="2603">
        <f t="shared" si="14"/>
        <v>2</v>
      </c>
      <c r="I113" s="646" t="s">
        <v>335</v>
      </c>
      <c r="J113" s="2048">
        <v>105</v>
      </c>
      <c r="K113" s="2647">
        <v>42005</v>
      </c>
      <c r="L113" s="1149"/>
      <c r="M113" s="1149"/>
      <c r="N113" s="1149"/>
      <c r="O113" s="1149"/>
      <c r="P113" s="2196"/>
      <c r="Q113" s="2196"/>
      <c r="R113" s="2196"/>
      <c r="S113" s="1149"/>
    </row>
    <row r="114" spans="1:19" hidden="1" outlineLevel="2" x14ac:dyDescent="0.15">
      <c r="A114" s="630" t="str">
        <f t="shared" si="12"/>
        <v>Xeon E5-2623v3 16 core (2 chip) 3000 MHz</v>
      </c>
      <c r="B114" s="661" t="s">
        <v>1033</v>
      </c>
      <c r="C114" s="2024">
        <v>16</v>
      </c>
      <c r="D114" s="52">
        <v>8</v>
      </c>
      <c r="E114" s="639">
        <v>3000</v>
      </c>
      <c r="F114" s="2192">
        <v>805</v>
      </c>
      <c r="G114" s="2193">
        <f t="shared" si="13"/>
        <v>50.3125</v>
      </c>
      <c r="H114" s="2603">
        <f t="shared" si="14"/>
        <v>2</v>
      </c>
      <c r="I114" s="646" t="s">
        <v>335</v>
      </c>
      <c r="J114" s="2048">
        <v>105</v>
      </c>
      <c r="K114" s="2647">
        <v>42005</v>
      </c>
      <c r="L114" s="1149"/>
      <c r="M114" s="1149"/>
      <c r="N114" s="1149"/>
      <c r="O114" s="1149"/>
      <c r="P114" s="2196"/>
      <c r="Q114" s="2196"/>
      <c r="R114" s="2196"/>
      <c r="S114" s="1149"/>
    </row>
    <row r="115" spans="1:19" hidden="1" outlineLevel="2" x14ac:dyDescent="0.15">
      <c r="A115" s="630" t="str">
        <f t="shared" si="12"/>
        <v>Xeon E5-2667v3 8 core (1 chip) 3200 MHz</v>
      </c>
      <c r="B115" s="661" t="s">
        <v>1034</v>
      </c>
      <c r="C115" s="2024">
        <v>8</v>
      </c>
      <c r="D115" s="52">
        <v>8</v>
      </c>
      <c r="E115" s="639">
        <v>3200</v>
      </c>
      <c r="F115" s="2192">
        <v>417</v>
      </c>
      <c r="G115" s="2193">
        <f t="shared" si="13"/>
        <v>52.125</v>
      </c>
      <c r="H115" s="2603">
        <f t="shared" si="14"/>
        <v>1</v>
      </c>
      <c r="I115" s="646" t="s">
        <v>335</v>
      </c>
      <c r="J115" s="2048">
        <v>135</v>
      </c>
      <c r="K115" s="2647">
        <v>41883</v>
      </c>
      <c r="L115" s="1149"/>
      <c r="M115" s="1149"/>
      <c r="N115" s="1149"/>
      <c r="O115" s="1149"/>
      <c r="P115" s="2196"/>
      <c r="Q115" s="2196"/>
      <c r="R115" s="2196"/>
      <c r="S115" s="1149"/>
    </row>
    <row r="116" spans="1:19" hidden="1" outlineLevel="2" x14ac:dyDescent="0.15">
      <c r="A116" s="630" t="str">
        <f t="shared" si="12"/>
        <v>Xeon E5-2667v3 16 core (2 chip) 3200 MHz</v>
      </c>
      <c r="B116" s="661" t="s">
        <v>1034</v>
      </c>
      <c r="C116" s="2024">
        <v>16</v>
      </c>
      <c r="D116" s="52">
        <v>8</v>
      </c>
      <c r="E116" s="639">
        <v>3200</v>
      </c>
      <c r="F116" s="2192">
        <v>816</v>
      </c>
      <c r="G116" s="2193">
        <f t="shared" si="13"/>
        <v>51</v>
      </c>
      <c r="H116" s="2603">
        <f t="shared" si="14"/>
        <v>2</v>
      </c>
      <c r="I116" s="646" t="s">
        <v>335</v>
      </c>
      <c r="J116" s="2048">
        <v>135</v>
      </c>
      <c r="K116" s="2647">
        <v>41883</v>
      </c>
      <c r="L116" s="1149"/>
      <c r="M116" s="1149"/>
      <c r="N116" s="1149"/>
      <c r="O116" s="1149"/>
      <c r="P116" s="2196"/>
      <c r="Q116" s="2196"/>
      <c r="R116" s="2196"/>
      <c r="S116" s="1149"/>
    </row>
    <row r="117" spans="1:19" hidden="1" outlineLevel="2" x14ac:dyDescent="0.15">
      <c r="A117" s="630" t="str">
        <f t="shared" si="12"/>
        <v>Xeon E5-2687Wv3 20 core (2 chip) 3100 MHz</v>
      </c>
      <c r="B117" s="661" t="s">
        <v>1035</v>
      </c>
      <c r="C117" s="2024">
        <v>20</v>
      </c>
      <c r="D117" s="52">
        <v>10</v>
      </c>
      <c r="E117" s="639">
        <v>3100</v>
      </c>
      <c r="F117" s="2192">
        <v>954</v>
      </c>
      <c r="G117" s="2193">
        <f t="shared" si="13"/>
        <v>47.7</v>
      </c>
      <c r="H117" s="2603">
        <f t="shared" si="14"/>
        <v>2</v>
      </c>
      <c r="I117" s="646" t="s">
        <v>335</v>
      </c>
      <c r="J117" s="2048">
        <v>160</v>
      </c>
      <c r="K117" s="2647">
        <v>42005</v>
      </c>
      <c r="L117" s="1149"/>
      <c r="M117" s="1149"/>
      <c r="N117" s="1149"/>
      <c r="O117" s="1149"/>
      <c r="P117" s="2196"/>
      <c r="Q117" s="2196"/>
      <c r="R117" s="2196"/>
      <c r="S117" s="1149"/>
    </row>
    <row r="118" spans="1:19" hidden="1" outlineLevel="2" x14ac:dyDescent="0.15">
      <c r="A118" s="630" t="str">
        <f t="shared" si="12"/>
        <v>Xeon E5-2680v3 12 core (1 chip) 2500 MHz</v>
      </c>
      <c r="B118" s="661" t="s">
        <v>1220</v>
      </c>
      <c r="C118" s="2024">
        <v>12</v>
      </c>
      <c r="D118" s="52">
        <v>12</v>
      </c>
      <c r="E118" s="639">
        <v>2500</v>
      </c>
      <c r="F118" s="2192">
        <v>532</v>
      </c>
      <c r="G118" s="2193">
        <f t="shared" si="13"/>
        <v>44.333333333333336</v>
      </c>
      <c r="H118" s="2603">
        <f t="shared" si="14"/>
        <v>1</v>
      </c>
      <c r="I118" s="646" t="s">
        <v>335</v>
      </c>
      <c r="J118" s="2048">
        <v>120</v>
      </c>
      <c r="K118" s="2647">
        <v>42050</v>
      </c>
      <c r="L118" s="1149"/>
      <c r="M118" s="1149"/>
      <c r="N118" s="1149"/>
      <c r="O118" s="1149"/>
      <c r="P118" s="2196"/>
      <c r="Q118" s="2196"/>
      <c r="R118" s="2196"/>
      <c r="S118" s="1149"/>
    </row>
    <row r="119" spans="1:19" hidden="1" outlineLevel="2" x14ac:dyDescent="0.15">
      <c r="A119" s="630" t="str">
        <f t="shared" si="12"/>
        <v>Xeon E5-2680v3 24 core (2 chip) 2500 MHz</v>
      </c>
      <c r="B119" s="661" t="s">
        <v>1220</v>
      </c>
      <c r="C119" s="2024">
        <v>24</v>
      </c>
      <c r="D119" s="52">
        <v>12</v>
      </c>
      <c r="E119" s="639">
        <v>2500</v>
      </c>
      <c r="F119" s="2192">
        <v>1050</v>
      </c>
      <c r="G119" s="2193">
        <f t="shared" si="13"/>
        <v>43.75</v>
      </c>
      <c r="H119" s="2603">
        <f t="shared" si="14"/>
        <v>2</v>
      </c>
      <c r="I119" s="646" t="s">
        <v>335</v>
      </c>
      <c r="J119" s="2048">
        <v>120</v>
      </c>
      <c r="K119" s="2647">
        <v>42050</v>
      </c>
      <c r="L119" s="1149"/>
      <c r="M119" s="1149"/>
      <c r="N119" s="1149"/>
      <c r="O119" s="1149"/>
      <c r="P119" s="2196"/>
      <c r="Q119" s="2196"/>
      <c r="R119" s="2196"/>
      <c r="S119" s="1149"/>
    </row>
    <row r="120" spans="1:19" hidden="1" outlineLevel="2" x14ac:dyDescent="0.15">
      <c r="A120" s="630" t="str">
        <f t="shared" si="12"/>
        <v>Xeon E5-2690v3 24 core (2 chip) 2600 MHz</v>
      </c>
      <c r="B120" s="661" t="s">
        <v>1036</v>
      </c>
      <c r="C120" s="2024">
        <v>24</v>
      </c>
      <c r="D120" s="52">
        <v>12</v>
      </c>
      <c r="E120" s="639">
        <v>2600</v>
      </c>
      <c r="F120" s="2192">
        <v>1100</v>
      </c>
      <c r="G120" s="2193">
        <f t="shared" si="13"/>
        <v>45.833333333333336</v>
      </c>
      <c r="H120" s="2603">
        <f t="shared" si="14"/>
        <v>2</v>
      </c>
      <c r="I120" s="646" t="s">
        <v>335</v>
      </c>
      <c r="J120" s="2048">
        <v>135</v>
      </c>
      <c r="K120" s="2647">
        <v>42005</v>
      </c>
      <c r="L120" s="1149"/>
      <c r="M120" s="1149"/>
      <c r="N120" s="1149"/>
      <c r="O120" s="1149"/>
      <c r="P120" s="2196"/>
      <c r="Q120" s="2196"/>
      <c r="R120" s="2196"/>
      <c r="S120" s="1149"/>
    </row>
    <row r="121" spans="1:19" hidden="1" outlineLevel="2" x14ac:dyDescent="0.15">
      <c r="A121" s="630" t="str">
        <f t="shared" si="12"/>
        <v>Xeon E5-2660v3 10 core (1 chip) 2600 MHz</v>
      </c>
      <c r="B121" s="661" t="s">
        <v>1037</v>
      </c>
      <c r="C121" s="2024">
        <v>10</v>
      </c>
      <c r="D121" s="52">
        <v>10</v>
      </c>
      <c r="E121" s="639">
        <v>2600</v>
      </c>
      <c r="F121" s="2192">
        <v>450</v>
      </c>
      <c r="G121" s="2193">
        <f t="shared" si="13"/>
        <v>45</v>
      </c>
      <c r="H121" s="2603">
        <f t="shared" si="14"/>
        <v>1</v>
      </c>
      <c r="I121" s="646" t="s">
        <v>335</v>
      </c>
      <c r="J121" s="2048">
        <v>105</v>
      </c>
      <c r="K121" s="2647">
        <v>41883</v>
      </c>
      <c r="L121" s="1149"/>
      <c r="M121" s="1149"/>
      <c r="N121" s="1149"/>
      <c r="O121" s="1149"/>
      <c r="P121" s="2196"/>
      <c r="Q121" s="2196"/>
      <c r="R121" s="2196"/>
      <c r="S121" s="1149"/>
    </row>
    <row r="122" spans="1:19" hidden="1" outlineLevel="2" x14ac:dyDescent="0.15">
      <c r="A122" s="630" t="str">
        <f t="shared" si="12"/>
        <v>Xeon E5-2660v3 20 core (2 chip) 2600 MHz</v>
      </c>
      <c r="B122" s="661" t="s">
        <v>1037</v>
      </c>
      <c r="C122" s="2024">
        <v>20</v>
      </c>
      <c r="D122" s="52">
        <v>10</v>
      </c>
      <c r="E122" s="639">
        <v>2600</v>
      </c>
      <c r="F122" s="2192">
        <v>893</v>
      </c>
      <c r="G122" s="2193">
        <f t="shared" si="13"/>
        <v>44.65</v>
      </c>
      <c r="H122" s="2603">
        <f t="shared" si="14"/>
        <v>2</v>
      </c>
      <c r="I122" s="646" t="s">
        <v>335</v>
      </c>
      <c r="J122" s="2048">
        <v>105</v>
      </c>
      <c r="K122" s="2647">
        <v>41883</v>
      </c>
      <c r="L122" s="1149"/>
      <c r="M122" s="1149"/>
      <c r="N122" s="1149"/>
      <c r="O122" s="1149"/>
      <c r="P122" s="2196"/>
      <c r="Q122" s="2196"/>
      <c r="R122" s="2196"/>
      <c r="S122" s="1149"/>
    </row>
    <row r="123" spans="1:19" hidden="1" outlineLevel="2" x14ac:dyDescent="0.15">
      <c r="A123" s="630" t="str">
        <f t="shared" si="12"/>
        <v>Xeon E5-2640v3 16 core (2 chip) 2600 MHz</v>
      </c>
      <c r="B123" s="661" t="s">
        <v>1038</v>
      </c>
      <c r="C123" s="2024">
        <v>16</v>
      </c>
      <c r="D123" s="52">
        <v>8</v>
      </c>
      <c r="E123" s="639">
        <v>2600</v>
      </c>
      <c r="F123" s="2192">
        <v>703</v>
      </c>
      <c r="G123" s="2193">
        <f t="shared" si="13"/>
        <v>43.9375</v>
      </c>
      <c r="H123" s="2603">
        <f t="shared" si="14"/>
        <v>2</v>
      </c>
      <c r="I123" s="646" t="s">
        <v>335</v>
      </c>
      <c r="J123" s="2048">
        <v>90</v>
      </c>
      <c r="K123" s="2647">
        <v>42005</v>
      </c>
      <c r="L123" s="1149"/>
      <c r="M123" s="1149"/>
      <c r="N123" s="1149"/>
      <c r="O123" s="1149"/>
      <c r="P123" s="2196"/>
      <c r="Q123" s="2196"/>
      <c r="R123" s="2196"/>
      <c r="S123" s="1149"/>
    </row>
    <row r="124" spans="1:19" s="693" customFormat="1" hidden="1" outlineLevel="2" x14ac:dyDescent="0.15">
      <c r="A124" s="630" t="str">
        <f>CONCATENATE(B124," ",C124," core (",H124," chip) ",E124," MHz")</f>
        <v>Xeon E5-2695v3 28 core (2 chip) 2300 MHz</v>
      </c>
      <c r="B124" s="661" t="s">
        <v>1308</v>
      </c>
      <c r="C124" s="2025">
        <v>28</v>
      </c>
      <c r="D124" s="50">
        <v>14</v>
      </c>
      <c r="E124" s="639">
        <v>2300</v>
      </c>
      <c r="F124" s="2012">
        <v>1160</v>
      </c>
      <c r="G124" s="2015">
        <f>IF(F124=0,"",F124/C124)</f>
        <v>41.428571428571431</v>
      </c>
      <c r="H124" s="2603">
        <f>IF(C124=0,"",C124/D124)</f>
        <v>2</v>
      </c>
      <c r="I124" s="647" t="s">
        <v>335</v>
      </c>
      <c r="J124" s="2048">
        <v>130</v>
      </c>
      <c r="K124" s="2654" t="s">
        <v>1424</v>
      </c>
      <c r="L124" s="1304"/>
      <c r="M124" s="1304"/>
      <c r="N124" s="1304"/>
      <c r="O124" s="1304"/>
      <c r="P124" s="1305"/>
    </row>
    <row r="125" spans="1:19" hidden="1" outlineLevel="2" x14ac:dyDescent="0.15">
      <c r="A125" s="630" t="str">
        <f t="shared" si="12"/>
        <v>Xeon E5-2697v3 28 core (2 chip) 2600 MHz</v>
      </c>
      <c r="B125" s="661" t="s">
        <v>1039</v>
      </c>
      <c r="C125" s="2024">
        <v>28</v>
      </c>
      <c r="D125" s="52">
        <v>14</v>
      </c>
      <c r="E125" s="639">
        <v>2600</v>
      </c>
      <c r="F125" s="2192">
        <v>1210</v>
      </c>
      <c r="G125" s="2193">
        <f t="shared" si="13"/>
        <v>43.214285714285715</v>
      </c>
      <c r="H125" s="2603">
        <f t="shared" si="14"/>
        <v>2</v>
      </c>
      <c r="I125" s="646" t="s">
        <v>335</v>
      </c>
      <c r="J125" s="2048">
        <v>145</v>
      </c>
      <c r="K125" s="2647">
        <v>42005</v>
      </c>
      <c r="L125" s="1149"/>
      <c r="M125" s="1149"/>
      <c r="N125" s="1149"/>
      <c r="O125" s="1149"/>
      <c r="P125" s="2196"/>
      <c r="Q125" s="2196"/>
      <c r="R125" s="2196"/>
      <c r="S125" s="1149"/>
    </row>
    <row r="126" spans="1:19" hidden="1" outlineLevel="2" x14ac:dyDescent="0.15">
      <c r="A126" s="630" t="str">
        <f t="shared" si="12"/>
        <v>Xeon E5-2698v3 32 core (2 chip) 2300 MHz</v>
      </c>
      <c r="B126" s="661" t="s">
        <v>1385</v>
      </c>
      <c r="C126" s="2024">
        <v>32</v>
      </c>
      <c r="D126" s="52">
        <v>16</v>
      </c>
      <c r="E126" s="639">
        <v>2300</v>
      </c>
      <c r="F126" s="2192">
        <v>1290</v>
      </c>
      <c r="G126" s="2193">
        <f>F126/C126</f>
        <v>40.3125</v>
      </c>
      <c r="H126" s="2603">
        <f t="shared" si="14"/>
        <v>2</v>
      </c>
      <c r="I126" s="646" t="s">
        <v>335</v>
      </c>
      <c r="J126" s="2048">
        <v>135</v>
      </c>
      <c r="K126" s="2647">
        <v>42050</v>
      </c>
      <c r="L126" s="1149"/>
      <c r="M126" s="1149"/>
      <c r="N126" s="1149"/>
      <c r="O126" s="1149"/>
      <c r="P126" s="2196"/>
      <c r="Q126" s="2196"/>
      <c r="R126" s="2196"/>
      <c r="S126" s="1149"/>
    </row>
    <row r="127" spans="1:19" hidden="1" outlineLevel="2" x14ac:dyDescent="0.15">
      <c r="A127" s="630" t="str">
        <f t="shared" si="12"/>
        <v>Xeon E5-2699v3 36 core (2 chip) 2300 MHz</v>
      </c>
      <c r="B127" s="661" t="s">
        <v>1386</v>
      </c>
      <c r="C127" s="2024">
        <v>36</v>
      </c>
      <c r="D127" s="52">
        <v>18</v>
      </c>
      <c r="E127" s="639">
        <v>2300</v>
      </c>
      <c r="F127" s="2192">
        <v>1440</v>
      </c>
      <c r="G127" s="2193">
        <f>F127/C127</f>
        <v>40</v>
      </c>
      <c r="H127" s="2603">
        <f t="shared" si="14"/>
        <v>2</v>
      </c>
      <c r="I127" s="646" t="s">
        <v>335</v>
      </c>
      <c r="J127" s="2048">
        <v>135</v>
      </c>
      <c r="K127" s="2647">
        <v>42050</v>
      </c>
      <c r="L127" s="1149"/>
      <c r="M127" s="1149"/>
      <c r="N127" s="1149"/>
      <c r="O127" s="1149"/>
      <c r="P127" s="2196"/>
      <c r="Q127" s="2196"/>
      <c r="R127" s="2196"/>
      <c r="S127" s="1149"/>
    </row>
    <row r="128" spans="1:19" hidden="1" outlineLevel="2" x14ac:dyDescent="0.15">
      <c r="A128" s="630" t="str">
        <f t="shared" si="12"/>
        <v>Xeon E7-8891v3 40 core (4 chip) 2800 MHz</v>
      </c>
      <c r="B128" s="661" t="s">
        <v>1387</v>
      </c>
      <c r="C128" s="2024">
        <v>40</v>
      </c>
      <c r="D128" s="52">
        <v>10</v>
      </c>
      <c r="E128" s="639">
        <v>2800</v>
      </c>
      <c r="F128" s="2192">
        <v>1920</v>
      </c>
      <c r="G128" s="2193">
        <f>F128/C128</f>
        <v>48</v>
      </c>
      <c r="H128" s="2603">
        <f t="shared" si="14"/>
        <v>4</v>
      </c>
      <c r="I128" s="646" t="s">
        <v>335</v>
      </c>
      <c r="J128" s="2048">
        <v>145</v>
      </c>
      <c r="K128" s="2647">
        <v>42005</v>
      </c>
      <c r="L128" s="1149"/>
      <c r="M128" s="1149"/>
      <c r="N128" s="1149"/>
      <c r="O128" s="1149"/>
      <c r="P128" s="2196"/>
      <c r="Q128" s="2196"/>
      <c r="R128" s="2196"/>
      <c r="S128" s="1149"/>
    </row>
    <row r="129" spans="1:19" hidden="1" outlineLevel="2" x14ac:dyDescent="0.15">
      <c r="A129" s="630" t="str">
        <f t="shared" si="12"/>
        <v>Xeon E7-8891v3 80 core (8 chip) 2800 MHz</v>
      </c>
      <c r="B129" s="661" t="s">
        <v>1387</v>
      </c>
      <c r="C129" s="2024">
        <v>80</v>
      </c>
      <c r="D129" s="52">
        <v>10</v>
      </c>
      <c r="E129" s="639">
        <v>2800</v>
      </c>
      <c r="F129" s="2192">
        <v>3780</v>
      </c>
      <c r="G129" s="2193">
        <f>F129/C129</f>
        <v>47.25</v>
      </c>
      <c r="H129" s="2603">
        <f t="shared" si="14"/>
        <v>8</v>
      </c>
      <c r="I129" s="646" t="s">
        <v>335</v>
      </c>
      <c r="J129" s="2048">
        <v>145</v>
      </c>
      <c r="K129" s="2647">
        <v>42005</v>
      </c>
      <c r="L129" s="1149"/>
      <c r="M129" s="1149"/>
      <c r="N129" s="1149"/>
      <c r="O129" s="1149"/>
      <c r="P129" s="2196"/>
      <c r="Q129" s="2196"/>
      <c r="R129" s="2196"/>
      <c r="S129" s="1149"/>
    </row>
    <row r="130" spans="1:19" hidden="1" outlineLevel="2" x14ac:dyDescent="0.15">
      <c r="A130" s="630" t="str">
        <f t="shared" si="12"/>
        <v>Xeon E7-8891v3 80 core (8 chip) 2800 MHz</v>
      </c>
      <c r="B130" s="661" t="s">
        <v>1387</v>
      </c>
      <c r="C130" s="2024">
        <v>80</v>
      </c>
      <c r="D130" s="52">
        <v>10</v>
      </c>
      <c r="E130" s="639">
        <v>2800</v>
      </c>
      <c r="F130" s="2192">
        <v>3780</v>
      </c>
      <c r="G130" s="2193">
        <f>F130/C130</f>
        <v>47.25</v>
      </c>
      <c r="H130" s="2603">
        <f t="shared" si="14"/>
        <v>8</v>
      </c>
      <c r="I130" s="646" t="s">
        <v>335</v>
      </c>
      <c r="J130" s="2048">
        <v>145</v>
      </c>
      <c r="K130" s="2647">
        <v>42005</v>
      </c>
      <c r="L130" s="1149"/>
      <c r="M130" s="1149"/>
      <c r="N130" s="1149"/>
      <c r="O130" s="1149"/>
      <c r="P130" s="2196"/>
      <c r="Q130" s="2196"/>
      <c r="R130" s="2196"/>
      <c r="S130" s="1149"/>
    </row>
    <row r="131" spans="1:19" hidden="1" outlineLevel="1" collapsed="1" x14ac:dyDescent="0.15">
      <c r="A131" s="628" t="s">
        <v>914</v>
      </c>
      <c r="B131" s="659" t="str">
        <f>A131</f>
        <v xml:space="preserve"> ==== 2014 DP Server Platforms ====</v>
      </c>
      <c r="C131" s="656"/>
      <c r="D131" s="2022"/>
      <c r="E131" s="2023"/>
      <c r="F131" s="2010"/>
      <c r="G131" s="2017"/>
      <c r="H131" s="2606"/>
      <c r="I131" s="645"/>
      <c r="J131" s="672" t="s">
        <v>165</v>
      </c>
      <c r="K131" s="2651"/>
    </row>
    <row r="132" spans="1:19" hidden="1" outlineLevel="2" x14ac:dyDescent="0.15">
      <c r="A132" s="630" t="str">
        <f>CONCATENATE(B132," ",C132," core (",H132," chip) ",E132," MHz")&amp;IF(ISBLANK(F132),"**","")</f>
        <v>Xeon E3-1270v3 4 core (1 chip) 3500 MHz</v>
      </c>
      <c r="B132" s="660" t="s">
        <v>921</v>
      </c>
      <c r="C132" s="2024">
        <v>4</v>
      </c>
      <c r="D132" s="52">
        <v>4</v>
      </c>
      <c r="E132" s="639">
        <v>3500</v>
      </c>
      <c r="F132" s="2011">
        <v>212</v>
      </c>
      <c r="G132" s="2015">
        <f>F132/C132</f>
        <v>53</v>
      </c>
      <c r="H132" s="2604">
        <f>C132/D132</f>
        <v>1</v>
      </c>
      <c r="I132" s="646" t="s">
        <v>335</v>
      </c>
      <c r="J132" s="2048">
        <v>80</v>
      </c>
      <c r="K132" s="2650"/>
    </row>
    <row r="133" spans="1:19" s="693" customFormat="1" hidden="1" outlineLevel="2" x14ac:dyDescent="0.15">
      <c r="A133" s="630" t="str">
        <f t="shared" ref="A133:A139" si="15">CONCATENATE(B133," ",C133," core (",H133," chip) ",E133," MHz")</f>
        <v>Xeon E5-2637v2 4 core (1 chip) 3500 MHz</v>
      </c>
      <c r="B133" s="661" t="s">
        <v>915</v>
      </c>
      <c r="C133" s="2025">
        <v>4</v>
      </c>
      <c r="D133" s="50">
        <v>4</v>
      </c>
      <c r="E133" s="639">
        <v>3500</v>
      </c>
      <c r="F133" s="2012">
        <v>211</v>
      </c>
      <c r="G133" s="2015">
        <f t="shared" ref="G133:G139" si="16">IF(F133=0,"",F133/C133)</f>
        <v>52.75</v>
      </c>
      <c r="H133" s="2603">
        <f t="shared" ref="H133:H139" si="17">IF(C133=0,"",C133/D133)</f>
        <v>1</v>
      </c>
      <c r="I133" s="647" t="s">
        <v>335</v>
      </c>
      <c r="J133" s="2048">
        <v>130</v>
      </c>
      <c r="K133" s="2650"/>
      <c r="L133" s="1304"/>
      <c r="M133" s="1304"/>
      <c r="N133" s="1304"/>
      <c r="O133" s="1304"/>
      <c r="P133" s="1305"/>
    </row>
    <row r="134" spans="1:19" s="693" customFormat="1" hidden="1" outlineLevel="2" x14ac:dyDescent="0.15">
      <c r="A134" s="630" t="str">
        <f t="shared" si="15"/>
        <v>Xeon E5-2637v2 8 core (2 chip) 3500 MHz</v>
      </c>
      <c r="B134" s="661" t="s">
        <v>915</v>
      </c>
      <c r="C134" s="2025">
        <v>8</v>
      </c>
      <c r="D134" s="50">
        <v>4</v>
      </c>
      <c r="E134" s="639">
        <v>3500</v>
      </c>
      <c r="F134" s="2012">
        <v>412</v>
      </c>
      <c r="G134" s="2015">
        <f t="shared" si="16"/>
        <v>51.5</v>
      </c>
      <c r="H134" s="2603">
        <f t="shared" si="17"/>
        <v>2</v>
      </c>
      <c r="I134" s="647" t="s">
        <v>335</v>
      </c>
      <c r="J134" s="2048">
        <v>130</v>
      </c>
      <c r="K134" s="2650"/>
      <c r="L134" s="1304"/>
      <c r="M134" s="1304"/>
      <c r="N134" s="1304"/>
      <c r="O134" s="1304"/>
      <c r="P134" s="1305"/>
    </row>
    <row r="135" spans="1:19" s="693" customFormat="1" hidden="1" outlineLevel="2" x14ac:dyDescent="0.15">
      <c r="A135" s="630" t="str">
        <f t="shared" si="15"/>
        <v>Xeon E5-2643v2 12 core (2 chip) 3500 MHz</v>
      </c>
      <c r="B135" s="661" t="s">
        <v>916</v>
      </c>
      <c r="C135" s="2025">
        <v>12</v>
      </c>
      <c r="D135" s="50">
        <v>6</v>
      </c>
      <c r="E135" s="639">
        <v>3500</v>
      </c>
      <c r="F135" s="2012">
        <v>617</v>
      </c>
      <c r="G135" s="2015">
        <f t="shared" si="16"/>
        <v>51.416666666666664</v>
      </c>
      <c r="H135" s="2603">
        <f t="shared" si="17"/>
        <v>2</v>
      </c>
      <c r="I135" s="647" t="s">
        <v>335</v>
      </c>
      <c r="J135" s="2048">
        <v>130</v>
      </c>
      <c r="K135" s="2650"/>
      <c r="L135" s="1304"/>
      <c r="M135" s="1304"/>
      <c r="N135" s="1304"/>
      <c r="O135" s="1304"/>
      <c r="P135" s="1305"/>
    </row>
    <row r="136" spans="1:19" s="693" customFormat="1" hidden="1" outlineLevel="2" x14ac:dyDescent="0.15">
      <c r="A136" s="630" t="str">
        <f t="shared" si="15"/>
        <v>Xeon E5-2667v2 16 core (2 chip) 3300 MHz</v>
      </c>
      <c r="B136" s="661" t="s">
        <v>917</v>
      </c>
      <c r="C136" s="2025">
        <v>16</v>
      </c>
      <c r="D136" s="50">
        <v>8</v>
      </c>
      <c r="E136" s="639">
        <v>3300</v>
      </c>
      <c r="F136" s="2012">
        <v>785</v>
      </c>
      <c r="G136" s="2015">
        <f t="shared" si="16"/>
        <v>49.0625</v>
      </c>
      <c r="H136" s="2603">
        <f t="shared" si="17"/>
        <v>2</v>
      </c>
      <c r="I136" s="647" t="s">
        <v>335</v>
      </c>
      <c r="J136" s="2048">
        <v>130</v>
      </c>
      <c r="K136" s="2650"/>
      <c r="L136" s="1304"/>
      <c r="M136" s="1304"/>
      <c r="N136" s="1304"/>
      <c r="O136" s="1304"/>
      <c r="P136" s="1305"/>
    </row>
    <row r="137" spans="1:19" s="693" customFormat="1" hidden="1" outlineLevel="2" x14ac:dyDescent="0.15">
      <c r="A137" s="630" t="str">
        <f t="shared" si="15"/>
        <v>Xeon E5-2690v2 20 core (2 chip) 3000 MHz</v>
      </c>
      <c r="B137" s="661" t="s">
        <v>918</v>
      </c>
      <c r="C137" s="2025">
        <v>20</v>
      </c>
      <c r="D137" s="50">
        <v>10</v>
      </c>
      <c r="E137" s="639">
        <v>3000</v>
      </c>
      <c r="F137" s="2012">
        <v>871</v>
      </c>
      <c r="G137" s="2015">
        <f t="shared" si="16"/>
        <v>43.55</v>
      </c>
      <c r="H137" s="2603">
        <f t="shared" si="17"/>
        <v>2</v>
      </c>
      <c r="I137" s="647" t="s">
        <v>335</v>
      </c>
      <c r="J137" s="2048">
        <v>130</v>
      </c>
      <c r="K137" s="2650"/>
      <c r="L137" s="1304"/>
      <c r="M137" s="1304"/>
      <c r="N137" s="1304"/>
      <c r="O137" s="1304"/>
      <c r="P137" s="1305"/>
    </row>
    <row r="138" spans="1:19" s="693" customFormat="1" hidden="1" outlineLevel="2" x14ac:dyDescent="0.15">
      <c r="A138" s="630" t="str">
        <f t="shared" si="15"/>
        <v>Xeon E5-2680v2 20 core (2 chip) 2800 MHz</v>
      </c>
      <c r="B138" s="661" t="s">
        <v>1178</v>
      </c>
      <c r="C138" s="2025">
        <v>20</v>
      </c>
      <c r="D138" s="50">
        <v>10</v>
      </c>
      <c r="E138" s="639">
        <v>2800</v>
      </c>
      <c r="F138" s="2012">
        <v>830</v>
      </c>
      <c r="G138" s="2015">
        <f t="shared" si="16"/>
        <v>41.5</v>
      </c>
      <c r="H138" s="2603">
        <f t="shared" si="17"/>
        <v>2</v>
      </c>
      <c r="I138" s="647" t="s">
        <v>335</v>
      </c>
      <c r="J138" s="2048">
        <v>130</v>
      </c>
      <c r="K138" s="2650"/>
      <c r="L138" s="1304"/>
      <c r="M138" s="1304"/>
      <c r="N138" s="1304"/>
      <c r="O138" s="1304"/>
      <c r="P138" s="1305"/>
    </row>
    <row r="139" spans="1:19" s="693" customFormat="1" hidden="1" outlineLevel="2" x14ac:dyDescent="0.15">
      <c r="A139" s="630" t="str">
        <f t="shared" si="15"/>
        <v>Xeon E5-2695v2 24 core (2 chip) 2400 MHz</v>
      </c>
      <c r="B139" s="661" t="s">
        <v>1307</v>
      </c>
      <c r="C139" s="2025">
        <v>24</v>
      </c>
      <c r="D139" s="50">
        <v>12</v>
      </c>
      <c r="E139" s="639">
        <v>2400</v>
      </c>
      <c r="F139" s="2012">
        <v>894</v>
      </c>
      <c r="G139" s="2015">
        <f t="shared" si="16"/>
        <v>37.25</v>
      </c>
      <c r="H139" s="2603">
        <f t="shared" si="17"/>
        <v>2</v>
      </c>
      <c r="I139" s="647" t="s">
        <v>335</v>
      </c>
      <c r="J139" s="2048">
        <v>130</v>
      </c>
      <c r="K139" s="2650"/>
      <c r="L139" s="1304"/>
      <c r="M139" s="1304"/>
      <c r="N139" s="1304"/>
      <c r="O139" s="1304"/>
      <c r="P139" s="1305"/>
    </row>
    <row r="140" spans="1:19" hidden="1" outlineLevel="1" collapsed="1" x14ac:dyDescent="0.15">
      <c r="A140" s="628" t="s">
        <v>909</v>
      </c>
      <c r="B140" s="659" t="str">
        <f>A140</f>
        <v xml:space="preserve"> ==== 2014 MP Server Platforms ====</v>
      </c>
      <c r="C140" s="656"/>
      <c r="D140" s="2022"/>
      <c r="E140" s="2023"/>
      <c r="F140" s="2010"/>
      <c r="G140" s="2017"/>
      <c r="H140" s="2606"/>
      <c r="I140" s="645"/>
      <c r="J140" s="672" t="s">
        <v>165</v>
      </c>
      <c r="K140" s="2651"/>
    </row>
    <row r="141" spans="1:19" hidden="1" outlineLevel="2" x14ac:dyDescent="0.15">
      <c r="A141" s="630" t="str">
        <f>CONCATENATE(B141," ",C141," core (",H141," chip) ",E141," MHz")</f>
        <v>Xeon E7-8893v2 24 core (2 chip) 3400 MHz</v>
      </c>
      <c r="B141" s="660" t="s">
        <v>919</v>
      </c>
      <c r="C141" s="2024">
        <v>24</v>
      </c>
      <c r="D141" s="52">
        <v>12</v>
      </c>
      <c r="E141" s="639">
        <v>3400</v>
      </c>
      <c r="F141" s="2011">
        <v>1150</v>
      </c>
      <c r="G141" s="2015">
        <f>F141/C141</f>
        <v>47.916666666666664</v>
      </c>
      <c r="H141" s="2603">
        <f>C141/D141</f>
        <v>2</v>
      </c>
      <c r="I141" s="646" t="s">
        <v>335</v>
      </c>
      <c r="J141" s="2048">
        <v>155</v>
      </c>
      <c r="K141" s="2650"/>
      <c r="L141" s="1304"/>
      <c r="M141" s="1304"/>
      <c r="N141" s="1304"/>
      <c r="O141" s="1304"/>
      <c r="P141" s="1305"/>
    </row>
    <row r="142" spans="1:19" hidden="1" outlineLevel="2" x14ac:dyDescent="0.15">
      <c r="A142" s="630" t="str">
        <f>CONCATENATE(B142," ",C142," core (",H142," chip) ",E142," MHz")</f>
        <v>Xeon E7-2890v2 30 core (2 chip) 2800 MHz</v>
      </c>
      <c r="B142" s="660" t="s">
        <v>906</v>
      </c>
      <c r="C142" s="2024">
        <v>30</v>
      </c>
      <c r="D142" s="52">
        <v>15</v>
      </c>
      <c r="E142" s="639">
        <v>2800</v>
      </c>
      <c r="F142" s="2011">
        <v>1170</v>
      </c>
      <c r="G142" s="2015">
        <f>F142/C142</f>
        <v>39</v>
      </c>
      <c r="H142" s="2603">
        <f>C142/D142</f>
        <v>2</v>
      </c>
      <c r="I142" s="646" t="s">
        <v>335</v>
      </c>
      <c r="J142" s="2048">
        <v>155</v>
      </c>
      <c r="K142" s="2650"/>
      <c r="L142" s="1304"/>
      <c r="M142" s="1304"/>
      <c r="N142" s="1304"/>
      <c r="O142" s="1304"/>
      <c r="P142" s="1305"/>
    </row>
    <row r="143" spans="1:19" hidden="1" outlineLevel="2" x14ac:dyDescent="0.15">
      <c r="A143" s="630" t="str">
        <f>CONCATENATE(B143," ",C143," core (",H143," chip) ",E143," MHz")</f>
        <v>Xeon E7-4890v2 60 core (4 chip) 2800 MHz</v>
      </c>
      <c r="B143" s="660" t="s">
        <v>907</v>
      </c>
      <c r="C143" s="2024">
        <v>60</v>
      </c>
      <c r="D143" s="52">
        <v>15</v>
      </c>
      <c r="E143" s="639">
        <v>2800</v>
      </c>
      <c r="F143" s="2011">
        <v>2320</v>
      </c>
      <c r="G143" s="2015">
        <f>F143/C143</f>
        <v>38.666666666666664</v>
      </c>
      <c r="H143" s="2603">
        <f>C143/D143</f>
        <v>4</v>
      </c>
      <c r="I143" s="646" t="s">
        <v>335</v>
      </c>
      <c r="J143" s="2048">
        <v>155</v>
      </c>
      <c r="K143" s="2650"/>
      <c r="L143" s="1304"/>
      <c r="M143" s="1304"/>
      <c r="N143" s="1304"/>
      <c r="O143" s="1304"/>
      <c r="P143" s="1305"/>
    </row>
    <row r="144" spans="1:19" hidden="1" outlineLevel="2" x14ac:dyDescent="0.15">
      <c r="A144" s="630" t="str">
        <f>CONCATENATE(B144," ",C144," core (",H144," chip) ",E144," MHz")</f>
        <v>Xeon E7-8891v2 40 core (4 chip) 3200 MHz</v>
      </c>
      <c r="B144" s="660" t="s">
        <v>920</v>
      </c>
      <c r="C144" s="2024">
        <v>40</v>
      </c>
      <c r="D144" s="52">
        <v>10</v>
      </c>
      <c r="E144" s="639">
        <v>3200</v>
      </c>
      <c r="F144" s="2011">
        <v>1750</v>
      </c>
      <c r="G144" s="2015">
        <f>F144/C144</f>
        <v>43.75</v>
      </c>
      <c r="H144" s="2603">
        <f>C144/D144</f>
        <v>4</v>
      </c>
      <c r="I144" s="646" t="s">
        <v>335</v>
      </c>
      <c r="J144" s="2048">
        <v>155</v>
      </c>
      <c r="K144" s="2650"/>
      <c r="L144" s="1304"/>
      <c r="M144" s="1304"/>
      <c r="N144" s="1304"/>
      <c r="O144" s="1304"/>
      <c r="P144" s="1305"/>
    </row>
    <row r="145" spans="1:16" hidden="1" outlineLevel="2" x14ac:dyDescent="0.15">
      <c r="A145" s="630" t="str">
        <f>CONCATENATE(B145," ",C145," core (",H145," chip) ",E145," MHz")</f>
        <v>Xeon E7-8890v2 120 core (8 chip) 2800 MHz</v>
      </c>
      <c r="B145" s="660" t="s">
        <v>908</v>
      </c>
      <c r="C145" s="2024">
        <v>120</v>
      </c>
      <c r="D145" s="52">
        <v>15</v>
      </c>
      <c r="E145" s="639">
        <v>2800</v>
      </c>
      <c r="F145" s="2011">
        <v>4570</v>
      </c>
      <c r="G145" s="2015">
        <f>F145/C145</f>
        <v>38.083333333333336</v>
      </c>
      <c r="H145" s="2603">
        <f>C145/D145</f>
        <v>8</v>
      </c>
      <c r="I145" s="646" t="s">
        <v>335</v>
      </c>
      <c r="J145" s="2048">
        <v>155</v>
      </c>
      <c r="K145" s="2650"/>
      <c r="L145" s="1304"/>
      <c r="M145" s="1304"/>
      <c r="N145" s="1304"/>
      <c r="O145" s="1304"/>
      <c r="P145" s="1305"/>
    </row>
    <row r="146" spans="1:16" hidden="1" outlineLevel="1" collapsed="1" x14ac:dyDescent="0.15">
      <c r="A146" s="628" t="s">
        <v>784</v>
      </c>
      <c r="B146" s="659" t="str">
        <f>A146</f>
        <v xml:space="preserve"> ==== 2013 DP Server Platforms ====</v>
      </c>
      <c r="C146" s="656"/>
      <c r="D146" s="2022"/>
      <c r="E146" s="2023"/>
      <c r="F146" s="2010"/>
      <c r="G146" s="2017"/>
      <c r="H146" s="2606"/>
      <c r="I146" s="645"/>
      <c r="J146" s="672" t="s">
        <v>165</v>
      </c>
      <c r="K146" s="2651"/>
    </row>
    <row r="147" spans="1:16" s="693" customFormat="1" hidden="1" outlineLevel="2" x14ac:dyDescent="0.15">
      <c r="A147" s="630" t="str">
        <f t="shared" ref="A147:A157" si="18">CONCATENATE(B147," ",C147," core (",H147," chip) ",E147," MHz")</f>
        <v>Xeon E3-1290V2 4 core (1 chip) 3700 MHz</v>
      </c>
      <c r="B147" s="661" t="s">
        <v>813</v>
      </c>
      <c r="C147" s="2025">
        <v>4</v>
      </c>
      <c r="D147" s="50">
        <v>4</v>
      </c>
      <c r="E147" s="639">
        <v>3700</v>
      </c>
      <c r="F147" s="2012">
        <v>197.33</v>
      </c>
      <c r="G147" s="2015">
        <f>IF(F147=0,"",F147/C147)</f>
        <v>49.332500000000003</v>
      </c>
      <c r="H147" s="2603">
        <f>IF(C147=0,"",C147/D147)</f>
        <v>1</v>
      </c>
      <c r="I147" s="647" t="s">
        <v>335</v>
      </c>
      <c r="J147" s="2048">
        <v>87</v>
      </c>
      <c r="K147" s="2650"/>
      <c r="L147" s="1304"/>
      <c r="M147" s="1304"/>
      <c r="N147" s="1304"/>
      <c r="O147" s="1304"/>
      <c r="P147" s="1305"/>
    </row>
    <row r="148" spans="1:16" s="693" customFormat="1" hidden="1" outlineLevel="2" x14ac:dyDescent="0.15">
      <c r="A148" s="630" t="str">
        <f t="shared" si="18"/>
        <v>Xeon E3-1280V2 4 core (1 chip) 3600 MHz</v>
      </c>
      <c r="B148" s="661" t="s">
        <v>797</v>
      </c>
      <c r="C148" s="2025">
        <v>4</v>
      </c>
      <c r="D148" s="50">
        <v>4</v>
      </c>
      <c r="E148" s="639">
        <v>3600</v>
      </c>
      <c r="F148" s="2012">
        <v>192</v>
      </c>
      <c r="G148" s="2015">
        <f>IF(F148=0,"",F148/C148)</f>
        <v>48</v>
      </c>
      <c r="H148" s="2603">
        <f>IF(C148=0,"",C148/D148)</f>
        <v>1</v>
      </c>
      <c r="I148" s="647" t="s">
        <v>335</v>
      </c>
      <c r="J148" s="2048">
        <v>69</v>
      </c>
      <c r="K148" s="2650"/>
      <c r="L148" s="1891"/>
      <c r="M148" s="1891"/>
      <c r="N148" s="1891"/>
      <c r="O148" s="1891"/>
      <c r="P148" s="1305"/>
    </row>
    <row r="149" spans="1:16" s="693" customFormat="1" hidden="1" outlineLevel="2" x14ac:dyDescent="0.15">
      <c r="A149" s="630" t="str">
        <f t="shared" si="18"/>
        <v>Xeon E3-1270V2 4 core (1 chip) 3500 MHz</v>
      </c>
      <c r="B149" s="661" t="s">
        <v>798</v>
      </c>
      <c r="C149" s="2025">
        <v>4</v>
      </c>
      <c r="D149" s="50">
        <v>4</v>
      </c>
      <c r="E149" s="639">
        <v>3500</v>
      </c>
      <c r="F149" s="2012">
        <v>191</v>
      </c>
      <c r="G149" s="2015">
        <f>IF(F149=0,"",F149/C149)</f>
        <v>47.75</v>
      </c>
      <c r="H149" s="2603">
        <f>IF(C149=0,"",C149/D149)</f>
        <v>1</v>
      </c>
      <c r="I149" s="647" t="s">
        <v>335</v>
      </c>
      <c r="J149" s="2048">
        <v>69</v>
      </c>
      <c r="K149" s="2650"/>
      <c r="L149" s="1891"/>
      <c r="M149" s="1891"/>
      <c r="N149" s="1891"/>
      <c r="O149" s="1891"/>
      <c r="P149" s="1305"/>
    </row>
    <row r="150" spans="1:16" s="693" customFormat="1" hidden="1" outlineLevel="2" x14ac:dyDescent="0.15">
      <c r="A150" s="630" t="str">
        <f t="shared" si="18"/>
        <v>Xeon E5-1620V2 4 core (1 chip) 3700 MHz</v>
      </c>
      <c r="B150" s="661" t="s">
        <v>1299</v>
      </c>
      <c r="C150" s="2025">
        <v>4</v>
      </c>
      <c r="D150" s="50">
        <v>4</v>
      </c>
      <c r="E150" s="639">
        <v>3700</v>
      </c>
      <c r="F150" s="2012">
        <v>207</v>
      </c>
      <c r="G150" s="2015">
        <f>IF(F150=0,"",F150/C150)</f>
        <v>51.75</v>
      </c>
      <c r="H150" s="2603">
        <f>IF(C150=0,"",C150/D150)</f>
        <v>1</v>
      </c>
      <c r="I150" s="647" t="s">
        <v>335</v>
      </c>
      <c r="J150" s="2048"/>
      <c r="K150" s="2650"/>
      <c r="L150" s="1891"/>
      <c r="M150" s="1891"/>
      <c r="N150" s="1891"/>
      <c r="O150" s="1891"/>
      <c r="P150" s="1305"/>
    </row>
    <row r="151" spans="1:16" s="693" customFormat="1" hidden="1" outlineLevel="2" x14ac:dyDescent="0.15">
      <c r="A151" s="630" t="str">
        <f t="shared" si="18"/>
        <v>Xeon E3-1270V2 20 core (2 chip) 2500 MHz</v>
      </c>
      <c r="B151" s="661" t="s">
        <v>798</v>
      </c>
      <c r="C151" s="2025">
        <v>20</v>
      </c>
      <c r="D151" s="50">
        <v>10</v>
      </c>
      <c r="E151" s="639">
        <v>2500</v>
      </c>
      <c r="F151" s="2012">
        <v>788</v>
      </c>
      <c r="G151" s="2015">
        <f>IF(F151=0,"",F151/C151)</f>
        <v>39.4</v>
      </c>
      <c r="H151" s="2603">
        <f>IF(C151=0,"",C151/D151)</f>
        <v>2</v>
      </c>
      <c r="I151" s="647" t="s">
        <v>335</v>
      </c>
      <c r="J151" s="2048"/>
      <c r="K151" s="2650"/>
      <c r="L151" s="1891"/>
      <c r="M151" s="1891"/>
      <c r="N151" s="1891"/>
      <c r="O151" s="1891"/>
      <c r="P151" s="1305"/>
    </row>
    <row r="152" spans="1:16" hidden="1" outlineLevel="2" x14ac:dyDescent="0.15">
      <c r="A152" s="630" t="str">
        <f t="shared" si="18"/>
        <v>Xeon E5-2637 8 core (2 chip) 3000 MHz</v>
      </c>
      <c r="B152" s="660" t="s">
        <v>606</v>
      </c>
      <c r="C152" s="2024">
        <v>8</v>
      </c>
      <c r="D152" s="52">
        <v>4</v>
      </c>
      <c r="E152" s="639">
        <v>3000</v>
      </c>
      <c r="F152" s="2011">
        <v>188</v>
      </c>
      <c r="G152" s="2015">
        <f>F152/C152</f>
        <v>23.5</v>
      </c>
      <c r="H152" s="2603">
        <f>C152/D152</f>
        <v>2</v>
      </c>
      <c r="I152" s="646" t="s">
        <v>335</v>
      </c>
      <c r="J152" s="2048">
        <v>80</v>
      </c>
      <c r="K152" s="2650"/>
      <c r="L152" s="1304"/>
      <c r="M152" s="1304"/>
      <c r="N152" s="1304"/>
      <c r="O152" s="1304"/>
      <c r="P152" s="1305"/>
    </row>
    <row r="153" spans="1:16" s="693" customFormat="1" hidden="1" outlineLevel="2" x14ac:dyDescent="0.15">
      <c r="A153" s="630" t="str">
        <f t="shared" si="18"/>
        <v>Xeon E5-2643 4 core (1 chip) 3300 MHz</v>
      </c>
      <c r="B153" s="661" t="s">
        <v>607</v>
      </c>
      <c r="C153" s="2025">
        <v>4</v>
      </c>
      <c r="D153" s="50">
        <v>4</v>
      </c>
      <c r="E153" s="639">
        <v>3300</v>
      </c>
      <c r="F153" s="2012">
        <v>185</v>
      </c>
      <c r="G153" s="2015">
        <f>IF(F153=0,"",F153/C153)</f>
        <v>46.25</v>
      </c>
      <c r="H153" s="2603">
        <f>IF(C153=0,"",C153/D153)</f>
        <v>1</v>
      </c>
      <c r="I153" s="647" t="s">
        <v>335</v>
      </c>
      <c r="J153" s="2048">
        <v>130</v>
      </c>
      <c r="K153" s="2650"/>
      <c r="L153" s="1304"/>
      <c r="M153" s="1304"/>
      <c r="N153" s="1304"/>
      <c r="O153" s="1304"/>
      <c r="P153" s="1305"/>
    </row>
    <row r="154" spans="1:16" s="693" customFormat="1" hidden="1" outlineLevel="2" x14ac:dyDescent="0.15">
      <c r="A154" s="630" t="str">
        <f t="shared" si="18"/>
        <v>Xeon E5-2670 16 core (2 chip) 2600 MHz</v>
      </c>
      <c r="B154" s="660" t="s">
        <v>691</v>
      </c>
      <c r="C154" s="2024">
        <v>16</v>
      </c>
      <c r="D154" s="52">
        <v>8</v>
      </c>
      <c r="E154" s="639">
        <v>2600</v>
      </c>
      <c r="F154" s="2011">
        <v>632</v>
      </c>
      <c r="G154" s="2015">
        <f>IF(F154=0,"",F154/C154)</f>
        <v>39.5</v>
      </c>
      <c r="H154" s="2603">
        <f>IF(C154=0,"",C154/D154)</f>
        <v>2</v>
      </c>
      <c r="I154" s="647" t="s">
        <v>335</v>
      </c>
      <c r="J154" s="2048"/>
      <c r="K154" s="2650"/>
      <c r="L154" s="1304"/>
      <c r="M154" s="1304"/>
      <c r="N154" s="1304"/>
      <c r="O154" s="1304"/>
      <c r="P154" s="1305"/>
    </row>
    <row r="155" spans="1:16" s="693" customFormat="1" hidden="1" outlineLevel="2" x14ac:dyDescent="0.15">
      <c r="A155" s="630" t="str">
        <f t="shared" si="18"/>
        <v>Xeon E5-2690 16 core (2 chip) 2900 MHz</v>
      </c>
      <c r="B155" s="660" t="s">
        <v>608</v>
      </c>
      <c r="C155" s="2024">
        <v>16</v>
      </c>
      <c r="D155" s="52">
        <v>8</v>
      </c>
      <c r="E155" s="639">
        <v>2900</v>
      </c>
      <c r="F155" s="2011">
        <v>669</v>
      </c>
      <c r="G155" s="2015">
        <f>IF(F155=0,"",F155/C155)</f>
        <v>41.8125</v>
      </c>
      <c r="H155" s="2603">
        <f>IF(C155=0,"",C155/D155)</f>
        <v>2</v>
      </c>
      <c r="I155" s="647" t="s">
        <v>335</v>
      </c>
      <c r="J155" s="2048">
        <v>135</v>
      </c>
      <c r="K155" s="2650"/>
      <c r="L155" s="1304"/>
      <c r="M155" s="1304"/>
      <c r="N155" s="1304"/>
      <c r="O155" s="1304"/>
      <c r="P155" s="1305"/>
    </row>
    <row r="156" spans="1:16" hidden="1" outlineLevel="2" x14ac:dyDescent="0.15">
      <c r="A156" s="630" t="str">
        <f t="shared" si="18"/>
        <v>Xeon E5-2690 8 core (1 chip) 2900 MHz</v>
      </c>
      <c r="B156" s="660" t="s">
        <v>608</v>
      </c>
      <c r="C156" s="2024">
        <v>8</v>
      </c>
      <c r="D156" s="52">
        <v>8</v>
      </c>
      <c r="E156" s="639">
        <v>2900</v>
      </c>
      <c r="F156" s="2011">
        <v>331</v>
      </c>
      <c r="G156" s="2015">
        <f>F156/C156</f>
        <v>41.375</v>
      </c>
      <c r="H156" s="2603">
        <f>C156/D156</f>
        <v>1</v>
      </c>
      <c r="I156" s="646" t="s">
        <v>335</v>
      </c>
      <c r="J156" s="2048">
        <v>135</v>
      </c>
      <c r="K156" s="2650"/>
      <c r="L156" s="1304"/>
      <c r="M156" s="1304"/>
      <c r="N156" s="1304"/>
      <c r="O156" s="1304"/>
      <c r="P156" s="1305"/>
    </row>
    <row r="157" spans="1:16" s="693" customFormat="1" hidden="1" outlineLevel="2" x14ac:dyDescent="0.15">
      <c r="A157" s="630" t="str">
        <f t="shared" si="18"/>
        <v>Xeon E5-2697v2 24 core (2 chip) 2400 MHz</v>
      </c>
      <c r="B157" s="661" t="s">
        <v>1205</v>
      </c>
      <c r="C157" s="2025">
        <v>24</v>
      </c>
      <c r="D157" s="50">
        <v>12</v>
      </c>
      <c r="E157" s="639">
        <v>2400</v>
      </c>
      <c r="F157" s="2012">
        <v>889</v>
      </c>
      <c r="G157" s="2015">
        <f>IF(F157=0,"",F157/C157)</f>
        <v>37.041666666666664</v>
      </c>
      <c r="H157" s="2603">
        <f>IF(C157=0,"",C157/D157)</f>
        <v>2</v>
      </c>
      <c r="I157" s="647" t="s">
        <v>335</v>
      </c>
      <c r="J157" s="2048"/>
      <c r="K157" s="2650"/>
      <c r="L157" s="1304"/>
      <c r="M157" s="1304"/>
      <c r="N157" s="1304"/>
      <c r="O157" s="1304"/>
      <c r="P157" s="1305"/>
    </row>
    <row r="158" spans="1:16" hidden="1" outlineLevel="1" collapsed="1" x14ac:dyDescent="0.15">
      <c r="A158" s="628" t="s">
        <v>605</v>
      </c>
      <c r="B158" s="659" t="str">
        <f>A158</f>
        <v xml:space="preserve"> ==== 2012 DP Server Platforms ====</v>
      </c>
      <c r="C158" s="656"/>
      <c r="D158" s="2022"/>
      <c r="E158" s="2023"/>
      <c r="F158" s="2010"/>
      <c r="G158" s="2017"/>
      <c r="H158" s="2606"/>
      <c r="I158" s="645"/>
      <c r="J158" s="672" t="s">
        <v>165</v>
      </c>
      <c r="K158" s="2651"/>
    </row>
    <row r="159" spans="1:16" s="693" customFormat="1" hidden="1" outlineLevel="2" x14ac:dyDescent="0.15">
      <c r="A159" s="630" t="str">
        <f>CONCATENATE(B159," ",C159," core (",H159," chip) ",E159," MHz")</f>
        <v>Xeon E5-1620 4 core (1 chip) 3600 MHz</v>
      </c>
      <c r="B159" s="661" t="s">
        <v>689</v>
      </c>
      <c r="C159" s="2025">
        <v>4</v>
      </c>
      <c r="D159" s="50">
        <v>4</v>
      </c>
      <c r="E159" s="639">
        <v>3600</v>
      </c>
      <c r="F159" s="2012">
        <v>198</v>
      </c>
      <c r="G159" s="2015">
        <f>IF(F159=0,"",F159/C159)</f>
        <v>49.5</v>
      </c>
      <c r="H159" s="2603">
        <f>IF(C159=0,"",C159/D159)</f>
        <v>1</v>
      </c>
      <c r="I159" s="647" t="s">
        <v>335</v>
      </c>
      <c r="J159" s="2048">
        <v>80</v>
      </c>
      <c r="K159" s="2650"/>
      <c r="L159" s="1304"/>
      <c r="M159" s="1304"/>
      <c r="N159" s="1304"/>
      <c r="O159" s="1304"/>
      <c r="P159" s="1305"/>
    </row>
    <row r="160" spans="1:16" s="693" customFormat="1" hidden="1" outlineLevel="2" x14ac:dyDescent="0.15">
      <c r="A160" s="630" t="str">
        <f>CONCATENATE(B160," ",C160," core (",H160," chip) ",E160," MHz")</f>
        <v>Xeon E5-2637 4 core (2 chip) 3000 MHz</v>
      </c>
      <c r="B160" s="661" t="s">
        <v>606</v>
      </c>
      <c r="C160" s="2025">
        <v>4</v>
      </c>
      <c r="D160" s="50">
        <v>2</v>
      </c>
      <c r="E160" s="639">
        <v>3000</v>
      </c>
      <c r="F160" s="2012">
        <v>185</v>
      </c>
      <c r="G160" s="2015">
        <f>IF(F160=0,"",F160/C160)</f>
        <v>46.25</v>
      </c>
      <c r="H160" s="2603">
        <f>IF(C160=0,"",C160/D160)</f>
        <v>2</v>
      </c>
      <c r="I160" s="647" t="s">
        <v>335</v>
      </c>
      <c r="J160" s="2048">
        <v>80</v>
      </c>
      <c r="K160" s="2650"/>
      <c r="L160" s="1304"/>
      <c r="M160" s="1304"/>
      <c r="N160" s="1304"/>
      <c r="O160" s="1304"/>
      <c r="P160" s="1305"/>
    </row>
    <row r="161" spans="1:11" hidden="1" outlineLevel="2" x14ac:dyDescent="0.15">
      <c r="A161" s="630" t="str">
        <f>CONCATENATE(B161," ",C161," core (",H161," chip) ",E161," MHz")&amp;IF(ISBLANK(F161),"**","")</f>
        <v>Xeon E5-1620 4 core (1 chip) 3600 MHz</v>
      </c>
      <c r="B161" s="660" t="s">
        <v>689</v>
      </c>
      <c r="C161" s="2024">
        <v>4</v>
      </c>
      <c r="D161" s="52">
        <v>4</v>
      </c>
      <c r="E161" s="639">
        <v>3600</v>
      </c>
      <c r="F161" s="2011">
        <v>198</v>
      </c>
      <c r="G161" s="2015">
        <f t="shared" ref="G161:G181" si="19">F161/C161</f>
        <v>49.5</v>
      </c>
      <c r="H161" s="2603">
        <f t="shared" ref="H161:H181" si="20">C161/D161</f>
        <v>1</v>
      </c>
      <c r="I161" s="646" t="s">
        <v>335</v>
      </c>
      <c r="J161" s="2048">
        <v>130</v>
      </c>
      <c r="K161" s="2650"/>
    </row>
    <row r="162" spans="1:11" s="693" customFormat="1" hidden="1" outlineLevel="2" x14ac:dyDescent="0.15">
      <c r="A162" s="630" t="str">
        <f t="shared" ref="A162:A183" si="21">CONCATENATE(B162," ",C162," core (",H162," chip) ",E162," MHz")</f>
        <v>Xeon E5-2400 8 core (2 chip) 2200 MHz</v>
      </c>
      <c r="B162" s="661" t="s">
        <v>747</v>
      </c>
      <c r="C162" s="2025">
        <v>8</v>
      </c>
      <c r="D162" s="50">
        <v>4</v>
      </c>
      <c r="E162" s="639">
        <v>2200</v>
      </c>
      <c r="F162" s="2012">
        <v>200</v>
      </c>
      <c r="G162" s="2015">
        <f t="shared" si="19"/>
        <v>25</v>
      </c>
      <c r="H162" s="2603">
        <f t="shared" si="20"/>
        <v>2</v>
      </c>
      <c r="I162" s="646" t="s">
        <v>335</v>
      </c>
      <c r="J162" s="2048">
        <v>80</v>
      </c>
      <c r="K162" s="2648"/>
    </row>
    <row r="163" spans="1:11" s="693" customFormat="1" hidden="1" outlineLevel="2" x14ac:dyDescent="0.15">
      <c r="A163" s="630" t="str">
        <f t="shared" si="21"/>
        <v>Xeon E5-2403 4 core (1 chip) 1800 MHz</v>
      </c>
      <c r="B163" s="661" t="s">
        <v>748</v>
      </c>
      <c r="C163" s="2025">
        <v>4</v>
      </c>
      <c r="D163" s="50">
        <v>4</v>
      </c>
      <c r="E163" s="639">
        <v>1800</v>
      </c>
      <c r="F163" s="2012">
        <v>85</v>
      </c>
      <c r="G163" s="2015">
        <f t="shared" si="19"/>
        <v>21.25</v>
      </c>
      <c r="H163" s="2603">
        <f t="shared" si="20"/>
        <v>1</v>
      </c>
      <c r="I163" s="646" t="s">
        <v>335</v>
      </c>
      <c r="J163" s="2048">
        <v>80</v>
      </c>
      <c r="K163" s="2648"/>
    </row>
    <row r="164" spans="1:11" s="693" customFormat="1" hidden="1" outlineLevel="2" x14ac:dyDescent="0.15">
      <c r="A164" s="630" t="str">
        <f t="shared" si="21"/>
        <v>Xeon E5-2403 8 core (2 chip) 1800 MHz</v>
      </c>
      <c r="B164" s="661" t="s">
        <v>748</v>
      </c>
      <c r="C164" s="2025">
        <v>8</v>
      </c>
      <c r="D164" s="50">
        <v>4</v>
      </c>
      <c r="E164" s="639">
        <v>1800</v>
      </c>
      <c r="F164" s="2012">
        <v>167</v>
      </c>
      <c r="G164" s="2015">
        <f t="shared" si="19"/>
        <v>20.875</v>
      </c>
      <c r="H164" s="2603">
        <f t="shared" si="20"/>
        <v>2</v>
      </c>
      <c r="I164" s="646" t="s">
        <v>335</v>
      </c>
      <c r="J164" s="2048">
        <v>80</v>
      </c>
      <c r="K164" s="2648"/>
    </row>
    <row r="165" spans="1:11" s="693" customFormat="1" hidden="1" outlineLevel="2" x14ac:dyDescent="0.15">
      <c r="A165" s="630" t="str">
        <f t="shared" si="21"/>
        <v>Xeon E5-2407 4 core (1 chip) 2200 MHz</v>
      </c>
      <c r="B165" s="661" t="s">
        <v>749</v>
      </c>
      <c r="C165" s="2025">
        <v>4</v>
      </c>
      <c r="D165" s="50">
        <v>4</v>
      </c>
      <c r="E165" s="639">
        <v>2200</v>
      </c>
      <c r="F165" s="2012">
        <v>102</v>
      </c>
      <c r="G165" s="2015">
        <f t="shared" si="19"/>
        <v>25.5</v>
      </c>
      <c r="H165" s="2603">
        <f t="shared" si="20"/>
        <v>1</v>
      </c>
      <c r="I165" s="646" t="s">
        <v>335</v>
      </c>
      <c r="J165" s="2048">
        <v>80</v>
      </c>
      <c r="K165" s="2648"/>
    </row>
    <row r="166" spans="1:11" s="693" customFormat="1" hidden="1" outlineLevel="2" x14ac:dyDescent="0.15">
      <c r="A166" s="630" t="str">
        <f t="shared" si="21"/>
        <v>Xeon E5-2407 8 core (2 chip) 2200 MHz</v>
      </c>
      <c r="B166" s="661" t="s">
        <v>749</v>
      </c>
      <c r="C166" s="2025">
        <v>8</v>
      </c>
      <c r="D166" s="50">
        <v>4</v>
      </c>
      <c r="E166" s="639">
        <v>2200</v>
      </c>
      <c r="F166" s="2012">
        <v>200</v>
      </c>
      <c r="G166" s="2015">
        <f t="shared" si="19"/>
        <v>25</v>
      </c>
      <c r="H166" s="2603">
        <f t="shared" si="20"/>
        <v>2</v>
      </c>
      <c r="I166" s="646" t="s">
        <v>335</v>
      </c>
      <c r="J166" s="2048">
        <v>80</v>
      </c>
      <c r="K166" s="2648"/>
    </row>
    <row r="167" spans="1:11" s="693" customFormat="1" hidden="1" outlineLevel="2" x14ac:dyDescent="0.15">
      <c r="A167" s="630" t="str">
        <f t="shared" si="21"/>
        <v>Xeon E5-2418 8 core (2 chip) 2000 MHz</v>
      </c>
      <c r="B167" s="661" t="s">
        <v>750</v>
      </c>
      <c r="C167" s="2025">
        <v>8</v>
      </c>
      <c r="D167" s="50">
        <v>4</v>
      </c>
      <c r="E167" s="639">
        <v>2000</v>
      </c>
      <c r="F167" s="2012">
        <v>223</v>
      </c>
      <c r="G167" s="2015">
        <f t="shared" si="19"/>
        <v>27.875</v>
      </c>
      <c r="H167" s="2603">
        <f t="shared" si="20"/>
        <v>2</v>
      </c>
      <c r="I167" s="646" t="s">
        <v>335</v>
      </c>
      <c r="J167" s="2048">
        <v>80</v>
      </c>
      <c r="K167" s="2648"/>
    </row>
    <row r="168" spans="1:11" s="693" customFormat="1" hidden="1" outlineLevel="2" x14ac:dyDescent="0.15">
      <c r="A168" s="630" t="str">
        <f t="shared" si="21"/>
        <v>Xeon E5-2420 6 core (1 chip) 1900 MHz</v>
      </c>
      <c r="B168" s="661" t="s">
        <v>751</v>
      </c>
      <c r="C168" s="2025">
        <v>6</v>
      </c>
      <c r="D168" s="50">
        <v>6</v>
      </c>
      <c r="E168" s="639">
        <v>1900</v>
      </c>
      <c r="F168" s="2012">
        <v>181</v>
      </c>
      <c r="G168" s="2015">
        <f t="shared" si="19"/>
        <v>30.166666666666668</v>
      </c>
      <c r="H168" s="2603">
        <f t="shared" si="20"/>
        <v>1</v>
      </c>
      <c r="I168" s="646" t="s">
        <v>335</v>
      </c>
      <c r="J168" s="2048">
        <v>95</v>
      </c>
      <c r="K168" s="2648"/>
    </row>
    <row r="169" spans="1:11" s="693" customFormat="1" hidden="1" outlineLevel="2" x14ac:dyDescent="0.15">
      <c r="A169" s="630" t="str">
        <f t="shared" si="21"/>
        <v>Xeon E5-2420 12 core (2 chip) 1900 MHz</v>
      </c>
      <c r="B169" s="661" t="s">
        <v>751</v>
      </c>
      <c r="C169" s="2025">
        <v>12</v>
      </c>
      <c r="D169" s="50">
        <v>6</v>
      </c>
      <c r="E169" s="639">
        <v>1900</v>
      </c>
      <c r="F169" s="2012">
        <v>354</v>
      </c>
      <c r="G169" s="2015">
        <f t="shared" si="19"/>
        <v>29.5</v>
      </c>
      <c r="H169" s="2603">
        <f t="shared" si="20"/>
        <v>2</v>
      </c>
      <c r="I169" s="646" t="s">
        <v>335</v>
      </c>
      <c r="J169" s="2048">
        <v>95</v>
      </c>
      <c r="K169" s="2648"/>
    </row>
    <row r="170" spans="1:11" s="693" customFormat="1" hidden="1" outlineLevel="2" x14ac:dyDescent="0.15">
      <c r="A170" s="630" t="str">
        <f t="shared" si="21"/>
        <v>Xeon E5-2428 12 core (2 chip) 1800 MHz</v>
      </c>
      <c r="B170" s="661" t="s">
        <v>752</v>
      </c>
      <c r="C170" s="2025">
        <v>12</v>
      </c>
      <c r="D170" s="50">
        <v>6</v>
      </c>
      <c r="E170" s="639">
        <v>1800</v>
      </c>
      <c r="F170" s="2012">
        <v>294</v>
      </c>
      <c r="G170" s="2015">
        <f t="shared" si="19"/>
        <v>24.5</v>
      </c>
      <c r="H170" s="2603">
        <f t="shared" si="20"/>
        <v>2</v>
      </c>
      <c r="I170" s="646" t="s">
        <v>335</v>
      </c>
      <c r="J170" s="2048">
        <v>60</v>
      </c>
      <c r="K170" s="2648"/>
    </row>
    <row r="171" spans="1:11" s="693" customFormat="1" hidden="1" outlineLevel="2" x14ac:dyDescent="0.15">
      <c r="A171" s="630" t="str">
        <f t="shared" si="21"/>
        <v>Xeon E5-2430 6 core (1 chip) 2200 MHz</v>
      </c>
      <c r="B171" s="661" t="s">
        <v>753</v>
      </c>
      <c r="C171" s="2025">
        <v>6</v>
      </c>
      <c r="D171" s="50">
        <v>6</v>
      </c>
      <c r="E171" s="639">
        <v>2200</v>
      </c>
      <c r="F171" s="2012">
        <v>204</v>
      </c>
      <c r="G171" s="2015">
        <f t="shared" si="19"/>
        <v>34</v>
      </c>
      <c r="H171" s="2603">
        <f t="shared" si="20"/>
        <v>1</v>
      </c>
      <c r="I171" s="646" t="s">
        <v>335</v>
      </c>
      <c r="J171" s="2048">
        <v>95</v>
      </c>
      <c r="K171" s="2648"/>
    </row>
    <row r="172" spans="1:11" s="693" customFormat="1" hidden="1" outlineLevel="2" x14ac:dyDescent="0.15">
      <c r="A172" s="630" t="str">
        <f t="shared" si="21"/>
        <v>Xeon E5-2430 12 core (2 chip) 2200 MHz</v>
      </c>
      <c r="B172" s="661" t="s">
        <v>753</v>
      </c>
      <c r="C172" s="2025">
        <v>12</v>
      </c>
      <c r="D172" s="50">
        <v>6</v>
      </c>
      <c r="E172" s="639">
        <v>2200</v>
      </c>
      <c r="F172" s="2012">
        <v>395</v>
      </c>
      <c r="G172" s="2015">
        <f t="shared" si="19"/>
        <v>32.916666666666664</v>
      </c>
      <c r="H172" s="2603">
        <f t="shared" si="20"/>
        <v>2</v>
      </c>
      <c r="I172" s="646" t="s">
        <v>335</v>
      </c>
      <c r="J172" s="2048">
        <v>95</v>
      </c>
      <c r="K172" s="2648"/>
    </row>
    <row r="173" spans="1:11" s="693" customFormat="1" hidden="1" outlineLevel="2" x14ac:dyDescent="0.15">
      <c r="A173" s="630" t="str">
        <f t="shared" si="21"/>
        <v>Xeon E5-2430L 12 core (2 chip) 2000 MHz</v>
      </c>
      <c r="B173" s="661" t="s">
        <v>754</v>
      </c>
      <c r="C173" s="2025">
        <v>12</v>
      </c>
      <c r="D173" s="50">
        <v>6</v>
      </c>
      <c r="E173" s="639">
        <v>2000</v>
      </c>
      <c r="F173" s="2012">
        <v>369</v>
      </c>
      <c r="G173" s="2015">
        <f t="shared" si="19"/>
        <v>30.75</v>
      </c>
      <c r="H173" s="2603">
        <f t="shared" si="20"/>
        <v>2</v>
      </c>
      <c r="I173" s="646" t="s">
        <v>335</v>
      </c>
      <c r="J173" s="2048">
        <v>60</v>
      </c>
      <c r="K173" s="2648"/>
    </row>
    <row r="174" spans="1:11" s="693" customFormat="1" hidden="1" outlineLevel="2" x14ac:dyDescent="0.15">
      <c r="A174" s="630" t="str">
        <f t="shared" si="21"/>
        <v>Xeon E5-2440 6 core (1 chip) 2400 MHz</v>
      </c>
      <c r="B174" s="661" t="s">
        <v>755</v>
      </c>
      <c r="C174" s="2025">
        <v>6</v>
      </c>
      <c r="D174" s="50">
        <v>6</v>
      </c>
      <c r="E174" s="639">
        <v>2400</v>
      </c>
      <c r="F174" s="2012">
        <v>215</v>
      </c>
      <c r="G174" s="2015">
        <f t="shared" si="19"/>
        <v>35.833333333333336</v>
      </c>
      <c r="H174" s="2603">
        <f t="shared" si="20"/>
        <v>1</v>
      </c>
      <c r="I174" s="646" t="s">
        <v>335</v>
      </c>
      <c r="J174" s="2048">
        <v>95</v>
      </c>
      <c r="K174" s="2648"/>
    </row>
    <row r="175" spans="1:11" s="693" customFormat="1" hidden="1" outlineLevel="2" x14ac:dyDescent="0.15">
      <c r="A175" s="630" t="str">
        <f t="shared" si="21"/>
        <v>Xeon E5-2440 12 core (2 chip) 2400 MHz</v>
      </c>
      <c r="B175" s="661" t="s">
        <v>755</v>
      </c>
      <c r="C175" s="2025">
        <v>12</v>
      </c>
      <c r="D175" s="50">
        <v>6</v>
      </c>
      <c r="E175" s="639">
        <v>2400</v>
      </c>
      <c r="F175" s="2012">
        <v>422</v>
      </c>
      <c r="G175" s="2015">
        <f t="shared" si="19"/>
        <v>35.166666666666664</v>
      </c>
      <c r="H175" s="2603">
        <f t="shared" si="20"/>
        <v>2</v>
      </c>
      <c r="I175" s="646" t="s">
        <v>335</v>
      </c>
      <c r="J175" s="2048">
        <v>95</v>
      </c>
      <c r="K175" s="2648"/>
    </row>
    <row r="176" spans="1:11" s="693" customFormat="1" hidden="1" outlineLevel="2" x14ac:dyDescent="0.15">
      <c r="A176" s="630" t="str">
        <f t="shared" si="21"/>
        <v>Xeon E5-2448L 16 core (2 chip) 1800 MHz</v>
      </c>
      <c r="B176" s="661" t="s">
        <v>756</v>
      </c>
      <c r="C176" s="2025">
        <v>16</v>
      </c>
      <c r="D176" s="50">
        <v>8</v>
      </c>
      <c r="E176" s="639">
        <v>1800</v>
      </c>
      <c r="F176" s="2012">
        <v>385</v>
      </c>
      <c r="G176" s="2015">
        <f t="shared" si="19"/>
        <v>24.0625</v>
      </c>
      <c r="H176" s="2603">
        <f t="shared" si="20"/>
        <v>2</v>
      </c>
      <c r="I176" s="646" t="s">
        <v>335</v>
      </c>
      <c r="J176" s="2048">
        <v>70</v>
      </c>
      <c r="K176" s="2648"/>
    </row>
    <row r="177" spans="1:16" s="693" customFormat="1" hidden="1" outlineLevel="2" x14ac:dyDescent="0.15">
      <c r="A177" s="630" t="str">
        <f t="shared" si="21"/>
        <v>Xeon E5-2450 16 core (2 chip) 2100 MHz</v>
      </c>
      <c r="B177" s="661" t="s">
        <v>757</v>
      </c>
      <c r="C177" s="2025">
        <v>16</v>
      </c>
      <c r="D177" s="50">
        <v>8</v>
      </c>
      <c r="E177" s="639">
        <v>2100</v>
      </c>
      <c r="F177" s="2012">
        <v>536</v>
      </c>
      <c r="G177" s="2015">
        <f t="shared" si="19"/>
        <v>33.5</v>
      </c>
      <c r="H177" s="2603">
        <f t="shared" si="20"/>
        <v>2</v>
      </c>
      <c r="I177" s="646" t="s">
        <v>335</v>
      </c>
      <c r="J177" s="2048">
        <v>95</v>
      </c>
      <c r="K177" s="2648"/>
    </row>
    <row r="178" spans="1:16" s="693" customFormat="1" hidden="1" outlineLevel="2" x14ac:dyDescent="0.15">
      <c r="A178" s="630" t="str">
        <f t="shared" si="21"/>
        <v>Xeon E5-2450L 16 core (2 chip) 1800 MHz</v>
      </c>
      <c r="B178" s="661" t="s">
        <v>758</v>
      </c>
      <c r="C178" s="2025">
        <v>16</v>
      </c>
      <c r="D178" s="50">
        <v>8</v>
      </c>
      <c r="E178" s="639">
        <v>1800</v>
      </c>
      <c r="F178" s="2012">
        <v>428</v>
      </c>
      <c r="G178" s="2015">
        <f t="shared" si="19"/>
        <v>26.75</v>
      </c>
      <c r="H178" s="2603">
        <f t="shared" si="20"/>
        <v>2</v>
      </c>
      <c r="I178" s="646" t="s">
        <v>335</v>
      </c>
      <c r="J178" s="2048">
        <v>70</v>
      </c>
      <c r="K178" s="2648"/>
    </row>
    <row r="179" spans="1:16" s="693" customFormat="1" hidden="1" outlineLevel="2" x14ac:dyDescent="0.15">
      <c r="A179" s="630" t="str">
        <f t="shared" si="21"/>
        <v>Xeon E5-2470 16 core (2 chip) 2300 MHz</v>
      </c>
      <c r="B179" s="661" t="s">
        <v>759</v>
      </c>
      <c r="C179" s="2025">
        <v>16</v>
      </c>
      <c r="D179" s="50">
        <v>8</v>
      </c>
      <c r="E179" s="639">
        <v>2300</v>
      </c>
      <c r="F179" s="2012">
        <v>567</v>
      </c>
      <c r="G179" s="2015">
        <f t="shared" si="19"/>
        <v>35.4375</v>
      </c>
      <c r="H179" s="2603">
        <f t="shared" si="20"/>
        <v>2</v>
      </c>
      <c r="I179" s="646" t="s">
        <v>335</v>
      </c>
      <c r="J179" s="2048">
        <v>95</v>
      </c>
      <c r="K179" s="2648"/>
    </row>
    <row r="180" spans="1:16" s="693" customFormat="1" hidden="1" outlineLevel="2" x14ac:dyDescent="0.15">
      <c r="A180" s="630" t="str">
        <f t="shared" si="21"/>
        <v>Xeon E5-2643 4 core (1 chip) 3300 MHz</v>
      </c>
      <c r="B180" s="661" t="s">
        <v>607</v>
      </c>
      <c r="C180" s="2025">
        <v>4</v>
      </c>
      <c r="D180" s="50">
        <v>4</v>
      </c>
      <c r="E180" s="639">
        <v>3300</v>
      </c>
      <c r="F180" s="2012">
        <v>180</v>
      </c>
      <c r="G180" s="2015">
        <f t="shared" si="19"/>
        <v>45</v>
      </c>
      <c r="H180" s="2603">
        <f t="shared" si="20"/>
        <v>1</v>
      </c>
      <c r="I180" s="646" t="s">
        <v>335</v>
      </c>
      <c r="J180" s="2048">
        <v>130</v>
      </c>
      <c r="K180" s="2648"/>
    </row>
    <row r="181" spans="1:16" s="693" customFormat="1" hidden="1" outlineLevel="2" x14ac:dyDescent="0.15">
      <c r="A181" s="630" t="str">
        <f t="shared" si="21"/>
        <v>Xeon E5-2643 8 core (2 chip) 3300 MHz</v>
      </c>
      <c r="B181" s="661" t="s">
        <v>607</v>
      </c>
      <c r="C181" s="2025">
        <v>8</v>
      </c>
      <c r="D181" s="50">
        <v>4</v>
      </c>
      <c r="E181" s="639">
        <v>3300</v>
      </c>
      <c r="F181" s="2012">
        <v>362</v>
      </c>
      <c r="G181" s="2015">
        <f t="shared" si="19"/>
        <v>45.25</v>
      </c>
      <c r="H181" s="2603">
        <f t="shared" si="20"/>
        <v>2</v>
      </c>
      <c r="I181" s="646" t="s">
        <v>335</v>
      </c>
      <c r="J181" s="2048">
        <v>130</v>
      </c>
      <c r="K181" s="2648"/>
    </row>
    <row r="182" spans="1:16" hidden="1" outlineLevel="2" x14ac:dyDescent="0.15">
      <c r="A182" s="630" t="str">
        <f t="shared" si="21"/>
        <v>Xeon E5-2609 8 core (2 chip) 2400 MHz</v>
      </c>
      <c r="B182" s="661" t="s">
        <v>676</v>
      </c>
      <c r="C182" s="2025">
        <v>8</v>
      </c>
      <c r="D182" s="50">
        <v>4</v>
      </c>
      <c r="E182" s="639">
        <v>2400</v>
      </c>
      <c r="F182" s="2012">
        <v>217</v>
      </c>
      <c r="G182" s="2015">
        <f>IF(F182=0,"",F182/C182)</f>
        <v>27.125</v>
      </c>
      <c r="H182" s="2603">
        <f>IF(C182=0,"",C182/D182)</f>
        <v>2</v>
      </c>
      <c r="I182" s="647" t="s">
        <v>335</v>
      </c>
      <c r="J182" s="2048">
        <v>80</v>
      </c>
      <c r="K182" s="2650"/>
      <c r="L182" s="1304"/>
      <c r="M182" s="1304"/>
      <c r="N182" s="1304"/>
      <c r="O182" s="1304"/>
      <c r="P182" s="1305"/>
    </row>
    <row r="183" spans="1:16" hidden="1" outlineLevel="2" x14ac:dyDescent="0.15">
      <c r="A183" s="630" t="str">
        <f t="shared" si="21"/>
        <v>Xeon E5-2603 8 core (2 chip) 1600 MHz</v>
      </c>
      <c r="B183" s="661" t="s">
        <v>675</v>
      </c>
      <c r="C183" s="2025">
        <v>8</v>
      </c>
      <c r="D183" s="50">
        <v>4</v>
      </c>
      <c r="E183" s="639">
        <v>1600</v>
      </c>
      <c r="F183" s="2012">
        <v>167</v>
      </c>
      <c r="G183" s="2015">
        <f>IF(F183=0,"",F183/C183)</f>
        <v>20.875</v>
      </c>
      <c r="H183" s="2603">
        <f>IF(C183=0,"",C183/D183)</f>
        <v>2</v>
      </c>
      <c r="I183" s="647" t="s">
        <v>335</v>
      </c>
      <c r="J183" s="2048">
        <v>80</v>
      </c>
      <c r="K183" s="2650"/>
      <c r="L183" s="1304"/>
      <c r="M183" s="1304"/>
      <c r="N183" s="1304"/>
      <c r="O183" s="1304"/>
      <c r="P183" s="1305"/>
    </row>
    <row r="184" spans="1:16" hidden="1" outlineLevel="2" x14ac:dyDescent="0.15">
      <c r="A184" s="630" t="str">
        <f>CONCATENATE(B184," ",C184," core (",H184," chip) ",E184," MHz")&amp;IF(ISBLANK(F184),"**","")</f>
        <v>Xeon E5-1660 6 core (1 chip) 3300 MHz</v>
      </c>
      <c r="B184" s="660" t="s">
        <v>687</v>
      </c>
      <c r="C184" s="2024">
        <v>6</v>
      </c>
      <c r="D184" s="52">
        <v>6</v>
      </c>
      <c r="E184" s="639">
        <v>3300</v>
      </c>
      <c r="F184" s="2011">
        <v>282</v>
      </c>
      <c r="G184" s="2015">
        <f>F184/C184</f>
        <v>47</v>
      </c>
      <c r="H184" s="2603">
        <f>C184/D184</f>
        <v>1</v>
      </c>
      <c r="I184" s="646" t="s">
        <v>335</v>
      </c>
      <c r="J184" s="2048">
        <v>130</v>
      </c>
      <c r="K184" s="2650"/>
    </row>
    <row r="185" spans="1:16" hidden="1" outlineLevel="2" x14ac:dyDescent="0.15">
      <c r="A185" s="630" t="str">
        <f>CONCATENATE(B185," ",C185," core (",H185," chip) ",E185," MHz")&amp;IF(ISBLANK(F185),"**","")</f>
        <v>Xeon E5-1650 6 core (1 chip) 3200 MHz</v>
      </c>
      <c r="B185" s="660" t="s">
        <v>688</v>
      </c>
      <c r="C185" s="2024">
        <v>6</v>
      </c>
      <c r="D185" s="52">
        <v>6</v>
      </c>
      <c r="E185" s="639">
        <v>3200</v>
      </c>
      <c r="F185" s="2011">
        <v>269</v>
      </c>
      <c r="G185" s="2015">
        <f>F185/C185</f>
        <v>44.833333333333336</v>
      </c>
      <c r="H185" s="2603">
        <f>C185/D185</f>
        <v>1</v>
      </c>
      <c r="I185" s="646" t="s">
        <v>335</v>
      </c>
      <c r="J185" s="2048">
        <v>130</v>
      </c>
      <c r="K185" s="2650"/>
    </row>
    <row r="186" spans="1:16" hidden="1" outlineLevel="2" x14ac:dyDescent="0.15">
      <c r="A186" s="630" t="str">
        <f>CONCATENATE(B186," ",C186," core (",H186," chip) ",E186," MHz")</f>
        <v>Xeon E5-2667 6 core (1 chip) 2900 MHz</v>
      </c>
      <c r="B186" s="660" t="s">
        <v>678</v>
      </c>
      <c r="C186" s="2024">
        <v>6</v>
      </c>
      <c r="D186" s="52">
        <v>6</v>
      </c>
      <c r="E186" s="639">
        <v>2900</v>
      </c>
      <c r="F186" s="2011">
        <v>251</v>
      </c>
      <c r="G186" s="2015">
        <f>F186/C186</f>
        <v>41.833333333333336</v>
      </c>
      <c r="H186" s="2603">
        <f>C186/D186</f>
        <v>1</v>
      </c>
      <c r="I186" s="646" t="s">
        <v>335</v>
      </c>
      <c r="J186" s="2048">
        <v>130</v>
      </c>
      <c r="K186" s="2650"/>
    </row>
    <row r="187" spans="1:16" s="693" customFormat="1" hidden="1" outlineLevel="2" x14ac:dyDescent="0.15">
      <c r="A187" s="630" t="str">
        <f>CONCATENATE(B187," ",C187," core (",H187," chip) ",E187," MHz")</f>
        <v>Xeon E5-2667 12 core (2 chip) 2900 MHz</v>
      </c>
      <c r="B187" s="661" t="s">
        <v>678</v>
      </c>
      <c r="C187" s="2025">
        <v>12</v>
      </c>
      <c r="D187" s="50">
        <v>6</v>
      </c>
      <c r="E187" s="639">
        <v>2900</v>
      </c>
      <c r="F187" s="2012">
        <v>506</v>
      </c>
      <c r="G187" s="2015">
        <f>IF(F187=0,"",F187/C187)</f>
        <v>42.166666666666664</v>
      </c>
      <c r="H187" s="2603">
        <f>IF(C187=0,"",C187/D187)</f>
        <v>2</v>
      </c>
      <c r="I187" s="647" t="s">
        <v>335</v>
      </c>
      <c r="J187" s="2048">
        <v>130</v>
      </c>
      <c r="K187" s="2648"/>
    </row>
    <row r="188" spans="1:16" hidden="1" outlineLevel="2" x14ac:dyDescent="0.15">
      <c r="A188" s="630" t="str">
        <f>CONCATENATE(B188," ",C188," core (",H188," chip) ",E188," MHz")&amp;IF(ISBLANK(F188),"**","")</f>
        <v>Xeon E5-2640 12 core (2 chip) 2500 MHz</v>
      </c>
      <c r="B188" s="660" t="s">
        <v>693</v>
      </c>
      <c r="C188" s="2024">
        <v>12</v>
      </c>
      <c r="D188" s="52">
        <v>6</v>
      </c>
      <c r="E188" s="639">
        <v>2500</v>
      </c>
      <c r="F188" s="2011">
        <v>443</v>
      </c>
      <c r="G188" s="2015">
        <f>F188/C188</f>
        <v>36.916666666666664</v>
      </c>
      <c r="H188" s="2603">
        <f>C188/D188</f>
        <v>2</v>
      </c>
      <c r="I188" s="646" t="s">
        <v>335</v>
      </c>
      <c r="J188" s="2048">
        <v>95</v>
      </c>
      <c r="K188" s="2650"/>
    </row>
    <row r="189" spans="1:16" hidden="1" outlineLevel="2" collapsed="1" x14ac:dyDescent="0.15">
      <c r="A189" s="630" t="str">
        <f>CONCATENATE(B189," ",C189," core (",H189," chip) ",E189," MHz")&amp;IF(ISBLANK(F189),"**","")</f>
        <v>Xeon E5-2630 12 core (2 chip) 2300 MHz</v>
      </c>
      <c r="B189" s="660" t="s">
        <v>694</v>
      </c>
      <c r="C189" s="2024">
        <v>12</v>
      </c>
      <c r="D189" s="52">
        <v>6</v>
      </c>
      <c r="E189" s="639">
        <v>2300</v>
      </c>
      <c r="F189" s="2011">
        <v>416</v>
      </c>
      <c r="G189" s="2015">
        <f>F189/C189</f>
        <v>34.666666666666664</v>
      </c>
      <c r="H189" s="2603">
        <f>C189/D189</f>
        <v>2</v>
      </c>
      <c r="I189" s="646" t="s">
        <v>335</v>
      </c>
      <c r="J189" s="2048">
        <v>95</v>
      </c>
      <c r="K189" s="2650"/>
    </row>
    <row r="190" spans="1:16" s="693" customFormat="1" hidden="1" outlineLevel="2" x14ac:dyDescent="0.15">
      <c r="A190" s="630" t="str">
        <f>CONCATENATE(B190," ",C190," core (",H190," chip) ",E190," MHz")&amp;IF(ISBLANK(F190),"**","")</f>
        <v>Xeon E5-2620 12 core (2 chip) 2000 MHz</v>
      </c>
      <c r="B190" s="660" t="s">
        <v>695</v>
      </c>
      <c r="C190" s="2024">
        <v>12</v>
      </c>
      <c r="D190" s="52">
        <v>6</v>
      </c>
      <c r="E190" s="639">
        <v>2000</v>
      </c>
      <c r="F190" s="2011">
        <v>375</v>
      </c>
      <c r="G190" s="2015">
        <f>F190/C190</f>
        <v>31.25</v>
      </c>
      <c r="H190" s="2603">
        <f>C190/D190</f>
        <v>2</v>
      </c>
      <c r="I190" s="646" t="s">
        <v>335</v>
      </c>
      <c r="J190" s="2048">
        <v>95</v>
      </c>
      <c r="K190" s="2650"/>
      <c r="L190" s="1304"/>
      <c r="M190" s="1304"/>
      <c r="N190" s="1304"/>
      <c r="O190" s="1304"/>
      <c r="P190" s="1305"/>
    </row>
    <row r="191" spans="1:16" hidden="1" outlineLevel="2" x14ac:dyDescent="0.15">
      <c r="A191" s="630" t="str">
        <f>CONCATENATE(B191," ",C191," core (",H191," chip) ",E191," MHz")</f>
        <v>Xeon E5-2630L 12 core (2 chip) 2000 MHz</v>
      </c>
      <c r="B191" s="661" t="s">
        <v>677</v>
      </c>
      <c r="C191" s="2025">
        <v>12</v>
      </c>
      <c r="D191" s="50">
        <v>6</v>
      </c>
      <c r="E191" s="639">
        <v>2000</v>
      </c>
      <c r="F191" s="2012">
        <v>374</v>
      </c>
      <c r="G191" s="2015">
        <f>IF(F191=0,"",F191/C191)</f>
        <v>31.166666666666668</v>
      </c>
      <c r="H191" s="2603">
        <f>IF(C191=0,"",C191/D191)</f>
        <v>2</v>
      </c>
      <c r="I191" s="647" t="s">
        <v>335</v>
      </c>
      <c r="J191" s="2048">
        <v>60</v>
      </c>
      <c r="K191" s="2650"/>
      <c r="L191" s="1304"/>
      <c r="M191" s="1304"/>
      <c r="N191" s="1304"/>
      <c r="O191" s="1304"/>
      <c r="P191" s="1305"/>
    </row>
    <row r="192" spans="1:16" hidden="1" outlineLevel="2" x14ac:dyDescent="0.15">
      <c r="A192" s="630" t="str">
        <f>CONCATENATE(B192," ",C192," core (",H192," chip) ",E192," MHz")&amp;IF(ISBLANK(F192),"**","")</f>
        <v>Xeon E5-2687W 16 core (2 chip) 3100 MHz</v>
      </c>
      <c r="B192" s="660" t="s">
        <v>690</v>
      </c>
      <c r="C192" s="2024">
        <v>16</v>
      </c>
      <c r="D192" s="52">
        <v>8</v>
      </c>
      <c r="E192" s="639">
        <v>3100</v>
      </c>
      <c r="F192" s="2011">
        <v>683</v>
      </c>
      <c r="G192" s="2015">
        <f>F192/C192</f>
        <v>42.6875</v>
      </c>
      <c r="H192" s="2603">
        <f>C192/D192</f>
        <v>2</v>
      </c>
      <c r="I192" s="646" t="s">
        <v>335</v>
      </c>
      <c r="J192" s="2048">
        <v>130</v>
      </c>
      <c r="K192" s="2650"/>
      <c r="L192" s="1304"/>
      <c r="M192" s="1304"/>
      <c r="N192" s="1304"/>
      <c r="O192" s="1304"/>
      <c r="P192" s="1305"/>
    </row>
    <row r="193" spans="1:16" s="693" customFormat="1" hidden="1" outlineLevel="2" x14ac:dyDescent="0.15">
      <c r="A193" s="630" t="str">
        <f>CONCATENATE(B193," ",C193," core (",H193," chip) ",E193," MHz")</f>
        <v>Xeon E5-2690 16 core (2 chip) 2900 MHz</v>
      </c>
      <c r="B193" s="660" t="s">
        <v>608</v>
      </c>
      <c r="C193" s="2024">
        <v>16</v>
      </c>
      <c r="D193" s="52">
        <v>8</v>
      </c>
      <c r="E193" s="639">
        <v>2900</v>
      </c>
      <c r="F193" s="2011">
        <v>667</v>
      </c>
      <c r="G193" s="2015">
        <f>IF(F193=0,"",F193/C193)</f>
        <v>41.6875</v>
      </c>
      <c r="H193" s="2603">
        <f>IF(C193=0,"",C193/D193)</f>
        <v>2</v>
      </c>
      <c r="I193" s="647" t="s">
        <v>335</v>
      </c>
      <c r="J193" s="2048">
        <v>135</v>
      </c>
      <c r="K193" s="2650"/>
      <c r="L193" s="1304"/>
      <c r="M193" s="1304"/>
      <c r="N193" s="1304"/>
      <c r="O193" s="1304"/>
      <c r="P193" s="1305"/>
    </row>
    <row r="194" spans="1:16" hidden="1" outlineLevel="2" x14ac:dyDescent="0.15">
      <c r="A194" s="630" t="str">
        <f>CONCATENATE(B194," ",C194," core (",H194," chip) ",E194," MHz")</f>
        <v>Xeon E5-2690 8 core (1 chip) 2900 MHz</v>
      </c>
      <c r="B194" s="660" t="s">
        <v>608</v>
      </c>
      <c r="C194" s="2024">
        <v>8</v>
      </c>
      <c r="D194" s="52">
        <v>8</v>
      </c>
      <c r="E194" s="639">
        <v>2900</v>
      </c>
      <c r="F194" s="2011">
        <v>331</v>
      </c>
      <c r="G194" s="2015">
        <f t="shared" ref="G194:G204" si="22">F194/C194</f>
        <v>41.375</v>
      </c>
      <c r="H194" s="2603">
        <f t="shared" ref="H194:H204" si="23">C194/D194</f>
        <v>1</v>
      </c>
      <c r="I194" s="646" t="s">
        <v>335</v>
      </c>
      <c r="J194" s="2048">
        <v>135</v>
      </c>
      <c r="K194" s="2650"/>
      <c r="L194" s="1304"/>
      <c r="M194" s="1304"/>
      <c r="N194" s="1304"/>
      <c r="O194" s="1304"/>
      <c r="P194" s="1305"/>
    </row>
    <row r="195" spans="1:16" hidden="1" outlineLevel="2" x14ac:dyDescent="0.15">
      <c r="A195" s="630" t="str">
        <f>CONCATENATE(B195," ",C195," core (",H195," chip) ",E195," MHz")</f>
        <v>Xeon E5-2680 16 core (2 chip) 2700 MHz</v>
      </c>
      <c r="B195" s="660" t="s">
        <v>609</v>
      </c>
      <c r="C195" s="2024">
        <v>16</v>
      </c>
      <c r="D195" s="52">
        <v>8</v>
      </c>
      <c r="E195" s="639">
        <v>2700</v>
      </c>
      <c r="F195" s="2011">
        <v>638</v>
      </c>
      <c r="G195" s="2015">
        <f t="shared" si="22"/>
        <v>39.875</v>
      </c>
      <c r="H195" s="2603">
        <f t="shared" si="23"/>
        <v>2</v>
      </c>
      <c r="I195" s="646" t="s">
        <v>335</v>
      </c>
      <c r="J195" s="2048">
        <v>130</v>
      </c>
      <c r="K195" s="2650"/>
      <c r="L195" s="1304"/>
      <c r="M195" s="1304"/>
      <c r="N195" s="1304"/>
      <c r="O195" s="1304"/>
      <c r="P195" s="1305"/>
    </row>
    <row r="196" spans="1:16" hidden="1" outlineLevel="2" x14ac:dyDescent="0.15">
      <c r="A196" s="630" t="str">
        <f>CONCATENATE(B196," ",C196," core (",H196," chip) ",E196," MHz")</f>
        <v>Xeon E5-2680 8 core (1 chip) 2700 MHz</v>
      </c>
      <c r="B196" s="660" t="s">
        <v>609</v>
      </c>
      <c r="C196" s="2024">
        <v>8</v>
      </c>
      <c r="D196" s="52">
        <v>8</v>
      </c>
      <c r="E196" s="639">
        <v>2700</v>
      </c>
      <c r="F196" s="2011">
        <v>315</v>
      </c>
      <c r="G196" s="2015">
        <f t="shared" si="22"/>
        <v>39.375</v>
      </c>
      <c r="H196" s="2603">
        <f t="shared" si="23"/>
        <v>1</v>
      </c>
      <c r="I196" s="646" t="s">
        <v>335</v>
      </c>
      <c r="J196" s="2048">
        <v>130</v>
      </c>
      <c r="K196" s="2650"/>
    </row>
    <row r="197" spans="1:16" hidden="1" outlineLevel="2" x14ac:dyDescent="0.15">
      <c r="A197" s="630" t="str">
        <f>CONCATENATE(B197," ",C197," core (",H197," chip) ",E197," MHz")</f>
        <v>Xeon E5-2687W 16 core (2 chip) 3100 MHz</v>
      </c>
      <c r="B197" s="660" t="s">
        <v>690</v>
      </c>
      <c r="C197" s="2024">
        <v>16</v>
      </c>
      <c r="D197" s="52">
        <v>8</v>
      </c>
      <c r="E197" s="639">
        <v>3100</v>
      </c>
      <c r="F197" s="2011">
        <v>683</v>
      </c>
      <c r="G197" s="2015">
        <f t="shared" si="22"/>
        <v>42.6875</v>
      </c>
      <c r="H197" s="2603">
        <f t="shared" si="23"/>
        <v>2</v>
      </c>
      <c r="I197" s="646" t="s">
        <v>335</v>
      </c>
      <c r="J197" s="2048">
        <v>150</v>
      </c>
      <c r="K197" s="2650"/>
    </row>
    <row r="198" spans="1:16" hidden="1" outlineLevel="2" x14ac:dyDescent="0.15">
      <c r="A198" s="630" t="str">
        <f>CONCATENATE(B198," ",C198," core (",H198," chip) ",E198," MHz")&amp;IF(ISBLANK(F198),"**","")</f>
        <v>Xeon E5-2660 16 core (2 chip) 2200 MHz</v>
      </c>
      <c r="B198" s="660" t="s">
        <v>762</v>
      </c>
      <c r="C198" s="2024">
        <v>16</v>
      </c>
      <c r="D198" s="52">
        <v>8</v>
      </c>
      <c r="E198" s="639">
        <v>2200</v>
      </c>
      <c r="F198" s="2011">
        <v>575</v>
      </c>
      <c r="G198" s="2015">
        <f t="shared" si="22"/>
        <v>35.9375</v>
      </c>
      <c r="H198" s="2603">
        <f t="shared" si="23"/>
        <v>2</v>
      </c>
      <c r="I198" s="646" t="s">
        <v>335</v>
      </c>
      <c r="J198" s="2048">
        <v>95</v>
      </c>
      <c r="K198" s="2650"/>
    </row>
    <row r="199" spans="1:16" hidden="1" outlineLevel="2" x14ac:dyDescent="0.15">
      <c r="A199" s="630" t="str">
        <f>CONCATENATE(B199," ",C199," core (",H199," chip) ",E199," MHz")&amp;IF(ISBLANK(F199),"**","")</f>
        <v>Xeon E5-2665 16 core (2 chip) 2400 MHz</v>
      </c>
      <c r="B199" s="660" t="s">
        <v>763</v>
      </c>
      <c r="C199" s="2024">
        <v>16</v>
      </c>
      <c r="D199" s="52">
        <v>8</v>
      </c>
      <c r="E199" s="639">
        <v>2400</v>
      </c>
      <c r="F199" s="2011">
        <v>592</v>
      </c>
      <c r="G199" s="2015">
        <f t="shared" si="22"/>
        <v>37</v>
      </c>
      <c r="H199" s="2603">
        <f t="shared" si="23"/>
        <v>2</v>
      </c>
      <c r="I199" s="646" t="s">
        <v>335</v>
      </c>
      <c r="J199" s="2048">
        <v>115</v>
      </c>
      <c r="K199" s="2650"/>
    </row>
    <row r="200" spans="1:16" hidden="1" outlineLevel="2" x14ac:dyDescent="0.15">
      <c r="A200" s="630" t="str">
        <f>CONCATENATE(B200," ",C200," core (",H200," chip) ",E200," MHz")&amp;IF(ISBLANK(F200),"**","")</f>
        <v>Xeon E5-2670 16 core (2 chip) 2600 MHz</v>
      </c>
      <c r="B200" s="660" t="s">
        <v>691</v>
      </c>
      <c r="C200" s="2024">
        <v>16</v>
      </c>
      <c r="D200" s="52">
        <v>8</v>
      </c>
      <c r="E200" s="639">
        <v>2600</v>
      </c>
      <c r="F200" s="2011">
        <v>618</v>
      </c>
      <c r="G200" s="2015">
        <f t="shared" si="22"/>
        <v>38.625</v>
      </c>
      <c r="H200" s="2603">
        <f t="shared" si="23"/>
        <v>2</v>
      </c>
      <c r="I200" s="646" t="s">
        <v>335</v>
      </c>
      <c r="J200" s="2048">
        <v>115</v>
      </c>
      <c r="K200" s="2650"/>
    </row>
    <row r="201" spans="1:16" hidden="1" outlineLevel="2" collapsed="1" x14ac:dyDescent="0.15">
      <c r="A201" s="630" t="str">
        <f>CONCATENATE(B201," ",C201," core (",H201," chip) ",E201," MHz")</f>
        <v>Xeon E5-2648L 16 core (2 chip) 1800 MHz</v>
      </c>
      <c r="B201" s="660" t="s">
        <v>760</v>
      </c>
      <c r="C201" s="2024">
        <v>16</v>
      </c>
      <c r="D201" s="52">
        <v>8</v>
      </c>
      <c r="E201" s="639">
        <v>1800</v>
      </c>
      <c r="F201" s="2011">
        <v>401</v>
      </c>
      <c r="G201" s="2015">
        <f t="shared" si="22"/>
        <v>25.0625</v>
      </c>
      <c r="H201" s="2603">
        <f t="shared" si="23"/>
        <v>2</v>
      </c>
      <c r="I201" s="646" t="s">
        <v>335</v>
      </c>
      <c r="J201" s="2048">
        <v>70</v>
      </c>
      <c r="K201" s="2650"/>
    </row>
    <row r="202" spans="1:16" hidden="1" outlineLevel="2" collapsed="1" x14ac:dyDescent="0.15">
      <c r="A202" s="630" t="str">
        <f>CONCATENATE(B202," ",C202," core (",H202," chip) ",E202," MHz")</f>
        <v>Xeon E5-2650 16 core (2 chip) 2000 MHz</v>
      </c>
      <c r="B202" s="660" t="s">
        <v>679</v>
      </c>
      <c r="C202" s="2024">
        <v>16</v>
      </c>
      <c r="D202" s="52">
        <v>8</v>
      </c>
      <c r="E202" s="639">
        <v>2000</v>
      </c>
      <c r="F202" s="2011">
        <v>516</v>
      </c>
      <c r="G202" s="2015">
        <f t="shared" si="22"/>
        <v>32.25</v>
      </c>
      <c r="H202" s="2603">
        <f t="shared" si="23"/>
        <v>2</v>
      </c>
      <c r="I202" s="646" t="s">
        <v>335</v>
      </c>
      <c r="J202" s="2048">
        <v>95</v>
      </c>
      <c r="K202" s="2650"/>
    </row>
    <row r="203" spans="1:16" hidden="1" outlineLevel="2" x14ac:dyDescent="0.15">
      <c r="A203" s="630" t="str">
        <f>CONCATENATE(B203," ",C203," core (",H203," chip) ",E203," MHz")&amp;IF(ISBLANK(F203),"**","")</f>
        <v>Xeon E5-2650L 16 core (2 chip) 1800 MHz</v>
      </c>
      <c r="B203" s="660" t="s">
        <v>692</v>
      </c>
      <c r="C203" s="2024">
        <v>16</v>
      </c>
      <c r="D203" s="52">
        <v>8</v>
      </c>
      <c r="E203" s="639">
        <v>1800</v>
      </c>
      <c r="F203" s="2011">
        <v>440</v>
      </c>
      <c r="G203" s="2015">
        <f t="shared" si="22"/>
        <v>27.5</v>
      </c>
      <c r="H203" s="2603">
        <f t="shared" si="23"/>
        <v>2</v>
      </c>
      <c r="I203" s="646" t="s">
        <v>335</v>
      </c>
      <c r="J203" s="2048">
        <v>70</v>
      </c>
      <c r="K203" s="2650"/>
    </row>
    <row r="204" spans="1:16" hidden="1" outlineLevel="2" x14ac:dyDescent="0.15">
      <c r="A204" s="630" t="str">
        <f>CONCATENATE(B204," ",C204," core (",H204," chip) ",E204," MHz")&amp;IF(ISBLANK(F204),"**","")</f>
        <v>Xeon E5-2658 16 core (2 chip) 2100 MHz</v>
      </c>
      <c r="B204" s="660" t="s">
        <v>761</v>
      </c>
      <c r="C204" s="2024">
        <v>16</v>
      </c>
      <c r="D204" s="52">
        <v>8</v>
      </c>
      <c r="E204" s="639">
        <v>2100</v>
      </c>
      <c r="F204" s="2011">
        <v>462</v>
      </c>
      <c r="G204" s="2015">
        <f t="shared" si="22"/>
        <v>28.875</v>
      </c>
      <c r="H204" s="2603">
        <f t="shared" si="23"/>
        <v>2</v>
      </c>
      <c r="I204" s="646" t="s">
        <v>335</v>
      </c>
      <c r="J204" s="2048">
        <v>95</v>
      </c>
      <c r="K204" s="2650"/>
    </row>
    <row r="205" spans="1:16" hidden="1" outlineLevel="1" collapsed="1" x14ac:dyDescent="0.15">
      <c r="A205" s="628" t="s">
        <v>764</v>
      </c>
      <c r="B205" s="659" t="str">
        <f>A205</f>
        <v xml:space="preserve"> ==== 2012 MP Server Platforms ====</v>
      </c>
      <c r="C205" s="656"/>
      <c r="D205" s="2022"/>
      <c r="E205" s="2023"/>
      <c r="F205" s="2010"/>
      <c r="G205" s="2017"/>
      <c r="H205" s="2606"/>
      <c r="I205" s="645"/>
      <c r="J205" s="672" t="s">
        <v>165</v>
      </c>
      <c r="K205" s="2651"/>
    </row>
    <row r="206" spans="1:16" hidden="1" outlineLevel="2" x14ac:dyDescent="0.15">
      <c r="A206" s="630" t="str">
        <f t="shared" ref="A206:A221" si="24">CONCATENATE(B206," ",C206," core (",H206," chip) ",E206," MHz")&amp;IF(ISBLANK(F206),"**","")</f>
        <v>Xeon E7-2850 20 core (2 chip) 2000 MHz</v>
      </c>
      <c r="B206" s="660" t="s">
        <v>799</v>
      </c>
      <c r="C206" s="2024">
        <v>20</v>
      </c>
      <c r="D206" s="52">
        <v>10</v>
      </c>
      <c r="E206" s="639">
        <v>2000</v>
      </c>
      <c r="F206" s="2011">
        <v>462</v>
      </c>
      <c r="G206" s="2015">
        <f t="shared" ref="G206:G221" si="25">F206/C206</f>
        <v>23.1</v>
      </c>
      <c r="H206" s="2603">
        <f t="shared" ref="H206:H221" si="26">C206/D206</f>
        <v>2</v>
      </c>
      <c r="I206" s="646" t="s">
        <v>335</v>
      </c>
      <c r="J206" s="2048">
        <v>130</v>
      </c>
      <c r="K206" s="2650"/>
    </row>
    <row r="207" spans="1:16" hidden="1" outlineLevel="2" x14ac:dyDescent="0.15">
      <c r="A207" s="630" t="str">
        <f t="shared" si="24"/>
        <v>Xeon E7-2860 20 core (2 chip) 2267 MHz</v>
      </c>
      <c r="B207" s="660" t="s">
        <v>800</v>
      </c>
      <c r="C207" s="2024">
        <v>20</v>
      </c>
      <c r="D207" s="52">
        <v>10</v>
      </c>
      <c r="E207" s="639">
        <v>2267</v>
      </c>
      <c r="F207" s="2011">
        <v>519</v>
      </c>
      <c r="G207" s="2015">
        <f t="shared" si="25"/>
        <v>25.95</v>
      </c>
      <c r="H207" s="2603">
        <f t="shared" si="26"/>
        <v>2</v>
      </c>
      <c r="I207" s="646" t="s">
        <v>335</v>
      </c>
      <c r="J207" s="2048">
        <v>130</v>
      </c>
      <c r="K207" s="2650"/>
    </row>
    <row r="208" spans="1:16" hidden="1" outlineLevel="2" x14ac:dyDescent="0.15">
      <c r="A208" s="630" t="str">
        <f t="shared" si="24"/>
        <v>Xeon E5-4603 16 core (4 chip) 2000 MHz</v>
      </c>
      <c r="B208" s="660" t="s">
        <v>765</v>
      </c>
      <c r="C208" s="2024">
        <v>16</v>
      </c>
      <c r="D208" s="52">
        <v>4</v>
      </c>
      <c r="E208" s="639">
        <v>2000</v>
      </c>
      <c r="F208" s="2011">
        <v>440</v>
      </c>
      <c r="G208" s="2015">
        <f t="shared" si="25"/>
        <v>27.5</v>
      </c>
      <c r="H208" s="2603">
        <f t="shared" si="26"/>
        <v>4</v>
      </c>
      <c r="I208" s="646" t="s">
        <v>335</v>
      </c>
      <c r="J208" s="2048">
        <v>95</v>
      </c>
      <c r="K208" s="2650"/>
    </row>
    <row r="209" spans="1:11" hidden="1" outlineLevel="2" x14ac:dyDescent="0.15">
      <c r="A209" s="630" t="str">
        <f t="shared" si="24"/>
        <v>Xeon E5-4607 24 core (4 chip) 2200 MHz</v>
      </c>
      <c r="B209" s="660" t="s">
        <v>766</v>
      </c>
      <c r="C209" s="2024">
        <v>24</v>
      </c>
      <c r="D209" s="52">
        <v>6</v>
      </c>
      <c r="E209" s="639">
        <v>2200</v>
      </c>
      <c r="F209" s="2011">
        <v>686</v>
      </c>
      <c r="G209" s="2015">
        <f t="shared" si="25"/>
        <v>28.583333333333332</v>
      </c>
      <c r="H209" s="2603">
        <f t="shared" si="26"/>
        <v>4</v>
      </c>
      <c r="I209" s="646" t="s">
        <v>335</v>
      </c>
      <c r="J209" s="2048">
        <v>95</v>
      </c>
      <c r="K209" s="2650"/>
    </row>
    <row r="210" spans="1:11" hidden="1" outlineLevel="2" x14ac:dyDescent="0.15">
      <c r="A210" s="630" t="str">
        <f t="shared" si="24"/>
        <v>Xeon E5-4610 24 core (4 chip) 2400 MHz</v>
      </c>
      <c r="B210" s="660" t="s">
        <v>767</v>
      </c>
      <c r="C210" s="2024">
        <v>24</v>
      </c>
      <c r="D210" s="52">
        <v>6</v>
      </c>
      <c r="E210" s="639">
        <v>2400</v>
      </c>
      <c r="F210" s="2011">
        <v>851</v>
      </c>
      <c r="G210" s="2015">
        <f t="shared" si="25"/>
        <v>35.458333333333336</v>
      </c>
      <c r="H210" s="2603">
        <f t="shared" si="26"/>
        <v>4</v>
      </c>
      <c r="I210" s="646" t="s">
        <v>335</v>
      </c>
      <c r="J210" s="2048">
        <v>95</v>
      </c>
      <c r="K210" s="2650"/>
    </row>
    <row r="211" spans="1:11" hidden="1" outlineLevel="2" x14ac:dyDescent="0.15">
      <c r="A211" s="630" t="str">
        <f t="shared" si="24"/>
        <v>Xeon E5-4617 24 core (4 chip) 2900 MHz</v>
      </c>
      <c r="B211" s="660" t="s">
        <v>768</v>
      </c>
      <c r="C211" s="2024">
        <v>24</v>
      </c>
      <c r="D211" s="52">
        <v>6</v>
      </c>
      <c r="E211" s="639">
        <v>2900</v>
      </c>
      <c r="F211" s="2011">
        <v>834</v>
      </c>
      <c r="G211" s="2015">
        <f t="shared" si="25"/>
        <v>34.75</v>
      </c>
      <c r="H211" s="2603">
        <f t="shared" si="26"/>
        <v>4</v>
      </c>
      <c r="I211" s="646" t="s">
        <v>335</v>
      </c>
      <c r="J211" s="2048">
        <v>130</v>
      </c>
      <c r="K211" s="2650"/>
    </row>
    <row r="212" spans="1:11" hidden="1" outlineLevel="2" x14ac:dyDescent="0.15">
      <c r="A212" s="630" t="str">
        <f t="shared" si="24"/>
        <v>Xeon E5-4620 32 core (4 chip) 2200 MHz</v>
      </c>
      <c r="B212" s="660" t="s">
        <v>769</v>
      </c>
      <c r="C212" s="2024">
        <v>32</v>
      </c>
      <c r="D212" s="52">
        <v>8</v>
      </c>
      <c r="E212" s="639">
        <v>2200</v>
      </c>
      <c r="F212" s="2011">
        <v>952</v>
      </c>
      <c r="G212" s="2015">
        <f t="shared" si="25"/>
        <v>29.75</v>
      </c>
      <c r="H212" s="2603">
        <f t="shared" si="26"/>
        <v>4</v>
      </c>
      <c r="I212" s="646" t="s">
        <v>335</v>
      </c>
      <c r="J212" s="2048">
        <v>95</v>
      </c>
      <c r="K212" s="2650"/>
    </row>
    <row r="213" spans="1:11" hidden="1" outlineLevel="2" x14ac:dyDescent="0.15">
      <c r="A213" s="630" t="str">
        <f t="shared" si="24"/>
        <v>Xeon E5-4640 32 core (4 chip) 2400 MHz</v>
      </c>
      <c r="B213" s="660" t="s">
        <v>770</v>
      </c>
      <c r="C213" s="2024">
        <v>32</v>
      </c>
      <c r="D213" s="52">
        <v>8</v>
      </c>
      <c r="E213" s="639">
        <v>2400</v>
      </c>
      <c r="F213" s="2011">
        <v>1060</v>
      </c>
      <c r="G213" s="2015">
        <f t="shared" si="25"/>
        <v>33.125</v>
      </c>
      <c r="H213" s="2603">
        <f t="shared" si="26"/>
        <v>4</v>
      </c>
      <c r="I213" s="646" t="s">
        <v>335</v>
      </c>
      <c r="J213" s="2048">
        <v>95</v>
      </c>
      <c r="K213" s="2650"/>
    </row>
    <row r="214" spans="1:11" hidden="1" outlineLevel="2" x14ac:dyDescent="0.15">
      <c r="A214" s="630" t="str">
        <f t="shared" si="24"/>
        <v>Xeon E5-4650 32 core (4 chip) 2700 MHz</v>
      </c>
      <c r="B214" s="660" t="s">
        <v>771</v>
      </c>
      <c r="C214" s="2024">
        <v>32</v>
      </c>
      <c r="D214" s="52">
        <v>8</v>
      </c>
      <c r="E214" s="639">
        <v>2700</v>
      </c>
      <c r="F214" s="2011">
        <v>1190</v>
      </c>
      <c r="G214" s="2015">
        <f t="shared" si="25"/>
        <v>37.1875</v>
      </c>
      <c r="H214" s="2603">
        <f t="shared" si="26"/>
        <v>4</v>
      </c>
      <c r="I214" s="646" t="s">
        <v>335</v>
      </c>
      <c r="J214" s="2048">
        <v>130</v>
      </c>
      <c r="K214" s="2650"/>
    </row>
    <row r="215" spans="1:11" hidden="1" outlineLevel="2" x14ac:dyDescent="0.15">
      <c r="A215" s="630" t="str">
        <f t="shared" si="24"/>
        <v>Xeon E5-4650 1024 core (128 chip) 2700 MHz</v>
      </c>
      <c r="B215" s="660" t="s">
        <v>771</v>
      </c>
      <c r="C215" s="2024">
        <v>1024</v>
      </c>
      <c r="D215" s="52">
        <v>8</v>
      </c>
      <c r="E215" s="639">
        <v>2700</v>
      </c>
      <c r="F215" s="2011">
        <v>31100</v>
      </c>
      <c r="G215" s="2015">
        <f t="shared" si="25"/>
        <v>30.37109375</v>
      </c>
      <c r="H215" s="2603">
        <f t="shared" si="26"/>
        <v>128</v>
      </c>
      <c r="I215" s="646" t="s">
        <v>335</v>
      </c>
      <c r="J215" s="2048">
        <v>130</v>
      </c>
      <c r="K215" s="2650"/>
    </row>
    <row r="216" spans="1:11" hidden="1" outlineLevel="2" x14ac:dyDescent="0.15">
      <c r="A216" s="630" t="str">
        <f t="shared" si="24"/>
        <v>Xeon E5-4650L 32 core (4 chip) 2600 MHz</v>
      </c>
      <c r="B216" s="660" t="s">
        <v>772</v>
      </c>
      <c r="C216" s="2024">
        <v>32</v>
      </c>
      <c r="D216" s="52">
        <v>8</v>
      </c>
      <c r="E216" s="639">
        <v>2600</v>
      </c>
      <c r="F216" s="2011">
        <v>1150</v>
      </c>
      <c r="G216" s="2015">
        <f t="shared" si="25"/>
        <v>35.9375</v>
      </c>
      <c r="H216" s="2603">
        <f t="shared" si="26"/>
        <v>4</v>
      </c>
      <c r="I216" s="646" t="s">
        <v>335</v>
      </c>
      <c r="J216" s="2048">
        <v>115</v>
      </c>
      <c r="K216" s="2650"/>
    </row>
    <row r="217" spans="1:11" hidden="1" outlineLevel="2" x14ac:dyDescent="0.15">
      <c r="A217" s="630" t="str">
        <f t="shared" si="24"/>
        <v>Xeon E7-4807 24 core (4 chip) 1867 MHz</v>
      </c>
      <c r="B217" s="660" t="s">
        <v>801</v>
      </c>
      <c r="C217" s="2024">
        <v>24</v>
      </c>
      <c r="D217" s="52">
        <v>6</v>
      </c>
      <c r="E217" s="639">
        <v>1867</v>
      </c>
      <c r="F217" s="2011">
        <v>492</v>
      </c>
      <c r="G217" s="2015">
        <f t="shared" si="25"/>
        <v>20.5</v>
      </c>
      <c r="H217" s="2603">
        <f t="shared" si="26"/>
        <v>4</v>
      </c>
      <c r="I217" s="646" t="s">
        <v>335</v>
      </c>
      <c r="J217" s="2048">
        <v>95</v>
      </c>
      <c r="K217" s="2650"/>
    </row>
    <row r="218" spans="1:11" hidden="1" outlineLevel="2" x14ac:dyDescent="0.15">
      <c r="A218" s="630" t="str">
        <f t="shared" si="24"/>
        <v>Xeon E7-8837 32 core (4 chip) 2667 MHz</v>
      </c>
      <c r="B218" s="660" t="s">
        <v>481</v>
      </c>
      <c r="C218" s="2024">
        <v>32</v>
      </c>
      <c r="D218" s="52">
        <v>8</v>
      </c>
      <c r="E218" s="639">
        <v>2667</v>
      </c>
      <c r="F218" s="2011">
        <v>772</v>
      </c>
      <c r="G218" s="2015">
        <f t="shared" si="25"/>
        <v>24.125</v>
      </c>
      <c r="H218" s="2603">
        <f t="shared" si="26"/>
        <v>4</v>
      </c>
      <c r="I218" s="646" t="s">
        <v>335</v>
      </c>
      <c r="J218" s="2048">
        <v>130</v>
      </c>
      <c r="K218" s="2650"/>
    </row>
    <row r="219" spans="1:11" hidden="1" outlineLevel="2" x14ac:dyDescent="0.15">
      <c r="A219" s="630" t="str">
        <f t="shared" si="24"/>
        <v>Xeon E7-4850 40 core (4 chip) 2000 MHz</v>
      </c>
      <c r="B219" s="660" t="s">
        <v>480</v>
      </c>
      <c r="C219" s="2024">
        <v>40</v>
      </c>
      <c r="D219" s="52">
        <v>10</v>
      </c>
      <c r="E219" s="639">
        <v>2000</v>
      </c>
      <c r="F219" s="2011">
        <v>864</v>
      </c>
      <c r="G219" s="2015">
        <f t="shared" si="25"/>
        <v>21.6</v>
      </c>
      <c r="H219" s="2603">
        <f t="shared" si="26"/>
        <v>4</v>
      </c>
      <c r="I219" s="646" t="s">
        <v>335</v>
      </c>
      <c r="J219" s="2048">
        <v>130</v>
      </c>
      <c r="K219" s="2650"/>
    </row>
    <row r="220" spans="1:11" hidden="1" outlineLevel="2" x14ac:dyDescent="0.15">
      <c r="A220" s="630" t="str">
        <f t="shared" si="24"/>
        <v>Xeon E7-4870 20 core (2 chip) 2400 MHz</v>
      </c>
      <c r="B220" s="660" t="s">
        <v>478</v>
      </c>
      <c r="C220" s="2024">
        <v>20</v>
      </c>
      <c r="D220" s="52">
        <v>10</v>
      </c>
      <c r="E220" s="639">
        <v>2400</v>
      </c>
      <c r="F220" s="2011">
        <v>536</v>
      </c>
      <c r="G220" s="2015">
        <f t="shared" si="25"/>
        <v>26.8</v>
      </c>
      <c r="H220" s="2603">
        <f t="shared" si="26"/>
        <v>2</v>
      </c>
      <c r="I220" s="646" t="s">
        <v>335</v>
      </c>
      <c r="J220" s="2048">
        <v>130</v>
      </c>
      <c r="K220" s="2650"/>
    </row>
    <row r="221" spans="1:11" hidden="1" outlineLevel="2" x14ac:dyDescent="0.15">
      <c r="A221" s="630" t="str">
        <f t="shared" si="24"/>
        <v>Xeon E7-4870 40 core (4 chip) 2400 MHz</v>
      </c>
      <c r="B221" s="660" t="s">
        <v>478</v>
      </c>
      <c r="C221" s="2024">
        <v>40</v>
      </c>
      <c r="D221" s="52">
        <v>10</v>
      </c>
      <c r="E221" s="639">
        <v>2400</v>
      </c>
      <c r="F221" s="2011">
        <v>1100</v>
      </c>
      <c r="G221" s="2015">
        <f t="shared" si="25"/>
        <v>27.5</v>
      </c>
      <c r="H221" s="2603">
        <f t="shared" si="26"/>
        <v>4</v>
      </c>
      <c r="I221" s="646" t="s">
        <v>335</v>
      </c>
      <c r="J221" s="2048">
        <v>130</v>
      </c>
      <c r="K221" s="2650"/>
    </row>
    <row r="222" spans="1:11" hidden="1" outlineLevel="1" collapsed="1" x14ac:dyDescent="0.15">
      <c r="A222" s="628" t="s">
        <v>463</v>
      </c>
      <c r="B222" s="659" t="str">
        <f>A222</f>
        <v xml:space="preserve"> ==== 2011 DP Server Platforms ====</v>
      </c>
      <c r="C222" s="656"/>
      <c r="D222" s="2022"/>
      <c r="E222" s="2023"/>
      <c r="F222" s="2010"/>
      <c r="G222" s="2017"/>
      <c r="H222" s="2606"/>
      <c r="I222" s="645"/>
      <c r="J222" s="672" t="s">
        <v>165</v>
      </c>
      <c r="K222" s="2651"/>
    </row>
    <row r="223" spans="1:11" hidden="1" outlineLevel="2" x14ac:dyDescent="0.15">
      <c r="A223" s="630" t="str">
        <f>CONCATENATE(B223," ",C223," core (",H223," chip) ",E223," MHz")</f>
        <v>Xeon E3-1280 4 core (1 chip) 3500 MHz</v>
      </c>
      <c r="B223" s="660" t="s">
        <v>476</v>
      </c>
      <c r="C223" s="2024">
        <v>4</v>
      </c>
      <c r="D223" s="52">
        <v>4</v>
      </c>
      <c r="E223" s="639">
        <v>3500</v>
      </c>
      <c r="F223" s="2011">
        <v>160</v>
      </c>
      <c r="G223" s="2015">
        <f>F223/C223</f>
        <v>40</v>
      </c>
      <c r="H223" s="2604">
        <f>C223/D223</f>
        <v>1</v>
      </c>
      <c r="I223" s="646" t="s">
        <v>335</v>
      </c>
      <c r="J223" s="673">
        <v>95</v>
      </c>
      <c r="K223" s="2651"/>
    </row>
    <row r="224" spans="1:11" hidden="1" outlineLevel="2" x14ac:dyDescent="0.15">
      <c r="A224" s="630" t="str">
        <f t="shared" ref="A224:A234" si="27">CONCATENATE(B224," ",C224," core (",H224," chip) ",E224," MHz")</f>
        <v>Xeon E3-1270 4 core (1 chip) 3400 MHz</v>
      </c>
      <c r="B224" s="660" t="s">
        <v>511</v>
      </c>
      <c r="C224" s="2024">
        <v>4</v>
      </c>
      <c r="D224" s="52">
        <v>4</v>
      </c>
      <c r="E224" s="639">
        <v>3400</v>
      </c>
      <c r="F224" s="2011">
        <v>156</v>
      </c>
      <c r="G224" s="2015">
        <f t="shared" ref="G224:G234" si="28">F224/C224</f>
        <v>39</v>
      </c>
      <c r="H224" s="2604">
        <f t="shared" ref="H224:H234" si="29">C224/D224</f>
        <v>1</v>
      </c>
      <c r="I224" s="646" t="s">
        <v>335</v>
      </c>
      <c r="J224" s="673">
        <v>80</v>
      </c>
      <c r="K224" s="2651"/>
    </row>
    <row r="225" spans="1:11" hidden="1" outlineLevel="2" x14ac:dyDescent="0.15">
      <c r="A225" s="630" t="str">
        <f t="shared" si="27"/>
        <v>Xeon E3-1240 4 core (1 chip) 3333 MHz</v>
      </c>
      <c r="B225" s="660" t="s">
        <v>512</v>
      </c>
      <c r="C225" s="2024">
        <v>4</v>
      </c>
      <c r="D225" s="52">
        <v>4</v>
      </c>
      <c r="E225" s="639">
        <v>3333</v>
      </c>
      <c r="F225" s="2011">
        <v>154</v>
      </c>
      <c r="G225" s="2015">
        <f t="shared" si="28"/>
        <v>38.5</v>
      </c>
      <c r="H225" s="2604">
        <f t="shared" si="29"/>
        <v>1</v>
      </c>
      <c r="I225" s="646" t="s">
        <v>335</v>
      </c>
      <c r="J225" s="673">
        <v>80</v>
      </c>
      <c r="K225" s="2651"/>
    </row>
    <row r="226" spans="1:11" hidden="1" outlineLevel="2" x14ac:dyDescent="0.15">
      <c r="A226" s="630" t="str">
        <f t="shared" si="27"/>
        <v>Xeon E3-1230 4 core (1 chip) 3200 MHz</v>
      </c>
      <c r="B226" s="660" t="s">
        <v>513</v>
      </c>
      <c r="C226" s="2024">
        <v>4</v>
      </c>
      <c r="D226" s="52">
        <v>4</v>
      </c>
      <c r="E226" s="639">
        <v>3200</v>
      </c>
      <c r="F226" s="2011">
        <v>152</v>
      </c>
      <c r="G226" s="2015">
        <f t="shared" si="28"/>
        <v>38</v>
      </c>
      <c r="H226" s="2604">
        <f t="shared" si="29"/>
        <v>1</v>
      </c>
      <c r="I226" s="646" t="s">
        <v>335</v>
      </c>
      <c r="J226" s="673">
        <v>80</v>
      </c>
      <c r="K226" s="2651"/>
    </row>
    <row r="227" spans="1:11" hidden="1" outlineLevel="2" x14ac:dyDescent="0.15">
      <c r="A227" s="630" t="str">
        <f>CONCATENATE(B227," ",C227," core (",H227," chip) ",E227," MHz")</f>
        <v>Xeon E3-1220 4 core (1 chip) 3100 MHz</v>
      </c>
      <c r="B227" s="660" t="s">
        <v>514</v>
      </c>
      <c r="C227" s="2024">
        <v>4</v>
      </c>
      <c r="D227" s="52">
        <v>4</v>
      </c>
      <c r="E227" s="639">
        <v>3100</v>
      </c>
      <c r="F227" s="2011">
        <v>126</v>
      </c>
      <c r="G227" s="2015">
        <f>F227/C227</f>
        <v>31.5</v>
      </c>
      <c r="H227" s="2604">
        <f>C227/D227</f>
        <v>1</v>
      </c>
      <c r="I227" s="646" t="s">
        <v>335</v>
      </c>
      <c r="J227" s="673">
        <v>20</v>
      </c>
      <c r="K227" s="2651"/>
    </row>
    <row r="228" spans="1:11" hidden="1" outlineLevel="2" x14ac:dyDescent="0.15">
      <c r="A228" s="630" t="str">
        <f t="shared" si="27"/>
        <v>Xeon E7-2870 20 core (2 chip) 2400 MHz</v>
      </c>
      <c r="B228" s="660" t="s">
        <v>477</v>
      </c>
      <c r="C228" s="2024">
        <v>20</v>
      </c>
      <c r="D228" s="52">
        <v>10</v>
      </c>
      <c r="E228" s="639">
        <v>2400</v>
      </c>
      <c r="F228" s="2011">
        <v>508</v>
      </c>
      <c r="G228" s="2015">
        <f t="shared" si="28"/>
        <v>25.4</v>
      </c>
      <c r="H228" s="2604">
        <f t="shared" si="29"/>
        <v>2</v>
      </c>
      <c r="I228" s="646" t="s">
        <v>335</v>
      </c>
      <c r="J228" s="673">
        <v>130</v>
      </c>
      <c r="K228" s="2651"/>
    </row>
    <row r="229" spans="1:11" hidden="1" outlineLevel="2" x14ac:dyDescent="0.15">
      <c r="A229" s="630" t="str">
        <f t="shared" si="27"/>
        <v>Xeon E7-4870 40 core (4 chip) 2400 MHz</v>
      </c>
      <c r="B229" s="660" t="s">
        <v>478</v>
      </c>
      <c r="C229" s="2024">
        <v>40</v>
      </c>
      <c r="D229" s="52">
        <v>10</v>
      </c>
      <c r="E229" s="639">
        <v>2400</v>
      </c>
      <c r="F229" s="2011">
        <v>1010</v>
      </c>
      <c r="G229" s="2015">
        <f t="shared" si="28"/>
        <v>25.25</v>
      </c>
      <c r="H229" s="2604">
        <f t="shared" si="29"/>
        <v>4</v>
      </c>
      <c r="I229" s="646" t="s">
        <v>335</v>
      </c>
      <c r="J229" s="673">
        <v>130</v>
      </c>
      <c r="K229" s="2651"/>
    </row>
    <row r="230" spans="1:11" hidden="1" outlineLevel="2" x14ac:dyDescent="0.15">
      <c r="A230" s="630" t="str">
        <f t="shared" si="27"/>
        <v>Xeon E7-4860 40 core (4 chip) 2267 MHz</v>
      </c>
      <c r="B230" s="660" t="s">
        <v>479</v>
      </c>
      <c r="C230" s="2024">
        <v>40</v>
      </c>
      <c r="D230" s="52">
        <v>10</v>
      </c>
      <c r="E230" s="639">
        <v>2267</v>
      </c>
      <c r="F230" s="2011">
        <v>950</v>
      </c>
      <c r="G230" s="2015">
        <f t="shared" si="28"/>
        <v>23.75</v>
      </c>
      <c r="H230" s="2604">
        <f t="shared" si="29"/>
        <v>4</v>
      </c>
      <c r="I230" s="646" t="s">
        <v>335</v>
      </c>
      <c r="J230" s="673">
        <v>130</v>
      </c>
      <c r="K230" s="2651"/>
    </row>
    <row r="231" spans="1:11" hidden="1" outlineLevel="2" x14ac:dyDescent="0.15">
      <c r="A231" s="630" t="str">
        <f t="shared" si="27"/>
        <v>Xeon E7-4850 40 core (4 chip) 2000 MHz</v>
      </c>
      <c r="B231" s="660" t="s">
        <v>480</v>
      </c>
      <c r="C231" s="2024">
        <v>40</v>
      </c>
      <c r="D231" s="52">
        <v>10</v>
      </c>
      <c r="E231" s="639">
        <v>2000</v>
      </c>
      <c r="F231" s="2011">
        <v>851</v>
      </c>
      <c r="G231" s="2015">
        <f t="shared" si="28"/>
        <v>21.274999999999999</v>
      </c>
      <c r="H231" s="2604">
        <f t="shared" si="29"/>
        <v>4</v>
      </c>
      <c r="I231" s="646" t="s">
        <v>335</v>
      </c>
      <c r="J231" s="673">
        <v>130</v>
      </c>
      <c r="K231" s="2651"/>
    </row>
    <row r="232" spans="1:11" hidden="1" outlineLevel="2" x14ac:dyDescent="0.15">
      <c r="A232" s="630" t="str">
        <f t="shared" si="27"/>
        <v>Xeon E7-8837 32 core (4 chip) 2667 MHz</v>
      </c>
      <c r="B232" s="660" t="s">
        <v>481</v>
      </c>
      <c r="C232" s="2024">
        <v>32</v>
      </c>
      <c r="D232" s="52">
        <v>8</v>
      </c>
      <c r="E232" s="639">
        <v>2667</v>
      </c>
      <c r="F232" s="2011">
        <v>743</v>
      </c>
      <c r="G232" s="2015">
        <f t="shared" si="28"/>
        <v>23.21875</v>
      </c>
      <c r="H232" s="2604">
        <f t="shared" si="29"/>
        <v>4</v>
      </c>
      <c r="I232" s="646" t="s">
        <v>335</v>
      </c>
      <c r="J232" s="673">
        <v>130</v>
      </c>
      <c r="K232" s="2651"/>
    </row>
    <row r="233" spans="1:11" hidden="1" outlineLevel="2" x14ac:dyDescent="0.15">
      <c r="A233" s="630" t="str">
        <f t="shared" si="27"/>
        <v>Xeon E7-4830 32 core (4 chip) 2133 MHz</v>
      </c>
      <c r="B233" s="660" t="s">
        <v>482</v>
      </c>
      <c r="C233" s="2024">
        <v>32</v>
      </c>
      <c r="D233" s="52">
        <v>8</v>
      </c>
      <c r="E233" s="639">
        <v>2133</v>
      </c>
      <c r="F233" s="2011">
        <v>736</v>
      </c>
      <c r="G233" s="2015">
        <f t="shared" si="28"/>
        <v>23</v>
      </c>
      <c r="H233" s="2604">
        <f t="shared" si="29"/>
        <v>4</v>
      </c>
      <c r="I233" s="646" t="s">
        <v>335</v>
      </c>
      <c r="J233" s="673">
        <v>105</v>
      </c>
      <c r="K233" s="2651"/>
    </row>
    <row r="234" spans="1:11" hidden="1" outlineLevel="2" x14ac:dyDescent="0.15">
      <c r="A234" s="630" t="str">
        <f t="shared" si="27"/>
        <v>Xeon E7-4820 32 core (4 chip) 2000 MHz</v>
      </c>
      <c r="B234" s="660" t="s">
        <v>483</v>
      </c>
      <c r="C234" s="2024">
        <v>32</v>
      </c>
      <c r="D234" s="52">
        <v>8</v>
      </c>
      <c r="E234" s="639">
        <v>2000</v>
      </c>
      <c r="F234" s="2011">
        <v>684</v>
      </c>
      <c r="G234" s="2015">
        <f t="shared" si="28"/>
        <v>21.375</v>
      </c>
      <c r="H234" s="2604">
        <f t="shared" si="29"/>
        <v>4</v>
      </c>
      <c r="I234" s="646" t="s">
        <v>335</v>
      </c>
      <c r="J234" s="673">
        <v>105</v>
      </c>
      <c r="K234" s="2651"/>
    </row>
    <row r="235" spans="1:11" hidden="1" outlineLevel="2" x14ac:dyDescent="0.15">
      <c r="A235" s="629" t="str">
        <f>CONCATENATE(B235," ",C235," core (",H235," chip) ",E235," MHz")</f>
        <v>Xeon X5687 8 core (2 chip) 3600 MHz</v>
      </c>
      <c r="B235" s="660" t="s">
        <v>464</v>
      </c>
      <c r="C235" s="2024">
        <v>8</v>
      </c>
      <c r="D235" s="52">
        <v>4</v>
      </c>
      <c r="E235" s="639">
        <v>3600</v>
      </c>
      <c r="F235" s="2011">
        <v>307</v>
      </c>
      <c r="G235" s="2015">
        <f>F235/C235</f>
        <v>38.375</v>
      </c>
      <c r="H235" s="2604">
        <f>C235/D235</f>
        <v>2</v>
      </c>
      <c r="I235" s="646" t="s">
        <v>335</v>
      </c>
      <c r="J235" s="673">
        <v>130</v>
      </c>
      <c r="K235" s="2651"/>
    </row>
    <row r="236" spans="1:11" hidden="1" outlineLevel="2" x14ac:dyDescent="0.15">
      <c r="A236" s="630" t="str">
        <f>CONCATENATE(B236," ",C236," core (",H236," chip) ",E236," MHz")</f>
        <v>Xeon X5687 4 core (1 chip) 3600 MHz</v>
      </c>
      <c r="B236" s="660" t="s">
        <v>464</v>
      </c>
      <c r="C236" s="2024">
        <v>4</v>
      </c>
      <c r="D236" s="52">
        <v>4</v>
      </c>
      <c r="E236" s="639">
        <v>3600</v>
      </c>
      <c r="F236" s="2011">
        <v>153.5</v>
      </c>
      <c r="G236" s="2015">
        <f>F236/C236</f>
        <v>38.375</v>
      </c>
      <c r="H236" s="2604">
        <f>C236/D236</f>
        <v>1</v>
      </c>
      <c r="I236" s="646" t="s">
        <v>335</v>
      </c>
      <c r="J236" s="673">
        <v>130</v>
      </c>
      <c r="K236" s="2651"/>
    </row>
    <row r="237" spans="1:11" hidden="1" outlineLevel="2" x14ac:dyDescent="0.15">
      <c r="A237" s="630" t="str">
        <f>CONCATENATE(B237," ",C237," core (",H237," chip) ",E237," MHz")</f>
        <v>Xeon X5672 8 core (2 chip) 3200 MHz</v>
      </c>
      <c r="B237" s="660" t="s">
        <v>571</v>
      </c>
      <c r="C237" s="2024">
        <v>8</v>
      </c>
      <c r="D237" s="52">
        <v>4</v>
      </c>
      <c r="E237" s="639">
        <v>3200</v>
      </c>
      <c r="F237" s="2011">
        <v>289</v>
      </c>
      <c r="G237" s="2015">
        <f>F237/C237</f>
        <v>36.125</v>
      </c>
      <c r="H237" s="2604">
        <f>C237/D237</f>
        <v>2</v>
      </c>
      <c r="I237" s="646" t="s">
        <v>335</v>
      </c>
      <c r="J237" s="673">
        <v>95</v>
      </c>
      <c r="K237" s="2651"/>
    </row>
    <row r="238" spans="1:11" hidden="1" outlineLevel="2" x14ac:dyDescent="0.15">
      <c r="A238" s="630" t="str">
        <f>CONCATENATE(B238," ",C238," core (",H238," chip) ",E238," MHz")</f>
        <v>Xeon X5672 4 core (1 chip) 3200 MHz</v>
      </c>
      <c r="B238" s="660" t="s">
        <v>571</v>
      </c>
      <c r="C238" s="2024">
        <v>4</v>
      </c>
      <c r="D238" s="52">
        <v>4</v>
      </c>
      <c r="E238" s="639">
        <v>3200</v>
      </c>
      <c r="F238" s="2011">
        <v>144.5</v>
      </c>
      <c r="G238" s="2015">
        <f>F238/C238</f>
        <v>36.125</v>
      </c>
      <c r="H238" s="2604">
        <f>C238/D238</f>
        <v>1</v>
      </c>
      <c r="I238" s="646" t="s">
        <v>335</v>
      </c>
      <c r="J238" s="673">
        <v>95</v>
      </c>
      <c r="K238" s="2651"/>
    </row>
    <row r="239" spans="1:11" hidden="1" outlineLevel="1" collapsed="1" x14ac:dyDescent="0.15">
      <c r="A239" s="628" t="s">
        <v>176</v>
      </c>
      <c r="B239" s="659" t="str">
        <f>A239</f>
        <v xml:space="preserve"> ==== 2010 DP Server Platforms ====</v>
      </c>
      <c r="C239" s="656"/>
      <c r="D239" s="2022"/>
      <c r="E239" s="2023"/>
      <c r="F239" s="2010"/>
      <c r="G239" s="2017"/>
      <c r="H239" s="2606"/>
      <c r="I239" s="645"/>
      <c r="J239" s="672" t="s">
        <v>165</v>
      </c>
      <c r="K239" s="2651"/>
    </row>
    <row r="240" spans="1:11" hidden="1" outlineLevel="2" x14ac:dyDescent="0.15">
      <c r="A240" s="629" t="str">
        <f>CONCATENATE(B240," ",C240," core (",H240," chip) ",E240," MHz")</f>
        <v>Xeon X5690 12 core (2 chip) 3466 MHz</v>
      </c>
      <c r="B240" s="660" t="s">
        <v>263</v>
      </c>
      <c r="C240" s="2024">
        <v>12</v>
      </c>
      <c r="D240" s="52">
        <v>6</v>
      </c>
      <c r="E240" s="639">
        <v>3466</v>
      </c>
      <c r="F240" s="2011">
        <v>386</v>
      </c>
      <c r="G240" s="2015">
        <f>F240/C240</f>
        <v>32.166666666666664</v>
      </c>
      <c r="H240" s="2604">
        <f>C240/D240</f>
        <v>2</v>
      </c>
      <c r="I240" s="646" t="s">
        <v>335</v>
      </c>
      <c r="J240" s="673">
        <v>130</v>
      </c>
      <c r="K240" s="2651"/>
    </row>
    <row r="241" spans="1:11" hidden="1" outlineLevel="2" x14ac:dyDescent="0.15">
      <c r="A241" s="629" t="str">
        <f t="shared" ref="A241:A257" si="30">CONCATENATE(B241," ",C241," core (",H241," chip) ",E241," MHz")</f>
        <v>Xeon X5677 8 core (2 chip) 3467 MHz</v>
      </c>
      <c r="B241" s="660" t="s">
        <v>137</v>
      </c>
      <c r="C241" s="2024">
        <v>8</v>
      </c>
      <c r="D241" s="52">
        <v>4</v>
      </c>
      <c r="E241" s="639">
        <v>3467</v>
      </c>
      <c r="F241" s="2011">
        <v>283</v>
      </c>
      <c r="G241" s="2015">
        <f t="shared" ref="G241:G257" si="31">F241/C241</f>
        <v>35.375</v>
      </c>
      <c r="H241" s="2604">
        <f t="shared" ref="H241:H257" si="32">C241/D241</f>
        <v>2</v>
      </c>
      <c r="I241" s="646" t="s">
        <v>335</v>
      </c>
      <c r="J241" s="673">
        <v>130</v>
      </c>
      <c r="K241" s="2651"/>
    </row>
    <row r="242" spans="1:11" hidden="1" outlineLevel="2" x14ac:dyDescent="0.15">
      <c r="A242" s="629" t="str">
        <f t="shared" si="30"/>
        <v>Xeon X5677 4 core (1 chip) 3467 MHz</v>
      </c>
      <c r="B242" s="660" t="s">
        <v>137</v>
      </c>
      <c r="C242" s="2024">
        <v>4</v>
      </c>
      <c r="D242" s="52">
        <v>4</v>
      </c>
      <c r="E242" s="639">
        <v>3467</v>
      </c>
      <c r="F242" s="2011">
        <v>141.5</v>
      </c>
      <c r="G242" s="2015">
        <f t="shared" si="31"/>
        <v>35.375</v>
      </c>
      <c r="H242" s="2604">
        <f t="shared" si="32"/>
        <v>1</v>
      </c>
      <c r="I242" s="646" t="s">
        <v>335</v>
      </c>
      <c r="J242" s="673">
        <v>130</v>
      </c>
      <c r="K242" s="2651"/>
    </row>
    <row r="243" spans="1:11" hidden="1" outlineLevel="2" x14ac:dyDescent="0.15">
      <c r="A243" s="629" t="str">
        <f t="shared" si="30"/>
        <v>Xeon X5667 8 core (2 chip) 3067 MHz</v>
      </c>
      <c r="B243" s="660" t="s">
        <v>138</v>
      </c>
      <c r="C243" s="2024">
        <v>8</v>
      </c>
      <c r="D243" s="52">
        <v>4</v>
      </c>
      <c r="E243" s="639">
        <v>3067</v>
      </c>
      <c r="F243" s="2011">
        <v>267</v>
      </c>
      <c r="G243" s="2015">
        <f t="shared" si="31"/>
        <v>33.375</v>
      </c>
      <c r="H243" s="2604">
        <f t="shared" si="32"/>
        <v>2</v>
      </c>
      <c r="I243" s="646" t="s">
        <v>335</v>
      </c>
      <c r="J243" s="673">
        <v>95</v>
      </c>
      <c r="K243" s="2651"/>
    </row>
    <row r="244" spans="1:11" hidden="1" outlineLevel="2" x14ac:dyDescent="0.15">
      <c r="A244" s="629" t="str">
        <f t="shared" si="30"/>
        <v>Xeon X3480 4 core (1 chip) 3067 MHz</v>
      </c>
      <c r="B244" s="660" t="s">
        <v>244</v>
      </c>
      <c r="C244" s="2024">
        <v>4</v>
      </c>
      <c r="D244" s="52">
        <v>4</v>
      </c>
      <c r="E244" s="639">
        <v>3067</v>
      </c>
      <c r="F244" s="2011">
        <v>123</v>
      </c>
      <c r="G244" s="2015">
        <f t="shared" si="31"/>
        <v>30.75</v>
      </c>
      <c r="H244" s="2604">
        <f t="shared" si="32"/>
        <v>1</v>
      </c>
      <c r="I244" s="646" t="s">
        <v>335</v>
      </c>
      <c r="J244" s="673">
        <v>95</v>
      </c>
      <c r="K244" s="2651"/>
    </row>
    <row r="245" spans="1:11" hidden="1" outlineLevel="2" x14ac:dyDescent="0.15">
      <c r="A245" s="631" t="str">
        <f t="shared" si="30"/>
        <v>Xeon E5640 8 core (2 chip) 2667 MHz</v>
      </c>
      <c r="B245" s="660" t="s">
        <v>166</v>
      </c>
      <c r="C245" s="2024">
        <v>8</v>
      </c>
      <c r="D245" s="52">
        <v>4</v>
      </c>
      <c r="E245" s="639">
        <v>2667</v>
      </c>
      <c r="F245" s="2011">
        <v>224</v>
      </c>
      <c r="G245" s="2015">
        <f t="shared" si="31"/>
        <v>28</v>
      </c>
      <c r="H245" s="2604">
        <f t="shared" si="32"/>
        <v>2</v>
      </c>
      <c r="I245" s="646" t="s">
        <v>335</v>
      </c>
      <c r="J245" s="676">
        <v>80</v>
      </c>
      <c r="K245" s="2651"/>
    </row>
    <row r="246" spans="1:11" hidden="1" outlineLevel="2" x14ac:dyDescent="0.15">
      <c r="A246" s="631" t="str">
        <f t="shared" si="30"/>
        <v>Xeon E5640 4 core (1 chip) 2667 MHz</v>
      </c>
      <c r="B246" s="660" t="s">
        <v>166</v>
      </c>
      <c r="C246" s="2024">
        <v>4</v>
      </c>
      <c r="D246" s="52">
        <v>4</v>
      </c>
      <c r="E246" s="639">
        <v>2667</v>
      </c>
      <c r="F246" s="2011">
        <v>112</v>
      </c>
      <c r="G246" s="2015">
        <f t="shared" si="31"/>
        <v>28</v>
      </c>
      <c r="H246" s="2604">
        <f t="shared" si="32"/>
        <v>1</v>
      </c>
      <c r="I246" s="646" t="s">
        <v>335</v>
      </c>
      <c r="J246" s="676">
        <v>80</v>
      </c>
      <c r="K246" s="2651"/>
    </row>
    <row r="247" spans="1:11" hidden="1" outlineLevel="2" x14ac:dyDescent="0.15">
      <c r="A247" s="631" t="str">
        <f t="shared" si="30"/>
        <v>Xeon E5620 4 core (1 chip) 2400 MHz</v>
      </c>
      <c r="B247" s="660" t="s">
        <v>243</v>
      </c>
      <c r="C247" s="2024">
        <v>4</v>
      </c>
      <c r="D247" s="52">
        <v>4</v>
      </c>
      <c r="E247" s="639">
        <v>2400</v>
      </c>
      <c r="F247" s="2011">
        <v>106</v>
      </c>
      <c r="G247" s="2015">
        <f t="shared" si="31"/>
        <v>26.5</v>
      </c>
      <c r="H247" s="2604">
        <f t="shared" si="32"/>
        <v>1</v>
      </c>
      <c r="I247" s="646" t="s">
        <v>335</v>
      </c>
      <c r="J247" s="676">
        <v>80</v>
      </c>
      <c r="K247" s="2651"/>
    </row>
    <row r="248" spans="1:11" s="317" customFormat="1" hidden="1" outlineLevel="2" x14ac:dyDescent="0.15">
      <c r="A248" s="629" t="str">
        <f t="shared" si="30"/>
        <v>Xeon X5690 12 core (2 chip) 3466 MHz</v>
      </c>
      <c r="B248" s="660" t="s">
        <v>263</v>
      </c>
      <c r="C248" s="2024">
        <v>12</v>
      </c>
      <c r="D248" s="52">
        <v>6</v>
      </c>
      <c r="E248" s="639">
        <v>3466</v>
      </c>
      <c r="F248" s="2011">
        <v>385</v>
      </c>
      <c r="G248" s="2015">
        <f t="shared" si="31"/>
        <v>32.083333333333336</v>
      </c>
      <c r="H248" s="2604">
        <f t="shared" si="32"/>
        <v>2</v>
      </c>
      <c r="I248" s="646" t="s">
        <v>335</v>
      </c>
      <c r="J248" s="673">
        <v>130</v>
      </c>
      <c r="K248" s="2653"/>
    </row>
    <row r="249" spans="1:11" s="317" customFormat="1" hidden="1" outlineLevel="2" x14ac:dyDescent="0.15">
      <c r="A249" s="629" t="str">
        <f t="shared" si="30"/>
        <v>Xeon X5680 12 core (2 chip) 3333 MHz</v>
      </c>
      <c r="B249" s="660" t="s">
        <v>141</v>
      </c>
      <c r="C249" s="2024">
        <v>12</v>
      </c>
      <c r="D249" s="52">
        <v>6</v>
      </c>
      <c r="E249" s="639">
        <v>3333</v>
      </c>
      <c r="F249" s="2011">
        <v>355</v>
      </c>
      <c r="G249" s="2015">
        <f t="shared" si="31"/>
        <v>29.583333333333332</v>
      </c>
      <c r="H249" s="2604">
        <f t="shared" si="32"/>
        <v>2</v>
      </c>
      <c r="I249" s="646" t="s">
        <v>335</v>
      </c>
      <c r="J249" s="673">
        <v>130</v>
      </c>
      <c r="K249" s="2653"/>
    </row>
    <row r="250" spans="1:11" s="317" customFormat="1" hidden="1" outlineLevel="2" x14ac:dyDescent="0.15">
      <c r="A250" s="629" t="str">
        <f t="shared" si="30"/>
        <v>Xeon X5680 6 core (1 chip) 3333 MHz</v>
      </c>
      <c r="B250" s="660" t="s">
        <v>141</v>
      </c>
      <c r="C250" s="2024">
        <v>6</v>
      </c>
      <c r="D250" s="52">
        <v>6</v>
      </c>
      <c r="E250" s="639">
        <v>3333</v>
      </c>
      <c r="F250" s="2011">
        <v>178</v>
      </c>
      <c r="G250" s="2015">
        <f t="shared" si="31"/>
        <v>29.666666666666668</v>
      </c>
      <c r="H250" s="2604">
        <f t="shared" si="32"/>
        <v>1</v>
      </c>
      <c r="I250" s="646" t="s">
        <v>335</v>
      </c>
      <c r="J250" s="673">
        <v>95</v>
      </c>
      <c r="K250" s="2653"/>
    </row>
    <row r="251" spans="1:11" hidden="1" outlineLevel="2" x14ac:dyDescent="0.15">
      <c r="A251" s="629" t="str">
        <f t="shared" si="30"/>
        <v>Xeon X5675 12 core (2 chip) 3067 MHz</v>
      </c>
      <c r="B251" s="660" t="s">
        <v>588</v>
      </c>
      <c r="C251" s="2024">
        <v>12</v>
      </c>
      <c r="D251" s="52">
        <v>6</v>
      </c>
      <c r="E251" s="639">
        <v>3067</v>
      </c>
      <c r="F251" s="2011">
        <v>367</v>
      </c>
      <c r="G251" s="2015">
        <f t="shared" si="31"/>
        <v>30.583333333333332</v>
      </c>
      <c r="H251" s="2604">
        <f t="shared" si="32"/>
        <v>2</v>
      </c>
      <c r="I251" s="646" t="s">
        <v>335</v>
      </c>
      <c r="J251" s="673">
        <v>95</v>
      </c>
      <c r="K251" s="2651"/>
    </row>
    <row r="252" spans="1:11" hidden="1" outlineLevel="2" x14ac:dyDescent="0.15">
      <c r="A252" s="629" t="str">
        <f>CONCATENATE(B252," ",C252," core (",H252," chip) ",E252," MHz")</f>
        <v>Xeon X5675 6 core (1 chip) 3067 MHz</v>
      </c>
      <c r="B252" s="660" t="s">
        <v>588</v>
      </c>
      <c r="C252" s="2024">
        <v>6</v>
      </c>
      <c r="D252" s="52">
        <v>6</v>
      </c>
      <c r="E252" s="639">
        <v>3067</v>
      </c>
      <c r="F252" s="2011">
        <v>185</v>
      </c>
      <c r="G252" s="2015">
        <f>F252/C252</f>
        <v>30.833333333333332</v>
      </c>
      <c r="H252" s="2604">
        <f>C252/D252</f>
        <v>1</v>
      </c>
      <c r="I252" s="646" t="s">
        <v>335</v>
      </c>
      <c r="J252" s="673">
        <v>95</v>
      </c>
      <c r="K252" s="2651"/>
    </row>
    <row r="253" spans="1:11" hidden="1" outlineLevel="2" x14ac:dyDescent="0.15">
      <c r="A253" s="629" t="str">
        <f t="shared" si="30"/>
        <v>Xeon X5670 12 core (2 chip) 2933 MHz</v>
      </c>
      <c r="B253" s="660" t="s">
        <v>142</v>
      </c>
      <c r="C253" s="2024">
        <v>12</v>
      </c>
      <c r="D253" s="52">
        <v>6</v>
      </c>
      <c r="E253" s="639">
        <v>2933</v>
      </c>
      <c r="F253" s="2011">
        <v>340</v>
      </c>
      <c r="G253" s="2015">
        <f t="shared" si="31"/>
        <v>28.333333333333332</v>
      </c>
      <c r="H253" s="2604">
        <f t="shared" si="32"/>
        <v>2</v>
      </c>
      <c r="I253" s="646" t="s">
        <v>335</v>
      </c>
      <c r="J253" s="673">
        <v>95</v>
      </c>
      <c r="K253" s="2651"/>
    </row>
    <row r="254" spans="1:11" hidden="1" outlineLevel="2" x14ac:dyDescent="0.15">
      <c r="A254" s="629" t="str">
        <f t="shared" si="30"/>
        <v>Xeon X5660 12 core (2 chip) 2800 MHz</v>
      </c>
      <c r="B254" s="660" t="s">
        <v>143</v>
      </c>
      <c r="C254" s="2024">
        <v>12</v>
      </c>
      <c r="D254" s="52">
        <v>6</v>
      </c>
      <c r="E254" s="639">
        <v>2800</v>
      </c>
      <c r="F254" s="2011">
        <v>327</v>
      </c>
      <c r="G254" s="2015">
        <f t="shared" si="31"/>
        <v>27.25</v>
      </c>
      <c r="H254" s="2604">
        <f t="shared" si="32"/>
        <v>2</v>
      </c>
      <c r="I254" s="646" t="s">
        <v>335</v>
      </c>
      <c r="J254" s="673">
        <v>95</v>
      </c>
      <c r="K254" s="2651"/>
    </row>
    <row r="255" spans="1:11" hidden="1" outlineLevel="2" x14ac:dyDescent="0.15">
      <c r="A255" s="629" t="str">
        <f t="shared" si="30"/>
        <v>Xeon X5650 12 core (2 chip) 2667 MHz</v>
      </c>
      <c r="B255" s="660" t="s">
        <v>140</v>
      </c>
      <c r="C255" s="2024">
        <v>12</v>
      </c>
      <c r="D255" s="52">
        <v>6</v>
      </c>
      <c r="E255" s="639">
        <v>2667</v>
      </c>
      <c r="F255" s="2011">
        <v>318</v>
      </c>
      <c r="G255" s="2015">
        <f t="shared" si="31"/>
        <v>26.5</v>
      </c>
      <c r="H255" s="2604">
        <f t="shared" si="32"/>
        <v>2</v>
      </c>
      <c r="I255" s="646" t="s">
        <v>335</v>
      </c>
      <c r="J255" s="673">
        <v>95</v>
      </c>
      <c r="K255" s="2651"/>
    </row>
    <row r="256" spans="1:11" hidden="1" outlineLevel="2" x14ac:dyDescent="0.15">
      <c r="A256" s="629" t="str">
        <f t="shared" si="30"/>
        <v>Xeon L5640 12 core (2 chip) 2267 MHz</v>
      </c>
      <c r="B256" s="660" t="s">
        <v>139</v>
      </c>
      <c r="C256" s="2024">
        <v>12</v>
      </c>
      <c r="D256" s="52">
        <v>6</v>
      </c>
      <c r="E256" s="639">
        <v>2267</v>
      </c>
      <c r="F256" s="2011">
        <v>261</v>
      </c>
      <c r="G256" s="2015">
        <f t="shared" si="31"/>
        <v>21.75</v>
      </c>
      <c r="H256" s="2604">
        <f t="shared" si="32"/>
        <v>2</v>
      </c>
      <c r="I256" s="646" t="s">
        <v>335</v>
      </c>
      <c r="J256" s="673">
        <v>60</v>
      </c>
      <c r="K256" s="2651"/>
    </row>
    <row r="257" spans="1:11" hidden="1" outlineLevel="2" x14ac:dyDescent="0.15">
      <c r="A257" s="629" t="str">
        <f t="shared" si="30"/>
        <v>Xeon L5640 6 core (1 chip) 2267 MHz</v>
      </c>
      <c r="B257" s="660" t="s">
        <v>139</v>
      </c>
      <c r="C257" s="2024">
        <v>6</v>
      </c>
      <c r="D257" s="52">
        <v>6</v>
      </c>
      <c r="E257" s="639">
        <v>2267</v>
      </c>
      <c r="F257" s="2011">
        <v>130.5</v>
      </c>
      <c r="G257" s="2015">
        <f t="shared" si="31"/>
        <v>21.75</v>
      </c>
      <c r="H257" s="2604">
        <f t="shared" si="32"/>
        <v>1</v>
      </c>
      <c r="I257" s="646" t="s">
        <v>335</v>
      </c>
      <c r="J257" s="673">
        <v>60</v>
      </c>
      <c r="K257" s="2651"/>
    </row>
    <row r="258" spans="1:11" hidden="1" outlineLevel="1" collapsed="1" x14ac:dyDescent="0.15">
      <c r="A258" s="628" t="s">
        <v>177</v>
      </c>
      <c r="B258" s="659" t="str">
        <f>A258</f>
        <v xml:space="preserve"> ==== 2010 MP Server Platforms ====</v>
      </c>
      <c r="C258" s="2022"/>
      <c r="D258" s="2022"/>
      <c r="E258" s="2023"/>
      <c r="F258" s="2010"/>
      <c r="G258" s="2017"/>
      <c r="H258" s="2606"/>
      <c r="I258" s="645"/>
      <c r="J258" s="650" t="s">
        <v>165</v>
      </c>
      <c r="K258" s="2651"/>
    </row>
    <row r="259" spans="1:11" hidden="1" outlineLevel="2" x14ac:dyDescent="0.15">
      <c r="A259" s="630" t="str">
        <f t="shared" ref="A259:A267" si="33">CONCATENATE(B259," ",C259," core (",H259," chip) ",E259," MHz")</f>
        <v>Xeon E7560 E 64 core (8 chip) 2266 MHz</v>
      </c>
      <c r="B259" s="660" t="s">
        <v>185</v>
      </c>
      <c r="C259" s="2024">
        <v>64</v>
      </c>
      <c r="D259" s="55">
        <v>8</v>
      </c>
      <c r="E259" s="639">
        <v>2266</v>
      </c>
      <c r="F259" s="2011">
        <v>1400</v>
      </c>
      <c r="G259" s="2015">
        <f t="shared" ref="G259:G281" si="34">F259/C259</f>
        <v>21.875</v>
      </c>
      <c r="H259" s="2604">
        <f t="shared" ref="H259:H281" si="35">C259/D259</f>
        <v>8</v>
      </c>
      <c r="I259" s="646" t="s">
        <v>335</v>
      </c>
      <c r="J259" s="651">
        <v>130</v>
      </c>
      <c r="K259" s="2651"/>
    </row>
    <row r="260" spans="1:11" hidden="1" outlineLevel="2" x14ac:dyDescent="0.15">
      <c r="A260" s="630" t="str">
        <f t="shared" si="33"/>
        <v>Xeon E7560 32 core (4 chip) 2267 MHz</v>
      </c>
      <c r="B260" s="660" t="s">
        <v>184</v>
      </c>
      <c r="C260" s="2024">
        <v>32</v>
      </c>
      <c r="D260" s="55">
        <v>8</v>
      </c>
      <c r="E260" s="639">
        <v>2267</v>
      </c>
      <c r="F260" s="2011">
        <v>710</v>
      </c>
      <c r="G260" s="2015">
        <f t="shared" si="34"/>
        <v>22.1875</v>
      </c>
      <c r="H260" s="2604">
        <f t="shared" si="35"/>
        <v>4</v>
      </c>
      <c r="I260" s="646" t="s">
        <v>335</v>
      </c>
      <c r="J260" s="651">
        <v>130</v>
      </c>
      <c r="K260" s="2651"/>
    </row>
    <row r="261" spans="1:11" hidden="1" outlineLevel="2" x14ac:dyDescent="0.15">
      <c r="A261" s="630" t="str">
        <f t="shared" si="33"/>
        <v>Xeon E7550 32 core (4 chip) 2000 MHz</v>
      </c>
      <c r="B261" s="660" t="s">
        <v>182</v>
      </c>
      <c r="C261" s="2024">
        <v>32</v>
      </c>
      <c r="D261" s="55">
        <v>8</v>
      </c>
      <c r="E261" s="639">
        <v>2000</v>
      </c>
      <c r="F261" s="2011">
        <v>640</v>
      </c>
      <c r="G261" s="2015">
        <f t="shared" si="34"/>
        <v>20</v>
      </c>
      <c r="H261" s="2604">
        <f t="shared" si="35"/>
        <v>4</v>
      </c>
      <c r="I261" s="646" t="s">
        <v>335</v>
      </c>
      <c r="J261" s="651">
        <v>130</v>
      </c>
      <c r="K261" s="2651"/>
    </row>
    <row r="262" spans="1:11" hidden="1" outlineLevel="2" x14ac:dyDescent="0.15">
      <c r="A262" s="630" t="str">
        <f t="shared" si="33"/>
        <v>Xeon L7555 32 core (4 chip) 1867 MHz</v>
      </c>
      <c r="B262" s="660" t="s">
        <v>183</v>
      </c>
      <c r="C262" s="2024">
        <v>32</v>
      </c>
      <c r="D262" s="55">
        <v>8</v>
      </c>
      <c r="E262" s="639">
        <v>1867</v>
      </c>
      <c r="F262" s="2011">
        <v>604</v>
      </c>
      <c r="G262" s="2015">
        <f t="shared" si="34"/>
        <v>18.875</v>
      </c>
      <c r="H262" s="2604">
        <f t="shared" si="35"/>
        <v>4</v>
      </c>
      <c r="I262" s="646" t="s">
        <v>335</v>
      </c>
      <c r="J262" s="651">
        <v>95</v>
      </c>
      <c r="K262" s="2651"/>
    </row>
    <row r="263" spans="1:11" hidden="1" outlineLevel="2" x14ac:dyDescent="0.15">
      <c r="A263" s="631" t="str">
        <f>CONCATENATE(B263," ",C263," core (",H263," chip) ",E263," MHz")</f>
        <v>Xeon X6550 16 core (2 chip) 2000 MHz</v>
      </c>
      <c r="B263" s="660" t="s">
        <v>572</v>
      </c>
      <c r="C263" s="2024">
        <v>16</v>
      </c>
      <c r="D263" s="52">
        <v>8</v>
      </c>
      <c r="E263" s="639">
        <v>2000</v>
      </c>
      <c r="F263" s="2011">
        <v>321</v>
      </c>
      <c r="G263" s="2015">
        <f>F263/C263</f>
        <v>20.0625</v>
      </c>
      <c r="H263" s="2604">
        <f>C263/D263</f>
        <v>2</v>
      </c>
      <c r="I263" s="646" t="s">
        <v>335</v>
      </c>
      <c r="J263" s="676">
        <v>80</v>
      </c>
      <c r="K263" s="2651"/>
    </row>
    <row r="264" spans="1:11" hidden="1" outlineLevel="2" x14ac:dyDescent="0.15">
      <c r="A264" s="630" t="str">
        <f t="shared" si="33"/>
        <v>Xeon E7540 24 core (4 chip) 2000 MHz</v>
      </c>
      <c r="B264" s="660" t="s">
        <v>180</v>
      </c>
      <c r="C264" s="2024">
        <v>24</v>
      </c>
      <c r="D264" s="55">
        <v>6</v>
      </c>
      <c r="E264" s="639">
        <v>2000</v>
      </c>
      <c r="F264" s="2011">
        <v>493</v>
      </c>
      <c r="G264" s="2015">
        <f t="shared" si="34"/>
        <v>20.541666666666668</v>
      </c>
      <c r="H264" s="2604">
        <f t="shared" si="35"/>
        <v>4</v>
      </c>
      <c r="I264" s="646" t="s">
        <v>335</v>
      </c>
      <c r="J264" s="651">
        <v>105</v>
      </c>
      <c r="K264" s="2651"/>
    </row>
    <row r="265" spans="1:11" hidden="1" outlineLevel="2" x14ac:dyDescent="0.15">
      <c r="A265" s="630" t="str">
        <f t="shared" si="33"/>
        <v>Xeon L7545 24 core (4 chip) 1867 MHz</v>
      </c>
      <c r="B265" s="660" t="s">
        <v>181</v>
      </c>
      <c r="C265" s="2024">
        <v>24</v>
      </c>
      <c r="D265" s="55">
        <v>6</v>
      </c>
      <c r="E265" s="639">
        <v>1867</v>
      </c>
      <c r="F265" s="2011">
        <v>466</v>
      </c>
      <c r="G265" s="2015">
        <f t="shared" si="34"/>
        <v>19.416666666666668</v>
      </c>
      <c r="H265" s="2604">
        <f t="shared" si="35"/>
        <v>4</v>
      </c>
      <c r="I265" s="646" t="s">
        <v>335</v>
      </c>
      <c r="J265" s="651">
        <v>95</v>
      </c>
      <c r="K265" s="2651"/>
    </row>
    <row r="266" spans="1:11" hidden="1" outlineLevel="2" x14ac:dyDescent="0.15">
      <c r="A266" s="630" t="str">
        <f t="shared" si="33"/>
        <v>Xeon E7530 24 core (4 chip) 1866 MHz</v>
      </c>
      <c r="B266" s="660" t="s">
        <v>179</v>
      </c>
      <c r="C266" s="2024">
        <v>24</v>
      </c>
      <c r="D266" s="55">
        <v>6</v>
      </c>
      <c r="E266" s="639">
        <v>1866</v>
      </c>
      <c r="F266" s="2011">
        <v>447</v>
      </c>
      <c r="G266" s="2015">
        <f t="shared" si="34"/>
        <v>18.625</v>
      </c>
      <c r="H266" s="2604">
        <f t="shared" si="35"/>
        <v>4</v>
      </c>
      <c r="I266" s="646" t="s">
        <v>335</v>
      </c>
      <c r="J266" s="651">
        <v>105</v>
      </c>
      <c r="K266" s="2651"/>
    </row>
    <row r="267" spans="1:11" hidden="1" outlineLevel="2" x14ac:dyDescent="0.15">
      <c r="A267" s="630" t="str">
        <f t="shared" si="33"/>
        <v>Xeon E7520 16 core (4 chip) 1867 MHz</v>
      </c>
      <c r="B267" s="660" t="s">
        <v>178</v>
      </c>
      <c r="C267" s="2024">
        <v>16</v>
      </c>
      <c r="D267" s="55">
        <v>4</v>
      </c>
      <c r="E267" s="639">
        <v>1867</v>
      </c>
      <c r="F267" s="2011">
        <v>314</v>
      </c>
      <c r="G267" s="2015">
        <f t="shared" si="34"/>
        <v>19.625</v>
      </c>
      <c r="H267" s="2604">
        <f t="shared" si="35"/>
        <v>4</v>
      </c>
      <c r="I267" s="646" t="s">
        <v>335</v>
      </c>
      <c r="J267" s="651">
        <v>95</v>
      </c>
      <c r="K267" s="2651"/>
    </row>
    <row r="268" spans="1:11" hidden="1" outlineLevel="2" x14ac:dyDescent="0.15">
      <c r="A268" s="630" t="str">
        <f>CONCATENATE(B268," ",C268," core (",H268," chip) ",E268," MHz")</f>
        <v>Intel Xeon MP 1 core (1 chip) 2000 MHz</v>
      </c>
      <c r="B268" s="660" t="s">
        <v>435</v>
      </c>
      <c r="C268" s="2024">
        <v>1</v>
      </c>
      <c r="D268" s="51">
        <v>1</v>
      </c>
      <c r="E268" s="639">
        <v>2000</v>
      </c>
      <c r="F268" s="2011">
        <v>4.666666666666667</v>
      </c>
      <c r="G268" s="2015">
        <f t="shared" si="34"/>
        <v>4.666666666666667</v>
      </c>
      <c r="H268" s="2607">
        <f t="shared" si="35"/>
        <v>1</v>
      </c>
      <c r="I268" s="646" t="s">
        <v>335</v>
      </c>
      <c r="J268" s="673"/>
      <c r="K268" s="2651"/>
    </row>
    <row r="269" spans="1:11" hidden="1" outlineLevel="2" x14ac:dyDescent="0.15">
      <c r="A269" s="630" t="str">
        <f t="shared" ref="A269:A281" si="36">CONCATENATE(B269," ",C269," core (",H269," chip) ",E269," MHz")</f>
        <v>Intel Xeon MP 2 core (2 chip) 2000 MHz</v>
      </c>
      <c r="B269" s="660" t="s">
        <v>435</v>
      </c>
      <c r="C269" s="2024">
        <v>2</v>
      </c>
      <c r="D269" s="51">
        <v>1</v>
      </c>
      <c r="E269" s="639">
        <v>2000</v>
      </c>
      <c r="F269" s="2011">
        <v>8.7142857142857135</v>
      </c>
      <c r="G269" s="2015">
        <f t="shared" si="34"/>
        <v>4.3571428571428568</v>
      </c>
      <c r="H269" s="2607">
        <f t="shared" si="35"/>
        <v>2</v>
      </c>
      <c r="I269" s="646" t="s">
        <v>335</v>
      </c>
      <c r="J269" s="673"/>
      <c r="K269" s="2651"/>
    </row>
    <row r="270" spans="1:11" hidden="1" outlineLevel="2" x14ac:dyDescent="0.15">
      <c r="A270" s="630" t="str">
        <f t="shared" si="36"/>
        <v>Intel Xeon MP 4 core (4 chip) 2000 MHz</v>
      </c>
      <c r="B270" s="660" t="s">
        <v>435</v>
      </c>
      <c r="C270" s="2024">
        <v>4</v>
      </c>
      <c r="D270" s="51">
        <v>1</v>
      </c>
      <c r="E270" s="639">
        <v>2000</v>
      </c>
      <c r="F270" s="2011">
        <v>16.523809523809526</v>
      </c>
      <c r="G270" s="2015">
        <f t="shared" si="34"/>
        <v>4.1309523809523814</v>
      </c>
      <c r="H270" s="2607">
        <f t="shared" si="35"/>
        <v>4</v>
      </c>
      <c r="I270" s="646" t="s">
        <v>335</v>
      </c>
      <c r="J270" s="673"/>
      <c r="K270" s="2651"/>
    </row>
    <row r="271" spans="1:11" hidden="1" outlineLevel="2" x14ac:dyDescent="0.15">
      <c r="A271" s="630" t="str">
        <f t="shared" si="36"/>
        <v>Intel Xeon MP 6 core (6 chip) 2000 MHz</v>
      </c>
      <c r="B271" s="660" t="s">
        <v>435</v>
      </c>
      <c r="C271" s="2024">
        <v>6</v>
      </c>
      <c r="D271" s="51">
        <v>1</v>
      </c>
      <c r="E271" s="639">
        <v>2000</v>
      </c>
      <c r="F271" s="2011">
        <v>20.095238095238095</v>
      </c>
      <c r="G271" s="2015">
        <f t="shared" si="34"/>
        <v>3.3492063492063493</v>
      </c>
      <c r="H271" s="2607">
        <f t="shared" si="35"/>
        <v>6</v>
      </c>
      <c r="I271" s="646" t="s">
        <v>335</v>
      </c>
      <c r="J271" s="673"/>
      <c r="K271" s="2651"/>
    </row>
    <row r="272" spans="1:11" hidden="1" outlineLevel="2" x14ac:dyDescent="0.15">
      <c r="A272" s="630" t="str">
        <f t="shared" si="36"/>
        <v>Intel Xeon MP 8 core (8 chip) 2000 MHz</v>
      </c>
      <c r="B272" s="660" t="s">
        <v>435</v>
      </c>
      <c r="C272" s="2024">
        <v>8</v>
      </c>
      <c r="D272" s="51">
        <v>1</v>
      </c>
      <c r="E272" s="639">
        <v>2000</v>
      </c>
      <c r="F272" s="2011">
        <v>23.61904761904762</v>
      </c>
      <c r="G272" s="2015">
        <f t="shared" si="34"/>
        <v>2.9523809523809526</v>
      </c>
      <c r="H272" s="2607">
        <f t="shared" si="35"/>
        <v>8</v>
      </c>
      <c r="I272" s="646" t="s">
        <v>335</v>
      </c>
      <c r="J272" s="673"/>
      <c r="K272" s="2651"/>
    </row>
    <row r="273" spans="1:11" hidden="1" outlineLevel="2" x14ac:dyDescent="0.15">
      <c r="A273" s="630" t="str">
        <f t="shared" si="36"/>
        <v>Intel Xeon 2 core (1 chip) 2667 MHz</v>
      </c>
      <c r="B273" s="660" t="s">
        <v>436</v>
      </c>
      <c r="C273" s="2024">
        <v>2</v>
      </c>
      <c r="D273" s="52">
        <v>2</v>
      </c>
      <c r="E273" s="639">
        <v>2667</v>
      </c>
      <c r="F273" s="2011">
        <v>12.761904761904761</v>
      </c>
      <c r="G273" s="2015">
        <f t="shared" si="34"/>
        <v>6.3809523809523805</v>
      </c>
      <c r="H273" s="2607">
        <f t="shared" si="35"/>
        <v>1</v>
      </c>
      <c r="I273" s="646" t="s">
        <v>335</v>
      </c>
      <c r="J273" s="673"/>
      <c r="K273" s="2651"/>
    </row>
    <row r="274" spans="1:11" hidden="1" outlineLevel="2" x14ac:dyDescent="0.15">
      <c r="A274" s="630" t="str">
        <f t="shared" si="36"/>
        <v>Intel Xeon 1 core (1 chip) 2800 MHz</v>
      </c>
      <c r="B274" s="660" t="s">
        <v>436</v>
      </c>
      <c r="C274" s="2024">
        <v>1</v>
      </c>
      <c r="D274" s="51">
        <v>1</v>
      </c>
      <c r="E274" s="639">
        <v>2800</v>
      </c>
      <c r="F274" s="2011">
        <v>8.428571428571427</v>
      </c>
      <c r="G274" s="2015">
        <f t="shared" si="34"/>
        <v>8.428571428571427</v>
      </c>
      <c r="H274" s="2607">
        <f t="shared" si="35"/>
        <v>1</v>
      </c>
      <c r="I274" s="646" t="s">
        <v>335</v>
      </c>
      <c r="J274" s="673"/>
      <c r="K274" s="2651"/>
    </row>
    <row r="275" spans="1:11" hidden="1" outlineLevel="2" x14ac:dyDescent="0.15">
      <c r="A275" s="630" t="str">
        <f t="shared" si="36"/>
        <v>Intel PentiumD 2 core (1 chip) 2800 MHz</v>
      </c>
      <c r="B275" s="660" t="s">
        <v>437</v>
      </c>
      <c r="C275" s="2024">
        <v>2</v>
      </c>
      <c r="D275" s="51">
        <v>2</v>
      </c>
      <c r="E275" s="639">
        <v>2800</v>
      </c>
      <c r="F275" s="2011">
        <v>17.100000000000001</v>
      </c>
      <c r="G275" s="2015">
        <f t="shared" si="34"/>
        <v>8.5500000000000007</v>
      </c>
      <c r="H275" s="2607">
        <f t="shared" si="35"/>
        <v>1</v>
      </c>
      <c r="I275" s="646" t="s">
        <v>335</v>
      </c>
      <c r="J275" s="673"/>
      <c r="K275" s="2651"/>
    </row>
    <row r="276" spans="1:11" hidden="1" outlineLevel="2" x14ac:dyDescent="0.15">
      <c r="A276" s="630" t="str">
        <f t="shared" si="36"/>
        <v>Intel Xeon 2 core (2 chip) 2800 MHz</v>
      </c>
      <c r="B276" s="660" t="s">
        <v>436</v>
      </c>
      <c r="C276" s="2024">
        <v>2</v>
      </c>
      <c r="D276" s="51">
        <v>1</v>
      </c>
      <c r="E276" s="639">
        <v>2800</v>
      </c>
      <c r="F276" s="2011">
        <v>14.952380952380951</v>
      </c>
      <c r="G276" s="2015">
        <f t="shared" si="34"/>
        <v>7.4761904761904754</v>
      </c>
      <c r="H276" s="2607">
        <f t="shared" si="35"/>
        <v>2</v>
      </c>
      <c r="I276" s="646" t="s">
        <v>335</v>
      </c>
      <c r="J276" s="673"/>
      <c r="K276" s="2651"/>
    </row>
    <row r="277" spans="1:11" hidden="1" outlineLevel="2" x14ac:dyDescent="0.15">
      <c r="A277" s="630" t="str">
        <f t="shared" si="36"/>
        <v>Intel Xeon 2 core (1 chip) 2800 MHz</v>
      </c>
      <c r="B277" s="660" t="s">
        <v>436</v>
      </c>
      <c r="C277" s="2024">
        <v>2</v>
      </c>
      <c r="D277" s="51">
        <v>2</v>
      </c>
      <c r="E277" s="639">
        <v>2800</v>
      </c>
      <c r="F277" s="2011">
        <v>17.100000000000001</v>
      </c>
      <c r="G277" s="2015">
        <f t="shared" si="34"/>
        <v>8.5500000000000007</v>
      </c>
      <c r="H277" s="2607">
        <f t="shared" si="35"/>
        <v>1</v>
      </c>
      <c r="I277" s="646" t="s">
        <v>335</v>
      </c>
      <c r="J277" s="673"/>
      <c r="K277" s="2651"/>
    </row>
    <row r="278" spans="1:11" hidden="1" outlineLevel="2" x14ac:dyDescent="0.15">
      <c r="A278" s="630" t="str">
        <f t="shared" si="36"/>
        <v>Intel Xeon 4 core (2 chip) 2800 MHz</v>
      </c>
      <c r="B278" s="660" t="s">
        <v>436</v>
      </c>
      <c r="C278" s="2024">
        <v>4</v>
      </c>
      <c r="D278" s="51">
        <v>2</v>
      </c>
      <c r="E278" s="639">
        <v>2800</v>
      </c>
      <c r="F278" s="2011">
        <v>28.19047619047619</v>
      </c>
      <c r="G278" s="2015">
        <f t="shared" si="34"/>
        <v>7.0476190476190474</v>
      </c>
      <c r="H278" s="2607">
        <f t="shared" si="35"/>
        <v>2</v>
      </c>
      <c r="I278" s="646" t="s">
        <v>335</v>
      </c>
      <c r="J278" s="673"/>
      <c r="K278" s="2651"/>
    </row>
    <row r="279" spans="1:11" hidden="1" outlineLevel="2" x14ac:dyDescent="0.15">
      <c r="A279" s="630" t="str">
        <f t="shared" si="36"/>
        <v>Intel PentiumD 2 core (1 chip) 3000 MHz</v>
      </c>
      <c r="B279" s="660" t="s">
        <v>437</v>
      </c>
      <c r="C279" s="2024">
        <v>2</v>
      </c>
      <c r="D279" s="51">
        <v>2</v>
      </c>
      <c r="E279" s="639">
        <v>3000</v>
      </c>
      <c r="F279" s="2011">
        <v>18</v>
      </c>
      <c r="G279" s="2015">
        <f t="shared" si="34"/>
        <v>9</v>
      </c>
      <c r="H279" s="2607">
        <f t="shared" si="35"/>
        <v>1</v>
      </c>
      <c r="I279" s="646" t="s">
        <v>335</v>
      </c>
      <c r="J279" s="673"/>
      <c r="K279" s="2651"/>
    </row>
    <row r="280" spans="1:11" hidden="1" outlineLevel="2" x14ac:dyDescent="0.15">
      <c r="A280" s="630" t="str">
        <f t="shared" si="36"/>
        <v>Intel Xeon 1 core (1 chip) 3200 MHz</v>
      </c>
      <c r="B280" s="660" t="s">
        <v>436</v>
      </c>
      <c r="C280" s="2024">
        <v>1</v>
      </c>
      <c r="D280" s="52">
        <v>1</v>
      </c>
      <c r="E280" s="639">
        <v>3200</v>
      </c>
      <c r="F280" s="2011">
        <v>9.3809523809523796</v>
      </c>
      <c r="G280" s="2015">
        <f t="shared" si="34"/>
        <v>9.3809523809523796</v>
      </c>
      <c r="H280" s="2607">
        <f t="shared" si="35"/>
        <v>1</v>
      </c>
      <c r="I280" s="646" t="s">
        <v>335</v>
      </c>
      <c r="J280" s="673"/>
      <c r="K280" s="2651"/>
    </row>
    <row r="281" spans="1:11" hidden="1" outlineLevel="2" x14ac:dyDescent="0.15">
      <c r="A281" s="630" t="str">
        <f t="shared" si="36"/>
        <v>Intel Xeon 2 core (2 chip) 3200 MHz</v>
      </c>
      <c r="B281" s="660" t="s">
        <v>436</v>
      </c>
      <c r="C281" s="2024">
        <v>2</v>
      </c>
      <c r="D281" s="52">
        <v>1</v>
      </c>
      <c r="E281" s="639">
        <v>3200</v>
      </c>
      <c r="F281" s="2011">
        <v>17.666666666666668</v>
      </c>
      <c r="G281" s="2015">
        <f t="shared" si="34"/>
        <v>8.8333333333333339</v>
      </c>
      <c r="H281" s="2607">
        <f t="shared" si="35"/>
        <v>2</v>
      </c>
      <c r="I281" s="646" t="s">
        <v>335</v>
      </c>
      <c r="J281" s="673"/>
      <c r="K281" s="2651"/>
    </row>
    <row r="282" spans="1:11" hidden="1" outlineLevel="1" collapsed="1" x14ac:dyDescent="0.15">
      <c r="A282" s="627" t="s">
        <v>0</v>
      </c>
      <c r="B282" s="662" t="str">
        <f>A282</f>
        <v xml:space="preserve"> ==== AMD Windows Server Candidates ======</v>
      </c>
      <c r="C282" s="657"/>
      <c r="D282" s="2027"/>
      <c r="E282" s="2028"/>
      <c r="F282" s="2013"/>
      <c r="G282" s="2018"/>
      <c r="H282" s="2605"/>
      <c r="I282" s="644"/>
      <c r="J282" s="673"/>
      <c r="K282" s="2651"/>
    </row>
    <row r="283" spans="1:11" hidden="1" outlineLevel="1" x14ac:dyDescent="0.15">
      <c r="A283" s="628" t="s">
        <v>879</v>
      </c>
      <c r="B283" s="659" t="str">
        <f>A283</f>
        <v xml:space="preserve"> ==== 2013 Server Platforms ====</v>
      </c>
      <c r="C283" s="656"/>
      <c r="D283" s="2022"/>
      <c r="E283" s="2023"/>
      <c r="F283" s="2010"/>
      <c r="G283" s="2017"/>
      <c r="H283" s="2606"/>
      <c r="I283" s="645"/>
      <c r="J283" s="673"/>
      <c r="K283" s="2651"/>
    </row>
    <row r="284" spans="1:11" hidden="1" outlineLevel="2" x14ac:dyDescent="0.15">
      <c r="A284" s="632" t="str">
        <f>CONCATENATE(B284," ",C284," core (",H284," chip) ",E284," MHz")</f>
        <v>AMD Opteron 6338P 24 core (2 chip) 2300 MHz</v>
      </c>
      <c r="B284" s="2029" t="s">
        <v>884</v>
      </c>
      <c r="C284" s="2031">
        <v>24</v>
      </c>
      <c r="D284" s="52">
        <v>12</v>
      </c>
      <c r="E284" s="639">
        <v>2300</v>
      </c>
      <c r="F284" s="2011">
        <v>357</v>
      </c>
      <c r="G284" s="2015">
        <f>F284/C284</f>
        <v>14.875</v>
      </c>
      <c r="H284" s="2604">
        <f>C284/D284</f>
        <v>2</v>
      </c>
      <c r="I284" s="646" t="s">
        <v>283</v>
      </c>
      <c r="J284" s="673"/>
      <c r="K284" s="2651"/>
    </row>
    <row r="285" spans="1:11" hidden="1" outlineLevel="2" x14ac:dyDescent="0.15">
      <c r="A285" s="632" t="str">
        <f>CONCATENATE(B285," ",C285," core (",H285," chip) ",E285," MHz")</f>
        <v>AMD Opteron 6338P 48 core (4 chip) 2300 MHz</v>
      </c>
      <c r="B285" s="2029" t="s">
        <v>884</v>
      </c>
      <c r="C285" s="2031">
        <v>48</v>
      </c>
      <c r="D285" s="52">
        <v>12</v>
      </c>
      <c r="E285" s="639">
        <v>2300</v>
      </c>
      <c r="F285" s="2011">
        <v>708</v>
      </c>
      <c r="G285" s="2015">
        <f>F285/C285</f>
        <v>14.75</v>
      </c>
      <c r="H285" s="2604">
        <f>C285/D285</f>
        <v>4</v>
      </c>
      <c r="I285" s="646" t="s">
        <v>283</v>
      </c>
      <c r="J285" s="673"/>
      <c r="K285" s="2651"/>
    </row>
    <row r="286" spans="1:11" hidden="1" outlineLevel="2" x14ac:dyDescent="0.15">
      <c r="A286" s="632" t="str">
        <f>CONCATENATE(B286," ",C286," core (",H286," chip) ",E286," MHz")</f>
        <v>AMD Opteron 6370P 32 core (2 chip) 2000 MHz</v>
      </c>
      <c r="B286" s="2029" t="s">
        <v>883</v>
      </c>
      <c r="C286" s="2031">
        <v>32</v>
      </c>
      <c r="D286" s="52">
        <v>16</v>
      </c>
      <c r="E286" s="639">
        <v>2000</v>
      </c>
      <c r="F286" s="2011">
        <v>410</v>
      </c>
      <c r="G286" s="2015">
        <f>F286/C286</f>
        <v>12.8125</v>
      </c>
      <c r="H286" s="2604">
        <f>C286/D286</f>
        <v>2</v>
      </c>
      <c r="I286" s="646" t="s">
        <v>283</v>
      </c>
      <c r="J286" s="673"/>
      <c r="K286" s="2651"/>
    </row>
    <row r="287" spans="1:11" hidden="1" outlineLevel="2" x14ac:dyDescent="0.15">
      <c r="A287" s="632" t="str">
        <f>CONCATENATE(B287," ",C287," core (",H287," chip) ",E287," MHz")</f>
        <v>AMD Opteron 6370P 64 core (4 chip) 2000 MHz</v>
      </c>
      <c r="B287" s="2029" t="s">
        <v>883</v>
      </c>
      <c r="C287" s="2031">
        <v>64</v>
      </c>
      <c r="D287" s="52">
        <v>16</v>
      </c>
      <c r="E287" s="639">
        <v>2000</v>
      </c>
      <c r="F287" s="2011">
        <v>817</v>
      </c>
      <c r="G287" s="2015">
        <f>F287/C287</f>
        <v>12.765625</v>
      </c>
      <c r="H287" s="2604">
        <f>C287/D287</f>
        <v>4</v>
      </c>
      <c r="I287" s="646" t="s">
        <v>283</v>
      </c>
      <c r="J287" s="673"/>
      <c r="K287" s="2651"/>
    </row>
    <row r="288" spans="1:11" hidden="1" outlineLevel="1" collapsed="1" x14ac:dyDescent="0.15">
      <c r="A288" s="628" t="s">
        <v>879</v>
      </c>
      <c r="B288" s="659" t="str">
        <f>A288</f>
        <v xml:space="preserve"> ==== 2013 Server Platforms ====</v>
      </c>
      <c r="C288" s="656"/>
      <c r="D288" s="2022"/>
      <c r="E288" s="2023"/>
      <c r="F288" s="2010"/>
      <c r="G288" s="2017"/>
      <c r="H288" s="2606"/>
      <c r="I288" s="645"/>
      <c r="J288" s="673"/>
      <c r="K288" s="2651"/>
    </row>
    <row r="289" spans="1:11" hidden="1" outlineLevel="2" x14ac:dyDescent="0.15">
      <c r="A289" s="632" t="str">
        <f t="shared" ref="A289:A296" si="37">CONCATENATE(B289," ",C289," core (",H289," chip) ",E289," MHz")</f>
        <v>AMD Opteron 6309 4 core (1 chip) 3500 MHz</v>
      </c>
      <c r="B289" s="2029" t="s">
        <v>890</v>
      </c>
      <c r="C289" s="2031">
        <v>4</v>
      </c>
      <c r="D289" s="52">
        <v>4</v>
      </c>
      <c r="E289" s="639">
        <v>3500</v>
      </c>
      <c r="F289" s="2011">
        <v>88.6</v>
      </c>
      <c r="G289" s="2015">
        <f t="shared" ref="G289:G296" si="38">F289/C289</f>
        <v>22.15</v>
      </c>
      <c r="H289" s="2604">
        <f t="shared" ref="H289:H296" si="39">C289/D289</f>
        <v>1</v>
      </c>
      <c r="I289" s="646" t="s">
        <v>283</v>
      </c>
      <c r="J289" s="673"/>
      <c r="K289" s="2651"/>
    </row>
    <row r="290" spans="1:11" hidden="1" outlineLevel="2" x14ac:dyDescent="0.15">
      <c r="A290" s="632" t="str">
        <f t="shared" si="37"/>
        <v>AMD Opteron 6308 8 core (2 chip) 3500 MHz</v>
      </c>
      <c r="B290" s="2029" t="s">
        <v>888</v>
      </c>
      <c r="C290" s="2031">
        <v>8</v>
      </c>
      <c r="D290" s="52">
        <v>4</v>
      </c>
      <c r="E290" s="639">
        <v>3500</v>
      </c>
      <c r="F290" s="2011">
        <v>178</v>
      </c>
      <c r="G290" s="2015">
        <f t="shared" si="38"/>
        <v>22.25</v>
      </c>
      <c r="H290" s="2604">
        <f t="shared" si="39"/>
        <v>2</v>
      </c>
      <c r="I290" s="646" t="s">
        <v>283</v>
      </c>
      <c r="J290" s="673"/>
      <c r="K290" s="2651"/>
    </row>
    <row r="291" spans="1:11" hidden="1" outlineLevel="2" x14ac:dyDescent="0.15">
      <c r="A291" s="632" t="str">
        <f t="shared" si="37"/>
        <v>AMD Opteron 6308 16 core (4 chip) 3500 MHz</v>
      </c>
      <c r="B291" s="2029" t="s">
        <v>888</v>
      </c>
      <c r="C291" s="2031">
        <v>16</v>
      </c>
      <c r="D291" s="52">
        <v>4</v>
      </c>
      <c r="E291" s="639">
        <v>3500</v>
      </c>
      <c r="F291" s="2011">
        <v>355</v>
      </c>
      <c r="G291" s="2015">
        <f t="shared" si="38"/>
        <v>22.1875</v>
      </c>
      <c r="H291" s="2604">
        <f t="shared" si="39"/>
        <v>4</v>
      </c>
      <c r="I291" s="646" t="s">
        <v>283</v>
      </c>
      <c r="J291" s="673"/>
      <c r="K291" s="2651"/>
    </row>
    <row r="292" spans="1:11" hidden="1" outlineLevel="2" x14ac:dyDescent="0.15">
      <c r="A292" s="632" t="str">
        <f t="shared" si="37"/>
        <v>AMD Opteron 4340 12 core (2 chip) 3400 MHz</v>
      </c>
      <c r="B292" s="2029" t="s">
        <v>889</v>
      </c>
      <c r="C292" s="2031">
        <v>12</v>
      </c>
      <c r="D292" s="52">
        <v>6</v>
      </c>
      <c r="E292" s="639">
        <v>3400</v>
      </c>
      <c r="F292" s="2011">
        <v>245</v>
      </c>
      <c r="G292" s="2015">
        <f t="shared" si="38"/>
        <v>20.416666666666668</v>
      </c>
      <c r="H292" s="2604">
        <f t="shared" si="39"/>
        <v>2</v>
      </c>
      <c r="I292" s="646" t="s">
        <v>283</v>
      </c>
      <c r="J292" s="673"/>
      <c r="K292" s="2651"/>
    </row>
    <row r="293" spans="1:11" hidden="1" outlineLevel="2" x14ac:dyDescent="0.15">
      <c r="A293" s="632" t="str">
        <f t="shared" si="37"/>
        <v>AMD Opteron 6328 32 core (4 chip) 3200 MHz</v>
      </c>
      <c r="B293" s="2029" t="s">
        <v>887</v>
      </c>
      <c r="C293" s="2031">
        <v>32</v>
      </c>
      <c r="D293" s="52">
        <v>8</v>
      </c>
      <c r="E293" s="639">
        <v>3200</v>
      </c>
      <c r="F293" s="2011">
        <v>650</v>
      </c>
      <c r="G293" s="2015">
        <f t="shared" si="38"/>
        <v>20.3125</v>
      </c>
      <c r="H293" s="2604">
        <f t="shared" si="39"/>
        <v>4</v>
      </c>
      <c r="I293" s="646" t="s">
        <v>283</v>
      </c>
      <c r="J293" s="673"/>
      <c r="K293" s="2651"/>
    </row>
    <row r="294" spans="1:11" hidden="1" outlineLevel="2" x14ac:dyDescent="0.15">
      <c r="A294" s="632" t="str">
        <f t="shared" si="37"/>
        <v>AMD Opteron 6348 24 core (2 chip) 2800 MHz</v>
      </c>
      <c r="B294" s="2029" t="s">
        <v>886</v>
      </c>
      <c r="C294" s="2031">
        <v>24</v>
      </c>
      <c r="D294" s="52">
        <v>12</v>
      </c>
      <c r="E294" s="639">
        <v>2800</v>
      </c>
      <c r="F294" s="2011">
        <v>427</v>
      </c>
      <c r="G294" s="2015">
        <f t="shared" si="38"/>
        <v>17.791666666666668</v>
      </c>
      <c r="H294" s="2604">
        <f t="shared" si="39"/>
        <v>2</v>
      </c>
      <c r="I294" s="646" t="s">
        <v>283</v>
      </c>
      <c r="J294" s="673"/>
      <c r="K294" s="2651"/>
    </row>
    <row r="295" spans="1:11" hidden="1" outlineLevel="2" x14ac:dyDescent="0.15">
      <c r="A295" s="632" t="str">
        <f t="shared" si="37"/>
        <v>AMD Opteron 6348 48 core (4 chip) 2800 MHz</v>
      </c>
      <c r="B295" s="2029" t="s">
        <v>886</v>
      </c>
      <c r="C295" s="2031">
        <v>48</v>
      </c>
      <c r="D295" s="52">
        <v>12</v>
      </c>
      <c r="E295" s="639">
        <v>2800</v>
      </c>
      <c r="F295" s="2011">
        <v>835</v>
      </c>
      <c r="G295" s="2015">
        <f t="shared" si="38"/>
        <v>17.395833333333332</v>
      </c>
      <c r="H295" s="2604">
        <f t="shared" si="39"/>
        <v>4</v>
      </c>
      <c r="I295" s="646" t="s">
        <v>283</v>
      </c>
      <c r="J295" s="673"/>
      <c r="K295" s="2651"/>
    </row>
    <row r="296" spans="1:11" hidden="1" outlineLevel="2" x14ac:dyDescent="0.15">
      <c r="A296" s="632" t="str">
        <f t="shared" si="37"/>
        <v>AMD Opteron 6386 SE 64 core (4 chip) 2800 MHz</v>
      </c>
      <c r="B296" s="2029" t="s">
        <v>885</v>
      </c>
      <c r="C296" s="2031">
        <v>64</v>
      </c>
      <c r="D296" s="52">
        <v>16</v>
      </c>
      <c r="E296" s="639">
        <v>2800</v>
      </c>
      <c r="F296" s="2011">
        <v>1070</v>
      </c>
      <c r="G296" s="2015">
        <f t="shared" si="38"/>
        <v>16.71875</v>
      </c>
      <c r="H296" s="2604">
        <f t="shared" si="39"/>
        <v>4</v>
      </c>
      <c r="I296" s="646" t="s">
        <v>283</v>
      </c>
      <c r="J296" s="673"/>
      <c r="K296" s="2651"/>
    </row>
    <row r="297" spans="1:11" hidden="1" outlineLevel="1" collapsed="1" x14ac:dyDescent="0.15">
      <c r="A297" s="628" t="s">
        <v>880</v>
      </c>
      <c r="B297" s="659" t="str">
        <f>A297</f>
        <v xml:space="preserve"> ==== 2012 Server Platforms ====</v>
      </c>
      <c r="C297" s="656"/>
      <c r="D297" s="2022"/>
      <c r="E297" s="2023"/>
      <c r="F297" s="2010"/>
      <c r="G297" s="2017"/>
      <c r="H297" s="2606"/>
      <c r="I297" s="645"/>
      <c r="J297" s="673"/>
      <c r="K297" s="2651"/>
    </row>
    <row r="298" spans="1:11" hidden="1" outlineLevel="2" x14ac:dyDescent="0.15">
      <c r="A298" s="632" t="str">
        <f t="shared" ref="A298:A304" si="40">CONCATENATE(B298," ",C298," core (",H298," chip) ",E298," MHz")</f>
        <v>AMD Phenom II X4 B97 4 core (1 chip) 3200 MHz</v>
      </c>
      <c r="B298" s="2029" t="s">
        <v>896</v>
      </c>
      <c r="C298" s="2031">
        <v>4</v>
      </c>
      <c r="D298" s="52">
        <v>4</v>
      </c>
      <c r="E298" s="639">
        <v>3200</v>
      </c>
      <c r="F298" s="2011">
        <v>81</v>
      </c>
      <c r="G298" s="2015">
        <f t="shared" ref="G298:G304" si="41">F298/C298</f>
        <v>20.25</v>
      </c>
      <c r="H298" s="2604">
        <f t="shared" ref="H298:H304" si="42">C298/D298</f>
        <v>1</v>
      </c>
      <c r="I298" s="646" t="s">
        <v>283</v>
      </c>
      <c r="J298" s="673"/>
      <c r="K298" s="2651"/>
    </row>
    <row r="299" spans="1:11" hidden="1" outlineLevel="2" x14ac:dyDescent="0.15">
      <c r="A299" s="632" t="str">
        <f t="shared" si="40"/>
        <v>AMD Opteron 4240 12 core (2 chip) 3400 MHz</v>
      </c>
      <c r="B299" s="2029" t="s">
        <v>894</v>
      </c>
      <c r="C299" s="2031">
        <v>12</v>
      </c>
      <c r="D299" s="52">
        <v>6</v>
      </c>
      <c r="E299" s="639">
        <v>3400</v>
      </c>
      <c r="F299" s="2011">
        <v>228</v>
      </c>
      <c r="G299" s="2015">
        <f t="shared" si="41"/>
        <v>19</v>
      </c>
      <c r="H299" s="2604">
        <f t="shared" si="42"/>
        <v>2</v>
      </c>
      <c r="I299" s="646" t="s">
        <v>283</v>
      </c>
      <c r="J299" s="673"/>
      <c r="K299" s="2651"/>
    </row>
    <row r="300" spans="1:11" hidden="1" outlineLevel="2" x14ac:dyDescent="0.15">
      <c r="A300" s="632" t="str">
        <f t="shared" si="40"/>
        <v>AMD Opteron 6328 16 core (2 chip) 3200 MHz</v>
      </c>
      <c r="B300" s="2029" t="s">
        <v>887</v>
      </c>
      <c r="C300" s="2031">
        <v>16</v>
      </c>
      <c r="D300" s="52">
        <v>8</v>
      </c>
      <c r="E300" s="639">
        <v>3200</v>
      </c>
      <c r="F300" s="2011">
        <v>327</v>
      </c>
      <c r="G300" s="2015">
        <f t="shared" si="41"/>
        <v>20.4375</v>
      </c>
      <c r="H300" s="2604">
        <f t="shared" si="42"/>
        <v>2</v>
      </c>
      <c r="I300" s="646" t="s">
        <v>283</v>
      </c>
      <c r="J300" s="673"/>
      <c r="K300" s="2651"/>
    </row>
    <row r="301" spans="1:11" hidden="1" outlineLevel="2" x14ac:dyDescent="0.15">
      <c r="A301" s="632" t="str">
        <f t="shared" si="40"/>
        <v>AMD Opteron 6220 32 core (4 chip) 3000 MHz</v>
      </c>
      <c r="B301" s="2029" t="s">
        <v>893</v>
      </c>
      <c r="C301" s="2031">
        <v>32</v>
      </c>
      <c r="D301" s="52">
        <v>8</v>
      </c>
      <c r="E301" s="639">
        <v>3000</v>
      </c>
      <c r="F301" s="2011">
        <v>554</v>
      </c>
      <c r="G301" s="2015">
        <f t="shared" si="41"/>
        <v>17.3125</v>
      </c>
      <c r="H301" s="2604">
        <f t="shared" si="42"/>
        <v>4</v>
      </c>
      <c r="I301" s="646" t="s">
        <v>283</v>
      </c>
      <c r="J301" s="673"/>
      <c r="K301" s="2651"/>
    </row>
    <row r="302" spans="1:11" hidden="1" outlineLevel="2" x14ac:dyDescent="0.15">
      <c r="A302" s="632" t="str">
        <f t="shared" si="40"/>
        <v>AMD Opteron 6344 24 core (2 chip) 2600 MHz</v>
      </c>
      <c r="B302" s="2029" t="s">
        <v>892</v>
      </c>
      <c r="C302" s="2031">
        <v>24</v>
      </c>
      <c r="D302" s="52">
        <v>12</v>
      </c>
      <c r="E302" s="639">
        <v>2600</v>
      </c>
      <c r="F302" s="2011">
        <v>395</v>
      </c>
      <c r="G302" s="2015">
        <f t="shared" si="41"/>
        <v>16.458333333333332</v>
      </c>
      <c r="H302" s="2604">
        <f t="shared" si="42"/>
        <v>2</v>
      </c>
      <c r="I302" s="646" t="s">
        <v>283</v>
      </c>
      <c r="J302" s="673"/>
      <c r="K302" s="2651"/>
    </row>
    <row r="303" spans="1:11" hidden="1" outlineLevel="2" x14ac:dyDescent="0.15">
      <c r="A303" s="632" t="str">
        <f t="shared" si="40"/>
        <v>AMD Opteron 6344 48 core (4 chip) 2600 MHz</v>
      </c>
      <c r="B303" s="2029" t="s">
        <v>892</v>
      </c>
      <c r="C303" s="2031">
        <v>48</v>
      </c>
      <c r="D303" s="52">
        <v>12</v>
      </c>
      <c r="E303" s="639">
        <v>2600</v>
      </c>
      <c r="F303" s="2011">
        <v>785</v>
      </c>
      <c r="G303" s="2015">
        <f t="shared" si="41"/>
        <v>16.354166666666668</v>
      </c>
      <c r="H303" s="2604">
        <f t="shared" si="42"/>
        <v>4</v>
      </c>
      <c r="I303" s="646" t="s">
        <v>283</v>
      </c>
      <c r="J303" s="673"/>
      <c r="K303" s="2651"/>
    </row>
    <row r="304" spans="1:11" hidden="1" outlineLevel="2" x14ac:dyDescent="0.15">
      <c r="A304" s="632" t="str">
        <f t="shared" si="40"/>
        <v>AMD Opteron 6380 64 core (4 chip) 2500 MHz</v>
      </c>
      <c r="B304" s="2029" t="s">
        <v>891</v>
      </c>
      <c r="C304" s="2031">
        <v>64</v>
      </c>
      <c r="D304" s="52">
        <v>16</v>
      </c>
      <c r="E304" s="639">
        <v>2500</v>
      </c>
      <c r="F304" s="2011">
        <v>975</v>
      </c>
      <c r="G304" s="2015">
        <f t="shared" si="41"/>
        <v>15.234375</v>
      </c>
      <c r="H304" s="2604">
        <f t="shared" si="42"/>
        <v>4</v>
      </c>
      <c r="I304" s="646" t="s">
        <v>283</v>
      </c>
      <c r="J304" s="673"/>
      <c r="K304" s="2651"/>
    </row>
    <row r="305" spans="1:11" hidden="1" outlineLevel="1" collapsed="1" x14ac:dyDescent="0.15">
      <c r="A305" s="628" t="s">
        <v>881</v>
      </c>
      <c r="B305" s="659" t="str">
        <f>A305</f>
        <v xml:space="preserve"> ==== 2011 Server Platforms ====</v>
      </c>
      <c r="C305" s="656"/>
      <c r="D305" s="2022"/>
      <c r="E305" s="2023"/>
      <c r="F305" s="2010"/>
      <c r="G305" s="2017"/>
      <c r="H305" s="2606"/>
      <c r="I305" s="645"/>
      <c r="J305" s="673"/>
      <c r="K305" s="2651"/>
    </row>
    <row r="306" spans="1:11" hidden="1" outlineLevel="2" x14ac:dyDescent="0.15">
      <c r="A306" s="632" t="str">
        <f t="shared" ref="A306:A313" si="43">CONCATENATE(B306," ",C306," core (",H306," chip) ",E306," MHz")</f>
        <v>AMD Phenom II X4 975 4 core (1 chip) 3600 MHz</v>
      </c>
      <c r="B306" s="2029" t="s">
        <v>897</v>
      </c>
      <c r="C306" s="2031">
        <v>4</v>
      </c>
      <c r="D306" s="52">
        <v>4</v>
      </c>
      <c r="E306" s="639">
        <v>3600</v>
      </c>
      <c r="F306" s="2011">
        <v>82.2</v>
      </c>
      <c r="G306" s="2015">
        <f t="shared" ref="G306:G313" si="44">F306/C306</f>
        <v>20.55</v>
      </c>
      <c r="H306" s="2604">
        <f t="shared" ref="H306:H313" si="45">C306/D306</f>
        <v>1</v>
      </c>
      <c r="I306" s="646" t="s">
        <v>283</v>
      </c>
      <c r="J306" s="673"/>
      <c r="K306" s="2651"/>
    </row>
    <row r="307" spans="1:11" hidden="1" outlineLevel="2" x14ac:dyDescent="0.15">
      <c r="A307" s="632" t="str">
        <f t="shared" si="43"/>
        <v>AMD Opteron 6204 8 core (2 chip) 3300 MHz</v>
      </c>
      <c r="B307" s="2029" t="s">
        <v>895</v>
      </c>
      <c r="C307" s="2031">
        <v>8</v>
      </c>
      <c r="D307" s="52">
        <v>4</v>
      </c>
      <c r="E307" s="639">
        <v>3300</v>
      </c>
      <c r="F307" s="2011">
        <v>160</v>
      </c>
      <c r="G307" s="2015">
        <f t="shared" si="44"/>
        <v>20</v>
      </c>
      <c r="H307" s="2604">
        <f t="shared" si="45"/>
        <v>2</v>
      </c>
      <c r="I307" s="646" t="s">
        <v>283</v>
      </c>
      <c r="J307" s="673"/>
      <c r="K307" s="2651"/>
    </row>
    <row r="308" spans="1:11" hidden="1" outlineLevel="2" x14ac:dyDescent="0.15">
      <c r="A308" s="632" t="str">
        <f t="shared" si="43"/>
        <v>AMD Opteron 4184 12 core (2 chip) 2800 MHz</v>
      </c>
      <c r="B308" s="2029" t="s">
        <v>898</v>
      </c>
      <c r="C308" s="2031">
        <v>12</v>
      </c>
      <c r="D308" s="52">
        <v>6</v>
      </c>
      <c r="E308" s="639">
        <v>2800</v>
      </c>
      <c r="F308" s="2011">
        <v>205</v>
      </c>
      <c r="G308" s="2015">
        <f t="shared" si="44"/>
        <v>17.083333333333332</v>
      </c>
      <c r="H308" s="2604">
        <f t="shared" si="45"/>
        <v>2</v>
      </c>
      <c r="I308" s="646" t="s">
        <v>283</v>
      </c>
      <c r="J308" s="673"/>
      <c r="K308" s="2651"/>
    </row>
    <row r="309" spans="1:11" hidden="1" outlineLevel="2" x14ac:dyDescent="0.15">
      <c r="A309" s="632" t="str">
        <f t="shared" si="43"/>
        <v>AMD Opteron 6204 16 core (2 chip) 3300 MHz</v>
      </c>
      <c r="B309" s="2029" t="s">
        <v>895</v>
      </c>
      <c r="C309" s="2031">
        <v>16</v>
      </c>
      <c r="D309" s="52">
        <v>8</v>
      </c>
      <c r="E309" s="639">
        <v>3300</v>
      </c>
      <c r="F309" s="2011">
        <v>310</v>
      </c>
      <c r="G309" s="2015">
        <f t="shared" si="44"/>
        <v>19.375</v>
      </c>
      <c r="H309" s="2604">
        <f t="shared" si="45"/>
        <v>2</v>
      </c>
      <c r="I309" s="646" t="s">
        <v>283</v>
      </c>
      <c r="J309" s="673"/>
      <c r="K309" s="2651"/>
    </row>
    <row r="310" spans="1:11" hidden="1" outlineLevel="2" x14ac:dyDescent="0.15">
      <c r="A310" s="632" t="str">
        <f t="shared" si="43"/>
        <v>AMD Opteron 6140 32 core (4 chip) 2600 MHz</v>
      </c>
      <c r="B310" s="2029" t="s">
        <v>900</v>
      </c>
      <c r="C310" s="2031">
        <v>32</v>
      </c>
      <c r="D310" s="52">
        <v>8</v>
      </c>
      <c r="E310" s="639">
        <v>2600</v>
      </c>
      <c r="F310" s="2011">
        <v>536</v>
      </c>
      <c r="G310" s="2015">
        <f t="shared" si="44"/>
        <v>16.75</v>
      </c>
      <c r="H310" s="2604">
        <f t="shared" si="45"/>
        <v>4</v>
      </c>
      <c r="I310" s="646" t="s">
        <v>283</v>
      </c>
      <c r="J310" s="673"/>
      <c r="K310" s="2651"/>
    </row>
    <row r="311" spans="1:11" hidden="1" outlineLevel="2" x14ac:dyDescent="0.15">
      <c r="A311" s="632" t="str">
        <f t="shared" si="43"/>
        <v>AMD Opteron 6180 SE 24 core (2 chip) 2500 MHz</v>
      </c>
      <c r="B311" s="2029" t="s">
        <v>899</v>
      </c>
      <c r="C311" s="2031">
        <v>24</v>
      </c>
      <c r="D311" s="52">
        <v>12</v>
      </c>
      <c r="E311" s="639">
        <v>2500</v>
      </c>
      <c r="F311" s="2011">
        <v>371</v>
      </c>
      <c r="G311" s="2015">
        <f t="shared" si="44"/>
        <v>15.458333333333334</v>
      </c>
      <c r="H311" s="2604">
        <f t="shared" si="45"/>
        <v>2</v>
      </c>
      <c r="I311" s="646" t="s">
        <v>283</v>
      </c>
      <c r="J311" s="673"/>
      <c r="K311" s="2651"/>
    </row>
    <row r="312" spans="1:11" hidden="1" outlineLevel="2" x14ac:dyDescent="0.15">
      <c r="A312" s="632" t="str">
        <f t="shared" si="43"/>
        <v>AMD Opteron 6238 48 core (4 chip) 2600 MHz</v>
      </c>
      <c r="B312" s="2029" t="s">
        <v>901</v>
      </c>
      <c r="C312" s="2031">
        <v>48</v>
      </c>
      <c r="D312" s="52">
        <v>12</v>
      </c>
      <c r="E312" s="639">
        <v>2600</v>
      </c>
      <c r="F312" s="2011">
        <v>728</v>
      </c>
      <c r="G312" s="2015">
        <f t="shared" si="44"/>
        <v>15.166666666666666</v>
      </c>
      <c r="H312" s="2604">
        <f t="shared" si="45"/>
        <v>4</v>
      </c>
      <c r="I312" s="646" t="s">
        <v>283</v>
      </c>
      <c r="J312" s="673"/>
      <c r="K312" s="2651"/>
    </row>
    <row r="313" spans="1:11" hidden="1" outlineLevel="2" x14ac:dyDescent="0.15">
      <c r="A313" s="632" t="str">
        <f t="shared" si="43"/>
        <v>AMD Opteron 6282 SE 64 core (4 chip) 2600 MHz</v>
      </c>
      <c r="B313" s="2029" t="s">
        <v>902</v>
      </c>
      <c r="C313" s="2031">
        <v>64</v>
      </c>
      <c r="D313" s="52">
        <v>16</v>
      </c>
      <c r="E313" s="639">
        <v>2600</v>
      </c>
      <c r="F313" s="2011">
        <v>923</v>
      </c>
      <c r="G313" s="2015">
        <f t="shared" si="44"/>
        <v>14.421875</v>
      </c>
      <c r="H313" s="2604">
        <f t="shared" si="45"/>
        <v>4</v>
      </c>
      <c r="I313" s="646" t="s">
        <v>283</v>
      </c>
      <c r="J313" s="673"/>
      <c r="K313" s="2651"/>
    </row>
    <row r="314" spans="1:11" hidden="1" outlineLevel="1" collapsed="1" x14ac:dyDescent="0.15">
      <c r="A314" s="628" t="s">
        <v>158</v>
      </c>
      <c r="B314" s="659" t="str">
        <f>A314</f>
        <v xml:space="preserve"> ==== 2010 Server Platforms ====</v>
      </c>
      <c r="C314" s="656"/>
      <c r="D314" s="2022"/>
      <c r="E314" s="2023"/>
      <c r="F314" s="2010"/>
      <c r="G314" s="2017"/>
      <c r="H314" s="2606"/>
      <c r="I314" s="645"/>
      <c r="J314" s="673"/>
      <c r="K314" s="2651"/>
    </row>
    <row r="315" spans="1:11" hidden="1" outlineLevel="2" x14ac:dyDescent="0.15">
      <c r="A315" s="632" t="str">
        <f>CONCATENATE(B315," ",C315," core (",H315," chip) ",E315," MHz")</f>
        <v>AMD Opt 6174 24 core (2 chip) 2200 MHz</v>
      </c>
      <c r="B315" s="2029" t="s">
        <v>189</v>
      </c>
      <c r="C315" s="2031">
        <v>24</v>
      </c>
      <c r="D315" s="52">
        <v>12</v>
      </c>
      <c r="E315" s="639">
        <v>2200</v>
      </c>
      <c r="F315" s="2011">
        <v>303</v>
      </c>
      <c r="G315" s="2015">
        <f>F315/C315</f>
        <v>12.625</v>
      </c>
      <c r="H315" s="2604">
        <f>C315/D315</f>
        <v>2</v>
      </c>
      <c r="I315" s="646" t="s">
        <v>283</v>
      </c>
      <c r="J315" s="673"/>
      <c r="K315" s="2651"/>
    </row>
    <row r="316" spans="1:11" hidden="1" outlineLevel="2" x14ac:dyDescent="0.15">
      <c r="A316" s="632" t="str">
        <f>CONCATENATE(B316," ",C316," core (",H316," chip) ",E316," MHz")</f>
        <v>AMD Opt 6176SE 24 core (2 chip) 2300 MHz</v>
      </c>
      <c r="B316" s="2029" t="s">
        <v>190</v>
      </c>
      <c r="C316" s="2031">
        <v>24</v>
      </c>
      <c r="D316" s="52">
        <v>12</v>
      </c>
      <c r="E316" s="639">
        <v>2300</v>
      </c>
      <c r="F316" s="2011">
        <v>353</v>
      </c>
      <c r="G316" s="2015">
        <f>F316/C316</f>
        <v>14.708333333333334</v>
      </c>
      <c r="H316" s="2604">
        <f>C316/D316</f>
        <v>2</v>
      </c>
      <c r="I316" s="646" t="s">
        <v>283</v>
      </c>
      <c r="J316" s="673"/>
      <c r="K316" s="2651"/>
    </row>
    <row r="317" spans="1:11" hidden="1" outlineLevel="2" x14ac:dyDescent="0.15">
      <c r="A317" s="632" t="str">
        <f>CONCATENATE(B317," ",C317," core (",H317," chip) ",E317," MHz")</f>
        <v>AMD Opt 6136 48 core (4 chip) 2200 MHz</v>
      </c>
      <c r="B317" s="2029" t="s">
        <v>882</v>
      </c>
      <c r="C317" s="2031">
        <v>48</v>
      </c>
      <c r="D317" s="52">
        <v>12</v>
      </c>
      <c r="E317" s="639">
        <v>2200</v>
      </c>
      <c r="F317" s="2011">
        <v>675</v>
      </c>
      <c r="G317" s="2015">
        <f>F317/C317</f>
        <v>14.0625</v>
      </c>
      <c r="H317" s="2604">
        <f>C317/D317</f>
        <v>4</v>
      </c>
      <c r="I317" s="646" t="s">
        <v>283</v>
      </c>
      <c r="J317" s="673"/>
      <c r="K317" s="2651"/>
    </row>
    <row r="318" spans="1:11" hidden="1" outlineLevel="2" x14ac:dyDescent="0.15">
      <c r="A318" s="632" t="str">
        <f>CONCATENATE(B318," ",C318," core (",H318," chip) ",E318," MHz")</f>
        <v>AMD Opt 6174 48 core (4 chip) 2200 MHz</v>
      </c>
      <c r="B318" s="2029" t="s">
        <v>189</v>
      </c>
      <c r="C318" s="2031">
        <v>48</v>
      </c>
      <c r="D318" s="52">
        <v>12</v>
      </c>
      <c r="E318" s="639">
        <v>2200</v>
      </c>
      <c r="F318" s="2011">
        <v>675</v>
      </c>
      <c r="G318" s="2015">
        <f>F318/C318</f>
        <v>14.0625</v>
      </c>
      <c r="H318" s="2604">
        <f>C318/D318</f>
        <v>4</v>
      </c>
      <c r="I318" s="646" t="s">
        <v>283</v>
      </c>
      <c r="J318" s="673"/>
      <c r="K318" s="2651"/>
    </row>
    <row r="319" spans="1:11" hidden="1" outlineLevel="2" x14ac:dyDescent="0.15">
      <c r="A319" s="632" t="str">
        <f t="shared" ref="A319:A329" si="46">CONCATENATE(B319," ",C319," core (",H319," chip) ",E319," MHz")</f>
        <v>AMD 1 core (1 chip) 2800 MHz</v>
      </c>
      <c r="B319" s="2029" t="s">
        <v>283</v>
      </c>
      <c r="C319" s="2031">
        <v>1</v>
      </c>
      <c r="D319" s="51">
        <v>1</v>
      </c>
      <c r="E319" s="639">
        <v>2800</v>
      </c>
      <c r="F319" s="2011">
        <v>10.595238095238095</v>
      </c>
      <c r="G319" s="2015">
        <f t="shared" ref="G319:G329" si="47">F319/C319</f>
        <v>10.595238095238095</v>
      </c>
      <c r="H319" s="2607">
        <f t="shared" ref="H319:H329" si="48">C319/D319</f>
        <v>1</v>
      </c>
      <c r="I319" s="646" t="s">
        <v>283</v>
      </c>
      <c r="J319" s="673"/>
      <c r="K319" s="2651"/>
    </row>
    <row r="320" spans="1:11" hidden="1" outlineLevel="2" x14ac:dyDescent="0.15">
      <c r="A320" s="632" t="str">
        <f t="shared" si="46"/>
        <v>AMD 2 core (2 chip) 2800 MHz</v>
      </c>
      <c r="B320" s="2029" t="s">
        <v>283</v>
      </c>
      <c r="C320" s="2031">
        <v>2</v>
      </c>
      <c r="D320" s="51">
        <v>1</v>
      </c>
      <c r="E320" s="639">
        <v>2800</v>
      </c>
      <c r="F320" s="2011">
        <v>21.19047619047619</v>
      </c>
      <c r="G320" s="2015">
        <f t="shared" si="47"/>
        <v>10.595238095238095</v>
      </c>
      <c r="H320" s="2607">
        <f t="shared" si="48"/>
        <v>2</v>
      </c>
      <c r="I320" s="646" t="s">
        <v>283</v>
      </c>
      <c r="J320" s="673"/>
      <c r="K320" s="2651"/>
    </row>
    <row r="321" spans="1:19" hidden="1" outlineLevel="2" x14ac:dyDescent="0.15">
      <c r="A321" s="632" t="str">
        <f t="shared" si="46"/>
        <v>AMD 4 core (4 chip) 2800 MHz</v>
      </c>
      <c r="B321" s="2029" t="s">
        <v>283</v>
      </c>
      <c r="C321" s="2031">
        <v>4</v>
      </c>
      <c r="D321" s="51">
        <v>1</v>
      </c>
      <c r="E321" s="639">
        <v>2800</v>
      </c>
      <c r="F321" s="2011">
        <v>40.333333333333336</v>
      </c>
      <c r="G321" s="2015">
        <f t="shared" si="47"/>
        <v>10.083333333333334</v>
      </c>
      <c r="H321" s="2607">
        <f t="shared" si="48"/>
        <v>4</v>
      </c>
      <c r="I321" s="646" t="s">
        <v>283</v>
      </c>
      <c r="J321" s="673"/>
      <c r="K321" s="2651"/>
    </row>
    <row r="322" spans="1:19" hidden="1" outlineLevel="2" x14ac:dyDescent="0.15">
      <c r="A322" s="632" t="str">
        <f t="shared" si="46"/>
        <v>AMD 2 core (1 chip) 2600 MHz</v>
      </c>
      <c r="B322" s="2029" t="s">
        <v>283</v>
      </c>
      <c r="C322" s="2031">
        <v>2</v>
      </c>
      <c r="D322" s="51">
        <v>2</v>
      </c>
      <c r="E322" s="639">
        <v>2600</v>
      </c>
      <c r="F322" s="2011">
        <v>19.380952380952383</v>
      </c>
      <c r="G322" s="2015">
        <f t="shared" si="47"/>
        <v>9.6904761904761916</v>
      </c>
      <c r="H322" s="2607">
        <f t="shared" si="48"/>
        <v>1</v>
      </c>
      <c r="I322" s="646" t="s">
        <v>283</v>
      </c>
      <c r="J322" s="673"/>
      <c r="K322" s="2651"/>
    </row>
    <row r="323" spans="1:19" hidden="1" outlineLevel="2" x14ac:dyDescent="0.15">
      <c r="A323" s="632" t="str">
        <f t="shared" si="46"/>
        <v>AMD 4 core (2 chip) 2600 MHz</v>
      </c>
      <c r="B323" s="2029" t="s">
        <v>283</v>
      </c>
      <c r="C323" s="2031">
        <v>4</v>
      </c>
      <c r="D323" s="51">
        <v>2</v>
      </c>
      <c r="E323" s="639">
        <v>2600</v>
      </c>
      <c r="F323" s="2011">
        <v>38.523809523809526</v>
      </c>
      <c r="G323" s="2015">
        <f t="shared" si="47"/>
        <v>9.6309523809523814</v>
      </c>
      <c r="H323" s="2607">
        <f t="shared" si="48"/>
        <v>2</v>
      </c>
      <c r="I323" s="646" t="s">
        <v>283</v>
      </c>
      <c r="J323" s="673"/>
      <c r="K323" s="2651"/>
    </row>
    <row r="324" spans="1:19" hidden="1" outlineLevel="2" x14ac:dyDescent="0.15">
      <c r="A324" s="632" t="str">
        <f t="shared" si="46"/>
        <v>AMD 1 core (1 chip) 2600 MHz</v>
      </c>
      <c r="B324" s="2029" t="s">
        <v>283</v>
      </c>
      <c r="C324" s="2031">
        <v>1</v>
      </c>
      <c r="D324" s="51">
        <v>1</v>
      </c>
      <c r="E324" s="639">
        <v>2600</v>
      </c>
      <c r="F324" s="2011">
        <v>9.5476190476190474</v>
      </c>
      <c r="G324" s="2015">
        <f t="shared" si="47"/>
        <v>9.5476190476190474</v>
      </c>
      <c r="H324" s="2607">
        <f t="shared" si="48"/>
        <v>1</v>
      </c>
      <c r="I324" s="646" t="s">
        <v>283</v>
      </c>
      <c r="J324" s="673"/>
      <c r="K324" s="2651"/>
    </row>
    <row r="325" spans="1:19" hidden="1" outlineLevel="2" x14ac:dyDescent="0.15">
      <c r="A325" s="632" t="str">
        <f t="shared" si="46"/>
        <v>AMD 2 core (2 chip) 2600 MHz</v>
      </c>
      <c r="B325" s="2029" t="s">
        <v>283</v>
      </c>
      <c r="C325" s="2031">
        <v>2</v>
      </c>
      <c r="D325" s="51">
        <v>1</v>
      </c>
      <c r="E325" s="639">
        <v>2600</v>
      </c>
      <c r="F325" s="2011">
        <v>19.095238095238095</v>
      </c>
      <c r="G325" s="2015">
        <f t="shared" si="47"/>
        <v>9.5476190476190474</v>
      </c>
      <c r="H325" s="2607">
        <f t="shared" si="48"/>
        <v>2</v>
      </c>
      <c r="I325" s="646" t="s">
        <v>283</v>
      </c>
      <c r="J325" s="673"/>
      <c r="K325" s="2651"/>
    </row>
    <row r="326" spans="1:19" hidden="1" outlineLevel="2" x14ac:dyDescent="0.15">
      <c r="A326" s="632" t="str">
        <f t="shared" si="46"/>
        <v>AMD 4 core (4 chip) 2600 MHz</v>
      </c>
      <c r="B326" s="2029" t="s">
        <v>283</v>
      </c>
      <c r="C326" s="2031">
        <v>4</v>
      </c>
      <c r="D326" s="51">
        <v>1</v>
      </c>
      <c r="E326" s="639">
        <v>2600</v>
      </c>
      <c r="F326" s="2011">
        <v>36.904761904761905</v>
      </c>
      <c r="G326" s="2015">
        <f t="shared" si="47"/>
        <v>9.2261904761904763</v>
      </c>
      <c r="H326" s="2607">
        <f t="shared" si="48"/>
        <v>4</v>
      </c>
      <c r="I326" s="646" t="s">
        <v>283</v>
      </c>
      <c r="J326" s="673"/>
      <c r="K326" s="2651"/>
    </row>
    <row r="327" spans="1:19" hidden="1" outlineLevel="2" x14ac:dyDescent="0.15">
      <c r="A327" s="632" t="str">
        <f t="shared" si="46"/>
        <v>AMD 4 core (2 chip) 2400 MHz</v>
      </c>
      <c r="B327" s="2029" t="s">
        <v>283</v>
      </c>
      <c r="C327" s="2031">
        <v>4</v>
      </c>
      <c r="D327" s="51">
        <v>2</v>
      </c>
      <c r="E327" s="639">
        <v>2400</v>
      </c>
      <c r="F327" s="2011">
        <v>35.761904761904759</v>
      </c>
      <c r="G327" s="2015">
        <f t="shared" si="47"/>
        <v>8.9404761904761898</v>
      </c>
      <c r="H327" s="2607">
        <f t="shared" si="48"/>
        <v>2</v>
      </c>
      <c r="I327" s="646" t="s">
        <v>283</v>
      </c>
      <c r="J327" s="673"/>
      <c r="K327" s="2651"/>
    </row>
    <row r="328" spans="1:19" hidden="1" outlineLevel="2" x14ac:dyDescent="0.15">
      <c r="A328" s="632" t="str">
        <f t="shared" si="46"/>
        <v>AMD 2 core (1 chip) 2400 MHz</v>
      </c>
      <c r="B328" s="2029" t="s">
        <v>283</v>
      </c>
      <c r="C328" s="2031">
        <v>2</v>
      </c>
      <c r="D328" s="51">
        <v>2</v>
      </c>
      <c r="E328" s="639">
        <v>2400</v>
      </c>
      <c r="F328" s="2011">
        <v>17.714285714285715</v>
      </c>
      <c r="G328" s="2015">
        <f t="shared" si="47"/>
        <v>8.8571428571428577</v>
      </c>
      <c r="H328" s="2607">
        <f t="shared" si="48"/>
        <v>1</v>
      </c>
      <c r="I328" s="646" t="s">
        <v>283</v>
      </c>
      <c r="J328" s="673"/>
      <c r="K328" s="2651"/>
    </row>
    <row r="329" spans="1:19" hidden="1" outlineLevel="2" x14ac:dyDescent="0.15">
      <c r="A329" s="632" t="str">
        <f t="shared" si="46"/>
        <v>AMD 8 core (4 chip) 2400 MHz</v>
      </c>
      <c r="B329" s="2029" t="s">
        <v>283</v>
      </c>
      <c r="C329" s="2031">
        <v>8</v>
      </c>
      <c r="D329" s="51">
        <v>2</v>
      </c>
      <c r="E329" s="639">
        <v>2400</v>
      </c>
      <c r="F329" s="2011">
        <v>68.571428571428569</v>
      </c>
      <c r="G329" s="2015">
        <f t="shared" si="47"/>
        <v>8.5714285714285712</v>
      </c>
      <c r="H329" s="2607">
        <f t="shared" si="48"/>
        <v>4</v>
      </c>
      <c r="I329" s="646" t="s">
        <v>283</v>
      </c>
      <c r="J329" s="673"/>
      <c r="K329" s="2651"/>
    </row>
    <row r="330" spans="1:19" hidden="1" outlineLevel="1" collapsed="1" x14ac:dyDescent="0.15">
      <c r="A330" s="636"/>
      <c r="B330" s="2040"/>
      <c r="C330" s="2041"/>
      <c r="D330" s="641"/>
      <c r="E330" s="2042"/>
      <c r="F330" s="882"/>
      <c r="G330" s="2019"/>
      <c r="H330" s="2608"/>
      <c r="I330" s="649"/>
      <c r="J330" s="2646"/>
      <c r="K330" s="2651"/>
    </row>
    <row r="331" spans="1:19" collapsed="1" x14ac:dyDescent="0.15">
      <c r="A331" s="2907" t="s">
        <v>1558</v>
      </c>
      <c r="B331" s="2908" t="str">
        <f>A331</f>
        <v xml:space="preserve"> ==== Amazon Machines Instance ======</v>
      </c>
      <c r="C331" s="3072" t="s">
        <v>1695</v>
      </c>
      <c r="D331" s="2909"/>
      <c r="E331" s="2909"/>
      <c r="F331" s="2909"/>
      <c r="G331" s="2910"/>
      <c r="H331" s="2911"/>
      <c r="I331" s="2912"/>
      <c r="J331" s="2840" t="s">
        <v>132</v>
      </c>
      <c r="K331" s="2838" t="s">
        <v>1336</v>
      </c>
      <c r="L331" s="2896" t="s">
        <v>1674</v>
      </c>
      <c r="M331" s="2896" t="s">
        <v>1596</v>
      </c>
      <c r="N331" s="2993" t="s">
        <v>1740</v>
      </c>
      <c r="O331" s="2993" t="s">
        <v>313</v>
      </c>
    </row>
    <row r="332" spans="1:19" outlineLevel="1" x14ac:dyDescent="0.15">
      <c r="A332" s="628" t="s">
        <v>1492</v>
      </c>
      <c r="B332" s="659" t="str">
        <f>A332</f>
        <v xml:space="preserve"> ==== 2017 AMI Platforms ====</v>
      </c>
      <c r="C332" s="656"/>
      <c r="D332" s="2022"/>
      <c r="E332" s="2905"/>
      <c r="F332" s="2906">
        <v>12</v>
      </c>
      <c r="G332" s="2017"/>
      <c r="H332" s="2606"/>
      <c r="I332" s="645"/>
      <c r="J332" s="673"/>
      <c r="K332" s="2897"/>
      <c r="L332" s="2898"/>
      <c r="M332" s="673"/>
      <c r="N332" s="3098"/>
      <c r="O332" s="3098"/>
      <c r="Q332" s="2651" t="s">
        <v>1723</v>
      </c>
      <c r="R332" s="31" t="s">
        <v>1724</v>
      </c>
      <c r="S332" s="31" t="s">
        <v>1725</v>
      </c>
    </row>
    <row r="333" spans="1:19" outlineLevel="1" x14ac:dyDescent="0.15">
      <c r="A333" s="3057" t="s">
        <v>1650</v>
      </c>
      <c r="B333" s="3058"/>
      <c r="C333" s="3059"/>
      <c r="D333" s="3059"/>
      <c r="E333" s="3060"/>
      <c r="F333" s="3058"/>
      <c r="G333" s="3058"/>
      <c r="H333" s="3058"/>
      <c r="I333" s="3058"/>
      <c r="J333" s="3061"/>
      <c r="K333" s="3062"/>
      <c r="L333" s="3063"/>
      <c r="M333" s="3061"/>
      <c r="N333" s="3098"/>
      <c r="O333" s="3098"/>
    </row>
    <row r="334" spans="1:19" s="693" customFormat="1" outlineLevel="2" x14ac:dyDescent="0.15">
      <c r="A334" s="630" t="str">
        <f>CONCATENATE(B334," ",C334," core (",E334," MHz) ",J334," GB")</f>
        <v>AMI m4.large (2vc) 24 core (2400 MHz) 8 GB</v>
      </c>
      <c r="B334" s="2036" t="s">
        <v>1341</v>
      </c>
      <c r="C334" s="2024">
        <v>24</v>
      </c>
      <c r="D334" s="2561">
        <f t="shared" ref="D334:D339" si="49">C334/2</f>
        <v>12</v>
      </c>
      <c r="E334" s="639">
        <v>2400</v>
      </c>
      <c r="F334" s="2011">
        <v>1015</v>
      </c>
      <c r="G334" s="2015">
        <f t="shared" ref="G334:G343" si="50">IF(F334=0,"",F334/C334)</f>
        <v>42.291666666666664</v>
      </c>
      <c r="H334" s="2603">
        <f t="shared" ref="H334:H343" si="51">IF(C334=0,"",C334/D334)</f>
        <v>2</v>
      </c>
      <c r="I334" s="647" t="s">
        <v>335</v>
      </c>
      <c r="J334" s="2643">
        <v>8</v>
      </c>
      <c r="K334" s="2899" t="s">
        <v>1337</v>
      </c>
      <c r="L334" s="2900">
        <v>5308.56</v>
      </c>
      <c r="M334" s="3054" t="str">
        <f t="shared" ref="M334:M388" si="52">MID(B334, FIND("(",B334,1)+1, FIND(")",B334,1)- FIND("(",B334,1)-3)</f>
        <v>2</v>
      </c>
      <c r="N334" s="3099"/>
      <c r="O334" s="3099"/>
      <c r="P334" s="1305"/>
      <c r="Q334" s="3074">
        <f>M334/C334</f>
        <v>8.3333333333333329E-2</v>
      </c>
      <c r="R334" s="3073">
        <f>Q334*4*0.8*F334/13.4</f>
        <v>20.199004975124378</v>
      </c>
      <c r="S334" s="3073">
        <f>8*M334</f>
        <v>16</v>
      </c>
    </row>
    <row r="335" spans="1:19" s="693" customFormat="1" outlineLevel="2" x14ac:dyDescent="0.15">
      <c r="A335" s="630" t="str">
        <f t="shared" ref="A335:A388" si="53">CONCATENATE(B335," ",C335," core (",E335," MHz) ",J335," GB")</f>
        <v>AMI m4.xlarge (4vc) 24 core (2400 MHz) 16 GB</v>
      </c>
      <c r="B335" s="2036" t="s">
        <v>1342</v>
      </c>
      <c r="C335" s="2024">
        <v>24</v>
      </c>
      <c r="D335" s="2561">
        <f t="shared" si="49"/>
        <v>12</v>
      </c>
      <c r="E335" s="639">
        <v>2400</v>
      </c>
      <c r="F335" s="2011">
        <v>1015</v>
      </c>
      <c r="G335" s="2015">
        <f t="shared" si="50"/>
        <v>42.291666666666664</v>
      </c>
      <c r="H335" s="2603">
        <f t="shared" si="51"/>
        <v>2</v>
      </c>
      <c r="I335" s="647" t="s">
        <v>335</v>
      </c>
      <c r="J335" s="2643">
        <v>16</v>
      </c>
      <c r="K335" s="2899" t="s">
        <v>1337</v>
      </c>
      <c r="L335" s="2900">
        <v>10617.12</v>
      </c>
      <c r="M335" s="3054" t="str">
        <f t="shared" si="52"/>
        <v>4</v>
      </c>
      <c r="N335" s="3099"/>
      <c r="O335" s="3099"/>
      <c r="P335" s="1305"/>
      <c r="Q335" s="3074">
        <f t="shared" ref="Q335:Q388" si="54">M335/C335</f>
        <v>0.16666666666666666</v>
      </c>
      <c r="R335" s="3073">
        <f t="shared" ref="R335:R388" si="55">Q335*4*0.8*F335/13.4</f>
        <v>40.398009950248756</v>
      </c>
      <c r="S335" s="3073">
        <f t="shared" ref="S335:S343" si="56">8*M335</f>
        <v>32</v>
      </c>
    </row>
    <row r="336" spans="1:19" s="693" customFormat="1" outlineLevel="2" x14ac:dyDescent="0.15">
      <c r="A336" s="630" t="str">
        <f t="shared" si="53"/>
        <v>AMI m4.2xlarge (8vc) 24 core (2400 MHz) 32 GB</v>
      </c>
      <c r="B336" s="2036" t="s">
        <v>1343</v>
      </c>
      <c r="C336" s="2024">
        <v>24</v>
      </c>
      <c r="D336" s="2561">
        <f t="shared" si="49"/>
        <v>12</v>
      </c>
      <c r="E336" s="639">
        <v>2400</v>
      </c>
      <c r="F336" s="2011">
        <v>1015</v>
      </c>
      <c r="G336" s="2015">
        <f t="shared" si="50"/>
        <v>42.291666666666664</v>
      </c>
      <c r="H336" s="2603">
        <f t="shared" si="51"/>
        <v>2</v>
      </c>
      <c r="I336" s="647" t="s">
        <v>335</v>
      </c>
      <c r="J336" s="2643">
        <v>32</v>
      </c>
      <c r="K336" s="2899" t="s">
        <v>1337</v>
      </c>
      <c r="L336" s="2900">
        <v>21234.240000000002</v>
      </c>
      <c r="M336" s="3054" t="str">
        <f t="shared" si="52"/>
        <v>8</v>
      </c>
      <c r="N336" s="3099"/>
      <c r="O336" s="3099"/>
      <c r="P336" s="1305"/>
      <c r="Q336" s="3074">
        <f t="shared" si="54"/>
        <v>0.33333333333333331</v>
      </c>
      <c r="R336" s="3073">
        <f t="shared" si="55"/>
        <v>80.796019900497512</v>
      </c>
      <c r="S336" s="3073">
        <f t="shared" si="56"/>
        <v>64</v>
      </c>
    </row>
    <row r="337" spans="1:19" s="693" customFormat="1" outlineLevel="2" x14ac:dyDescent="0.15">
      <c r="A337" s="630" t="str">
        <f t="shared" si="53"/>
        <v>AMI m4.4xlarge (16vc) 24 core (2400 MHz) 64 GB</v>
      </c>
      <c r="B337" s="2036" t="s">
        <v>1344</v>
      </c>
      <c r="C337" s="2024">
        <v>24</v>
      </c>
      <c r="D337" s="2561">
        <f t="shared" si="49"/>
        <v>12</v>
      </c>
      <c r="E337" s="639">
        <v>2400</v>
      </c>
      <c r="F337" s="2011">
        <v>1015</v>
      </c>
      <c r="G337" s="2015">
        <f t="shared" si="50"/>
        <v>42.291666666666664</v>
      </c>
      <c r="H337" s="2603">
        <f t="shared" si="51"/>
        <v>2</v>
      </c>
      <c r="I337" s="647" t="s">
        <v>335</v>
      </c>
      <c r="J337" s="2643">
        <v>64</v>
      </c>
      <c r="K337" s="2899" t="s">
        <v>1337</v>
      </c>
      <c r="L337" s="2900">
        <v>42468.480000000003</v>
      </c>
      <c r="M337" s="3054" t="str">
        <f t="shared" si="52"/>
        <v>16</v>
      </c>
      <c r="N337" s="3099"/>
      <c r="O337" s="3099"/>
      <c r="P337" s="1305"/>
      <c r="Q337" s="3074">
        <f t="shared" si="54"/>
        <v>0.66666666666666663</v>
      </c>
      <c r="R337" s="3073">
        <f t="shared" si="55"/>
        <v>161.59203980099502</v>
      </c>
      <c r="S337" s="3073">
        <f t="shared" si="56"/>
        <v>128</v>
      </c>
    </row>
    <row r="338" spans="1:19" s="693" customFormat="1" outlineLevel="2" x14ac:dyDescent="0.15">
      <c r="A338" s="630" t="str">
        <f t="shared" si="53"/>
        <v>AMI m4.10xlarge (40vc) 24 core (2400 MHz) 160 GB</v>
      </c>
      <c r="B338" s="2036" t="s">
        <v>1345</v>
      </c>
      <c r="C338" s="2024">
        <v>24</v>
      </c>
      <c r="D338" s="2561">
        <f t="shared" si="49"/>
        <v>12</v>
      </c>
      <c r="E338" s="639">
        <v>2400</v>
      </c>
      <c r="F338" s="2011">
        <v>1015</v>
      </c>
      <c r="G338" s="2015">
        <f t="shared" si="50"/>
        <v>42.291666666666664</v>
      </c>
      <c r="H338" s="2603">
        <f t="shared" si="51"/>
        <v>2</v>
      </c>
      <c r="I338" s="647" t="s">
        <v>335</v>
      </c>
      <c r="J338" s="2643">
        <v>160</v>
      </c>
      <c r="K338" s="2899" t="s">
        <v>1337</v>
      </c>
      <c r="L338" s="2900">
        <v>100915.2</v>
      </c>
      <c r="M338" s="3054" t="str">
        <f t="shared" si="52"/>
        <v>40</v>
      </c>
      <c r="N338" s="3099"/>
      <c r="O338" s="3099"/>
      <c r="P338" s="1305"/>
      <c r="Q338" s="3074">
        <f t="shared" si="54"/>
        <v>1.6666666666666667</v>
      </c>
      <c r="R338" s="3073">
        <f t="shared" si="55"/>
        <v>403.98009950248758</v>
      </c>
      <c r="S338" s="3073">
        <f t="shared" si="56"/>
        <v>320</v>
      </c>
    </row>
    <row r="339" spans="1:19" s="693" customFormat="1" outlineLevel="2" x14ac:dyDescent="0.15">
      <c r="A339" s="630" t="str">
        <f t="shared" si="53"/>
        <v>AMI m4.16xlarge (64vc) 36 core (2300 MHz) 256 GB</v>
      </c>
      <c r="B339" s="2036" t="s">
        <v>1515</v>
      </c>
      <c r="C339" s="2024">
        <v>36</v>
      </c>
      <c r="D339" s="2561">
        <f t="shared" si="49"/>
        <v>18</v>
      </c>
      <c r="E339" s="639">
        <v>2300</v>
      </c>
      <c r="F339" s="2011">
        <v>1577</v>
      </c>
      <c r="G339" s="2015">
        <f t="shared" si="50"/>
        <v>43.805555555555557</v>
      </c>
      <c r="H339" s="2603">
        <f t="shared" si="51"/>
        <v>2</v>
      </c>
      <c r="I339" s="647" t="s">
        <v>335</v>
      </c>
      <c r="J339" s="2643">
        <v>256</v>
      </c>
      <c r="K339" s="2899" t="s">
        <v>1337</v>
      </c>
      <c r="L339" s="2900">
        <v>161464.32000000001</v>
      </c>
      <c r="M339" s="3054" t="str">
        <f t="shared" si="52"/>
        <v>64</v>
      </c>
      <c r="N339" s="3099"/>
      <c r="O339" s="3099"/>
      <c r="P339" s="1305"/>
      <c r="Q339" s="3074">
        <f t="shared" si="54"/>
        <v>1.7777777777777777</v>
      </c>
      <c r="R339" s="3073">
        <f t="shared" si="55"/>
        <v>669.50580431177445</v>
      </c>
      <c r="S339" s="3073">
        <f t="shared" si="56"/>
        <v>512</v>
      </c>
    </row>
    <row r="340" spans="1:19" s="693" customFormat="1" outlineLevel="2" x14ac:dyDescent="0.15">
      <c r="A340" s="630" t="str">
        <f t="shared" si="53"/>
        <v>AMI m3.medium (1vc) 20 core (2600 MHz) 3.75 GB</v>
      </c>
      <c r="B340" s="2036" t="s">
        <v>1534</v>
      </c>
      <c r="C340" s="2024">
        <v>20</v>
      </c>
      <c r="D340" s="2561">
        <v>10</v>
      </c>
      <c r="E340" s="639">
        <v>2600</v>
      </c>
      <c r="F340" s="2011">
        <v>764</v>
      </c>
      <c r="G340" s="2015">
        <f t="shared" si="50"/>
        <v>38.200000000000003</v>
      </c>
      <c r="H340" s="2603">
        <f t="shared" si="51"/>
        <v>2</v>
      </c>
      <c r="I340" s="647" t="s">
        <v>335</v>
      </c>
      <c r="J340" s="2643">
        <v>3.75</v>
      </c>
      <c r="K340" s="2899" t="s">
        <v>1530</v>
      </c>
      <c r="L340" s="2901">
        <v>3758.0399999999995</v>
      </c>
      <c r="M340" s="3054" t="str">
        <f t="shared" si="52"/>
        <v>1</v>
      </c>
      <c r="N340" s="3100">
        <v>1</v>
      </c>
      <c r="O340" s="3100">
        <f>M340/N340</f>
        <v>1</v>
      </c>
      <c r="P340" s="1305"/>
      <c r="Q340" s="3074">
        <f t="shared" si="54"/>
        <v>0.05</v>
      </c>
      <c r="R340" s="3073">
        <f t="shared" si="55"/>
        <v>9.1223880597014944</v>
      </c>
      <c r="S340" s="3073">
        <f t="shared" si="56"/>
        <v>8</v>
      </c>
    </row>
    <row r="341" spans="1:19" s="693" customFormat="1" outlineLevel="2" x14ac:dyDescent="0.15">
      <c r="A341" s="630" t="str">
        <f t="shared" si="53"/>
        <v>AMI m3.large (2vc) 20 core (2600 MHz) 7.5 GB</v>
      </c>
      <c r="B341" s="2036" t="s">
        <v>1339</v>
      </c>
      <c r="C341" s="2024">
        <v>20</v>
      </c>
      <c r="D341" s="2561">
        <v>10</v>
      </c>
      <c r="E341" s="639">
        <v>2600</v>
      </c>
      <c r="F341" s="2011">
        <v>764</v>
      </c>
      <c r="G341" s="2015">
        <f t="shared" si="50"/>
        <v>38.200000000000003</v>
      </c>
      <c r="H341" s="2603">
        <f t="shared" si="51"/>
        <v>2</v>
      </c>
      <c r="I341" s="647" t="s">
        <v>335</v>
      </c>
      <c r="J341" s="2643">
        <v>7.5</v>
      </c>
      <c r="K341" s="2899" t="s">
        <v>1531</v>
      </c>
      <c r="L341" s="2901">
        <v>7489.7999999999993</v>
      </c>
      <c r="M341" s="3054" t="str">
        <f t="shared" si="52"/>
        <v>2</v>
      </c>
      <c r="N341" s="3100">
        <v>2</v>
      </c>
      <c r="O341" s="3100">
        <f>M341/N341</f>
        <v>1</v>
      </c>
      <c r="P341" s="1305"/>
      <c r="Q341" s="3074">
        <f t="shared" si="54"/>
        <v>0.1</v>
      </c>
      <c r="R341" s="3073">
        <f t="shared" si="55"/>
        <v>18.244776119402989</v>
      </c>
      <c r="S341" s="3073">
        <f t="shared" si="56"/>
        <v>16</v>
      </c>
    </row>
    <row r="342" spans="1:19" s="693" customFormat="1" outlineLevel="2" x14ac:dyDescent="0.15">
      <c r="A342" s="630" t="str">
        <f t="shared" si="53"/>
        <v>AMI m3.xlarge (4vc) 20 core (2600 MHz) 15 GB</v>
      </c>
      <c r="B342" s="2036" t="s">
        <v>1338</v>
      </c>
      <c r="C342" s="2024">
        <f>C341</f>
        <v>20</v>
      </c>
      <c r="D342" s="2561">
        <f>C342/2</f>
        <v>10</v>
      </c>
      <c r="E342" s="639">
        <v>2600</v>
      </c>
      <c r="F342" s="2011">
        <f>+F341</f>
        <v>764</v>
      </c>
      <c r="G342" s="2015">
        <f t="shared" si="50"/>
        <v>38.200000000000003</v>
      </c>
      <c r="H342" s="2603">
        <f t="shared" si="51"/>
        <v>2</v>
      </c>
      <c r="I342" s="647" t="s">
        <v>335</v>
      </c>
      <c r="J342" s="2643">
        <v>15</v>
      </c>
      <c r="K342" s="2899" t="s">
        <v>1532</v>
      </c>
      <c r="L342" s="2901">
        <v>14979.599999999999</v>
      </c>
      <c r="M342" s="3054" t="str">
        <f t="shared" si="52"/>
        <v>4</v>
      </c>
      <c r="N342" s="3100">
        <v>2</v>
      </c>
      <c r="O342" s="3100">
        <f>M342/N342</f>
        <v>2</v>
      </c>
      <c r="P342" s="1305"/>
      <c r="Q342" s="3074">
        <f t="shared" si="54"/>
        <v>0.2</v>
      </c>
      <c r="R342" s="3073">
        <f t="shared" si="55"/>
        <v>36.489552238805977</v>
      </c>
      <c r="S342" s="3073">
        <f t="shared" si="56"/>
        <v>32</v>
      </c>
    </row>
    <row r="343" spans="1:19" s="693" customFormat="1" outlineLevel="2" x14ac:dyDescent="0.15">
      <c r="A343" s="630" t="str">
        <f t="shared" si="53"/>
        <v>AMI m3.2xlarge (8vc) 20 core (2600 MHz) 30 GB</v>
      </c>
      <c r="B343" s="2036" t="s">
        <v>1340</v>
      </c>
      <c r="C343" s="2024">
        <f>C342</f>
        <v>20</v>
      </c>
      <c r="D343" s="2561">
        <f>C343/2</f>
        <v>10</v>
      </c>
      <c r="E343" s="639">
        <v>2600</v>
      </c>
      <c r="F343" s="2011">
        <f>+F342</f>
        <v>764</v>
      </c>
      <c r="G343" s="2015">
        <f t="shared" si="50"/>
        <v>38.200000000000003</v>
      </c>
      <c r="H343" s="2603">
        <f t="shared" si="51"/>
        <v>2</v>
      </c>
      <c r="I343" s="647" t="s">
        <v>335</v>
      </c>
      <c r="J343" s="2643">
        <v>30</v>
      </c>
      <c r="K343" s="2899" t="s">
        <v>1533</v>
      </c>
      <c r="L343" s="2901">
        <v>29959.199999999997</v>
      </c>
      <c r="M343" s="3054" t="str">
        <f t="shared" si="52"/>
        <v>8</v>
      </c>
      <c r="N343" s="3100">
        <v>2</v>
      </c>
      <c r="O343" s="3100">
        <f>M343/N343</f>
        <v>4</v>
      </c>
      <c r="P343" s="1305"/>
      <c r="Q343" s="3074">
        <f t="shared" si="54"/>
        <v>0.4</v>
      </c>
      <c r="R343" s="3073">
        <f t="shared" si="55"/>
        <v>72.979104477611955</v>
      </c>
      <c r="S343" s="3073">
        <f t="shared" si="56"/>
        <v>64</v>
      </c>
    </row>
    <row r="344" spans="1:19" outlineLevel="1" x14ac:dyDescent="0.15">
      <c r="A344" s="3057" t="s">
        <v>1651</v>
      </c>
      <c r="B344" s="3058"/>
      <c r="C344" s="3059"/>
      <c r="D344" s="3059"/>
      <c r="E344" s="3060"/>
      <c r="F344" s="3058"/>
      <c r="G344" s="3058"/>
      <c r="H344" s="3058"/>
      <c r="I344" s="3058"/>
      <c r="J344" s="3061"/>
      <c r="K344" s="3062"/>
      <c r="L344" s="3063"/>
      <c r="M344" s="3061"/>
      <c r="N344" s="3098"/>
      <c r="O344" s="3098"/>
      <c r="Q344" s="3074"/>
      <c r="R344" s="3073"/>
    </row>
    <row r="345" spans="1:19" s="693" customFormat="1" hidden="1" outlineLevel="2" x14ac:dyDescent="0.15">
      <c r="A345" s="630" t="str">
        <f t="shared" si="53"/>
        <v>AMI c4.large (2vc) 20 core (2900 MHz) 3.75 GB</v>
      </c>
      <c r="B345" s="2036" t="s">
        <v>1493</v>
      </c>
      <c r="C345" s="2025">
        <v>20</v>
      </c>
      <c r="D345" s="50">
        <v>10</v>
      </c>
      <c r="E345" s="639">
        <v>2900</v>
      </c>
      <c r="F345" s="2012">
        <v>952</v>
      </c>
      <c r="G345" s="2562">
        <f t="shared" ref="G345:G354" si="57">IF(F345=0,"",F345/C345)</f>
        <v>47.6</v>
      </c>
      <c r="H345" s="2603">
        <f t="shared" ref="H345:H354" si="58">IF(C345=0,"",C345/D345)</f>
        <v>2</v>
      </c>
      <c r="I345" s="647" t="s">
        <v>335</v>
      </c>
      <c r="J345" s="2644">
        <v>3.75</v>
      </c>
      <c r="K345" s="2902" t="s">
        <v>1535</v>
      </c>
      <c r="L345" s="2900">
        <v>1013</v>
      </c>
      <c r="M345" s="3054" t="str">
        <f t="shared" si="52"/>
        <v>2</v>
      </c>
      <c r="N345" s="3099"/>
      <c r="O345" s="3099"/>
      <c r="P345" s="1305"/>
      <c r="Q345" s="3074">
        <f t="shared" si="54"/>
        <v>0.1</v>
      </c>
      <c r="R345" s="3073">
        <f t="shared" si="55"/>
        <v>22.734328358208959</v>
      </c>
      <c r="S345" s="3073">
        <f>8*M345</f>
        <v>16</v>
      </c>
    </row>
    <row r="346" spans="1:19" s="693" customFormat="1" hidden="1" outlineLevel="2" x14ac:dyDescent="0.15">
      <c r="A346" s="630" t="str">
        <f t="shared" si="53"/>
        <v>AMI c4.xlarge (4vc) 20 core (2900 MHz) 7.5 GB</v>
      </c>
      <c r="B346" s="2036" t="s">
        <v>1494</v>
      </c>
      <c r="C346" s="2025">
        <v>20</v>
      </c>
      <c r="D346" s="50">
        <v>10</v>
      </c>
      <c r="E346" s="639">
        <v>2900</v>
      </c>
      <c r="F346" s="2012">
        <v>952</v>
      </c>
      <c r="G346" s="2562">
        <f t="shared" si="57"/>
        <v>47.6</v>
      </c>
      <c r="H346" s="2603">
        <f t="shared" si="58"/>
        <v>2</v>
      </c>
      <c r="I346" s="647" t="s">
        <v>335</v>
      </c>
      <c r="J346" s="2644">
        <v>7.5</v>
      </c>
      <c r="K346" s="2902" t="s">
        <v>1535</v>
      </c>
      <c r="L346" s="2900">
        <v>2050</v>
      </c>
      <c r="M346" s="3054" t="str">
        <f t="shared" si="52"/>
        <v>4</v>
      </c>
      <c r="N346" s="3099"/>
      <c r="O346" s="3099"/>
      <c r="P346" s="1305"/>
      <c r="Q346" s="3074">
        <f t="shared" si="54"/>
        <v>0.2</v>
      </c>
      <c r="R346" s="3073">
        <f t="shared" si="55"/>
        <v>45.468656716417918</v>
      </c>
      <c r="S346" s="3073">
        <f t="shared" ref="S346:S377" si="59">8*M346</f>
        <v>32</v>
      </c>
    </row>
    <row r="347" spans="1:19" s="693" customFormat="1" hidden="1" outlineLevel="2" x14ac:dyDescent="0.15">
      <c r="A347" s="630" t="str">
        <f t="shared" si="53"/>
        <v>AMI c4.2xlarge (8vc) 20 core (2900 MHz) 15 GB</v>
      </c>
      <c r="B347" s="2036" t="s">
        <v>1356</v>
      </c>
      <c r="C347" s="2025">
        <v>20</v>
      </c>
      <c r="D347" s="50">
        <v>10</v>
      </c>
      <c r="E347" s="639">
        <v>2900</v>
      </c>
      <c r="F347" s="2012">
        <v>952</v>
      </c>
      <c r="G347" s="2562">
        <f t="shared" si="57"/>
        <v>47.6</v>
      </c>
      <c r="H347" s="2603">
        <f t="shared" si="58"/>
        <v>2</v>
      </c>
      <c r="I347" s="647" t="s">
        <v>335</v>
      </c>
      <c r="J347" s="2644">
        <v>15</v>
      </c>
      <c r="K347" s="2902" t="s">
        <v>1535</v>
      </c>
      <c r="L347" s="2900">
        <v>4076</v>
      </c>
      <c r="M347" s="3054" t="str">
        <f t="shared" si="52"/>
        <v>8</v>
      </c>
      <c r="N347" s="3099"/>
      <c r="O347" s="3099"/>
      <c r="P347" s="1305"/>
      <c r="Q347" s="3074">
        <f t="shared" si="54"/>
        <v>0.4</v>
      </c>
      <c r="R347" s="3073">
        <f t="shared" si="55"/>
        <v>90.937313432835836</v>
      </c>
      <c r="S347" s="3073">
        <f t="shared" si="59"/>
        <v>64</v>
      </c>
    </row>
    <row r="348" spans="1:19" s="693" customFormat="1" hidden="1" outlineLevel="2" x14ac:dyDescent="0.15">
      <c r="A348" s="630" t="str">
        <f t="shared" si="53"/>
        <v>AMI c4.4xlarge (16vc) 20 core (2900 MHz) 30 GB</v>
      </c>
      <c r="B348" s="2036" t="s">
        <v>1495</v>
      </c>
      <c r="C348" s="2025">
        <v>20</v>
      </c>
      <c r="D348" s="50">
        <v>10</v>
      </c>
      <c r="E348" s="639">
        <v>2900</v>
      </c>
      <c r="F348" s="2012">
        <v>952</v>
      </c>
      <c r="G348" s="2562">
        <f t="shared" si="57"/>
        <v>47.6</v>
      </c>
      <c r="H348" s="2603">
        <f t="shared" si="58"/>
        <v>2</v>
      </c>
      <c r="I348" s="647" t="s">
        <v>335</v>
      </c>
      <c r="J348" s="2644">
        <v>30</v>
      </c>
      <c r="K348" s="2902" t="s">
        <v>1535</v>
      </c>
      <c r="L348" s="2900">
        <v>8152</v>
      </c>
      <c r="M348" s="3054" t="str">
        <f t="shared" si="52"/>
        <v>16</v>
      </c>
      <c r="N348" s="3099"/>
      <c r="O348" s="3099"/>
      <c r="P348" s="1305"/>
      <c r="Q348" s="3074">
        <f t="shared" si="54"/>
        <v>0.8</v>
      </c>
      <c r="R348" s="3073">
        <f t="shared" si="55"/>
        <v>181.87462686567167</v>
      </c>
      <c r="S348" s="3073">
        <f t="shared" si="59"/>
        <v>128</v>
      </c>
    </row>
    <row r="349" spans="1:19" s="693" customFormat="1" hidden="1" outlineLevel="2" x14ac:dyDescent="0.15">
      <c r="A349" s="630" t="str">
        <f t="shared" si="53"/>
        <v>AMI c4.8xlarge (32vc) 20 core (2900 MHz) 60 GB</v>
      </c>
      <c r="B349" s="2036" t="s">
        <v>1496</v>
      </c>
      <c r="C349" s="2025">
        <v>20</v>
      </c>
      <c r="D349" s="50">
        <v>10</v>
      </c>
      <c r="E349" s="639">
        <v>2900</v>
      </c>
      <c r="F349" s="2012">
        <v>952</v>
      </c>
      <c r="G349" s="2562">
        <f t="shared" si="57"/>
        <v>47.6</v>
      </c>
      <c r="H349" s="2603">
        <f t="shared" si="58"/>
        <v>2</v>
      </c>
      <c r="I349" s="647" t="s">
        <v>335</v>
      </c>
      <c r="J349" s="2644">
        <v>60</v>
      </c>
      <c r="K349" s="2902" t="s">
        <v>1535</v>
      </c>
      <c r="L349" s="2900">
        <v>16329</v>
      </c>
      <c r="M349" s="3054" t="str">
        <f t="shared" si="52"/>
        <v>32</v>
      </c>
      <c r="N349" s="3099"/>
      <c r="O349" s="3099"/>
      <c r="P349" s="1305"/>
      <c r="Q349" s="3074">
        <f t="shared" si="54"/>
        <v>1.6</v>
      </c>
      <c r="R349" s="3073">
        <f t="shared" si="55"/>
        <v>363.74925373134334</v>
      </c>
      <c r="S349" s="3073">
        <f t="shared" si="59"/>
        <v>256</v>
      </c>
    </row>
    <row r="350" spans="1:19" s="693" customFormat="1" hidden="1" outlineLevel="2" x14ac:dyDescent="0.15">
      <c r="A350" s="630" t="str">
        <f t="shared" si="53"/>
        <v>AMI c3.large (2vc) 20 core (2800 MHz) 3.75 GB</v>
      </c>
      <c r="B350" s="2036" t="s">
        <v>1497</v>
      </c>
      <c r="C350" s="2025">
        <v>20</v>
      </c>
      <c r="D350" s="50">
        <v>10</v>
      </c>
      <c r="E350" s="639">
        <v>2800</v>
      </c>
      <c r="F350" s="2012">
        <v>831</v>
      </c>
      <c r="G350" s="2562">
        <f t="shared" si="57"/>
        <v>41.55</v>
      </c>
      <c r="H350" s="2603">
        <f t="shared" si="58"/>
        <v>2</v>
      </c>
      <c r="I350" s="647" t="s">
        <v>335</v>
      </c>
      <c r="J350" s="2644">
        <v>3.75</v>
      </c>
      <c r="K350" s="2902" t="s">
        <v>1536</v>
      </c>
      <c r="L350" s="2900">
        <v>1020</v>
      </c>
      <c r="M350" s="3054" t="str">
        <f t="shared" si="52"/>
        <v>2</v>
      </c>
      <c r="N350" s="3099"/>
      <c r="O350" s="3099"/>
      <c r="P350" s="1305"/>
      <c r="Q350" s="3074">
        <f t="shared" si="54"/>
        <v>0.1</v>
      </c>
      <c r="R350" s="3073">
        <f t="shared" si="55"/>
        <v>19.84477611940299</v>
      </c>
      <c r="S350" s="3073">
        <f t="shared" si="59"/>
        <v>16</v>
      </c>
    </row>
    <row r="351" spans="1:19" s="693" customFormat="1" hidden="1" outlineLevel="2" x14ac:dyDescent="0.15">
      <c r="A351" s="630" t="str">
        <f t="shared" si="53"/>
        <v>AMI c3.xlarge (4vc) 20 core (2800 MHz) 7.5 GB</v>
      </c>
      <c r="B351" s="2036" t="s">
        <v>1498</v>
      </c>
      <c r="C351" s="2025">
        <v>20</v>
      </c>
      <c r="D351" s="50">
        <v>10</v>
      </c>
      <c r="E351" s="639">
        <v>2800</v>
      </c>
      <c r="F351" s="2012">
        <v>831</v>
      </c>
      <c r="G351" s="2562">
        <f t="shared" si="57"/>
        <v>41.55</v>
      </c>
      <c r="H351" s="2603">
        <f t="shared" si="58"/>
        <v>2</v>
      </c>
      <c r="I351" s="647" t="s">
        <v>335</v>
      </c>
      <c r="J351" s="2644">
        <v>7.5</v>
      </c>
      <c r="K351" s="2902" t="s">
        <v>1537</v>
      </c>
      <c r="L351" s="2900">
        <v>2066</v>
      </c>
      <c r="M351" s="3054" t="str">
        <f t="shared" si="52"/>
        <v>4</v>
      </c>
      <c r="N351" s="3099"/>
      <c r="O351" s="3099"/>
      <c r="P351" s="1305"/>
      <c r="Q351" s="3074">
        <f t="shared" si="54"/>
        <v>0.2</v>
      </c>
      <c r="R351" s="3073">
        <f t="shared" si="55"/>
        <v>39.68955223880598</v>
      </c>
      <c r="S351" s="3073">
        <f t="shared" si="59"/>
        <v>32</v>
      </c>
    </row>
    <row r="352" spans="1:19" s="693" customFormat="1" hidden="1" outlineLevel="2" x14ac:dyDescent="0.15">
      <c r="A352" s="630" t="str">
        <f t="shared" si="53"/>
        <v>AMI c3.2xlarge (8vc) 20 core (2800 MHz) 15 GB</v>
      </c>
      <c r="B352" s="2036" t="s">
        <v>1499</v>
      </c>
      <c r="C352" s="2025">
        <v>20</v>
      </c>
      <c r="D352" s="50">
        <v>10</v>
      </c>
      <c r="E352" s="639">
        <v>2800</v>
      </c>
      <c r="F352" s="2012">
        <v>831</v>
      </c>
      <c r="G352" s="2562">
        <f t="shared" si="57"/>
        <v>41.55</v>
      </c>
      <c r="H352" s="2603">
        <f t="shared" si="58"/>
        <v>2</v>
      </c>
      <c r="I352" s="647" t="s">
        <v>335</v>
      </c>
      <c r="J352" s="2644">
        <v>15</v>
      </c>
      <c r="K352" s="2902" t="s">
        <v>1538</v>
      </c>
      <c r="L352" s="2900">
        <v>4132</v>
      </c>
      <c r="M352" s="3054" t="str">
        <f t="shared" si="52"/>
        <v>8</v>
      </c>
      <c r="N352" s="3099"/>
      <c r="O352" s="3099"/>
      <c r="P352" s="1305"/>
      <c r="Q352" s="3074">
        <f t="shared" si="54"/>
        <v>0.4</v>
      </c>
      <c r="R352" s="3073">
        <f t="shared" si="55"/>
        <v>79.379104477611961</v>
      </c>
      <c r="S352" s="3073">
        <f t="shared" si="59"/>
        <v>64</v>
      </c>
    </row>
    <row r="353" spans="1:19" s="693" customFormat="1" hidden="1" outlineLevel="2" x14ac:dyDescent="0.15">
      <c r="A353" s="630" t="str">
        <f t="shared" si="53"/>
        <v>AMI c3.4xlarge (16vc) 20 core (2800 MHz) 30 GB</v>
      </c>
      <c r="B353" s="2036" t="s">
        <v>1500</v>
      </c>
      <c r="C353" s="2025">
        <v>20</v>
      </c>
      <c r="D353" s="50">
        <v>10</v>
      </c>
      <c r="E353" s="639">
        <v>2800</v>
      </c>
      <c r="F353" s="2012">
        <v>831</v>
      </c>
      <c r="G353" s="2562">
        <f t="shared" si="57"/>
        <v>41.55</v>
      </c>
      <c r="H353" s="2603">
        <f t="shared" si="58"/>
        <v>2</v>
      </c>
      <c r="I353" s="647" t="s">
        <v>335</v>
      </c>
      <c r="J353" s="2644">
        <v>30</v>
      </c>
      <c r="K353" s="2902" t="s">
        <v>1539</v>
      </c>
      <c r="L353" s="2900">
        <v>8265</v>
      </c>
      <c r="M353" s="3054" t="str">
        <f t="shared" si="52"/>
        <v>16</v>
      </c>
      <c r="N353" s="3099"/>
      <c r="O353" s="3099"/>
      <c r="P353" s="1305"/>
      <c r="Q353" s="3074">
        <f t="shared" si="54"/>
        <v>0.8</v>
      </c>
      <c r="R353" s="3073">
        <f t="shared" si="55"/>
        <v>158.75820895522392</v>
      </c>
      <c r="S353" s="3073">
        <f t="shared" si="59"/>
        <v>128</v>
      </c>
    </row>
    <row r="354" spans="1:19" s="693" customFormat="1" hidden="1" outlineLevel="2" x14ac:dyDescent="0.15">
      <c r="A354" s="630" t="str">
        <f t="shared" si="53"/>
        <v>AMI c3.8xlarge (32vc) 20 core (2800 MHz) 60 GB</v>
      </c>
      <c r="B354" s="2036" t="s">
        <v>1501</v>
      </c>
      <c r="C354" s="2025">
        <v>20</v>
      </c>
      <c r="D354" s="50">
        <v>10</v>
      </c>
      <c r="E354" s="639">
        <v>2800</v>
      </c>
      <c r="F354" s="2012">
        <v>831</v>
      </c>
      <c r="G354" s="2562">
        <f t="shared" si="57"/>
        <v>41.55</v>
      </c>
      <c r="H354" s="2603">
        <f t="shared" si="58"/>
        <v>2</v>
      </c>
      <c r="I354" s="647" t="s">
        <v>335</v>
      </c>
      <c r="J354" s="2644">
        <v>60</v>
      </c>
      <c r="K354" s="2902" t="s">
        <v>1540</v>
      </c>
      <c r="L354" s="2900">
        <v>16506</v>
      </c>
      <c r="M354" s="3054" t="str">
        <f t="shared" si="52"/>
        <v>32</v>
      </c>
      <c r="N354" s="3099"/>
      <c r="O354" s="3099"/>
      <c r="P354" s="1305"/>
      <c r="Q354" s="3074">
        <f t="shared" si="54"/>
        <v>1.6</v>
      </c>
      <c r="R354" s="3073">
        <f t="shared" si="55"/>
        <v>317.51641791044784</v>
      </c>
      <c r="S354" s="3073">
        <f t="shared" si="59"/>
        <v>256</v>
      </c>
    </row>
    <row r="355" spans="1:19" outlineLevel="1" collapsed="1" x14ac:dyDescent="0.15">
      <c r="A355" s="3057" t="s">
        <v>1679</v>
      </c>
      <c r="B355" s="3058"/>
      <c r="C355" s="3059"/>
      <c r="D355" s="3059"/>
      <c r="E355" s="3060"/>
      <c r="F355" s="3058"/>
      <c r="G355" s="3058"/>
      <c r="H355" s="3058"/>
      <c r="I355" s="3058"/>
      <c r="J355" s="3061"/>
      <c r="K355" s="3062"/>
      <c r="L355" s="3063"/>
      <c r="M355" s="3061"/>
      <c r="N355" s="3098"/>
      <c r="O355" s="3098"/>
      <c r="Q355" s="3074"/>
      <c r="R355" s="3073"/>
    </row>
    <row r="356" spans="1:19" s="693" customFormat="1" hidden="1" outlineLevel="2" x14ac:dyDescent="0.15">
      <c r="A356" s="630" t="str">
        <f t="shared" si="53"/>
        <v>AMI p2.xlarge (4vc) 36 core (2300 MHz) 61 GB</v>
      </c>
      <c r="B356" s="2036" t="s">
        <v>1516</v>
      </c>
      <c r="C356" s="2024">
        <v>36</v>
      </c>
      <c r="D356" s="2561">
        <f t="shared" ref="D356:D377" si="60">C356/2</f>
        <v>18</v>
      </c>
      <c r="E356" s="639">
        <v>2300</v>
      </c>
      <c r="F356" s="2011">
        <v>1577</v>
      </c>
      <c r="G356" s="2015">
        <f t="shared" ref="G356:G377" si="61">IF(F356=0,"",F356/C356)</f>
        <v>43.805555555555557</v>
      </c>
      <c r="H356" s="2603">
        <f t="shared" ref="H356:H377" si="62">IF(C356=0,"",C356/D356)</f>
        <v>2</v>
      </c>
      <c r="I356" s="647" t="s">
        <v>335</v>
      </c>
      <c r="J356" s="2643">
        <v>61</v>
      </c>
      <c r="K356" s="2899" t="s">
        <v>1541</v>
      </c>
      <c r="L356" s="2900">
        <v>30852.719999999998</v>
      </c>
      <c r="M356" s="3054" t="str">
        <f t="shared" si="52"/>
        <v>4</v>
      </c>
      <c r="N356" s="3099"/>
      <c r="O356" s="3099"/>
      <c r="P356" s="1305"/>
      <c r="Q356" s="3074">
        <f t="shared" si="54"/>
        <v>0.1111111111111111</v>
      </c>
      <c r="R356" s="3073">
        <f t="shared" si="55"/>
        <v>41.844112769485903</v>
      </c>
      <c r="S356" s="3073">
        <f t="shared" si="59"/>
        <v>32</v>
      </c>
    </row>
    <row r="357" spans="1:19" s="693" customFormat="1" hidden="1" outlineLevel="2" x14ac:dyDescent="0.15">
      <c r="A357" s="630" t="str">
        <f t="shared" si="53"/>
        <v>AMI p2.8xlarge (8vc) 36 core (2300 MHz) 488 GB</v>
      </c>
      <c r="B357" s="2036" t="s">
        <v>1517</v>
      </c>
      <c r="C357" s="2024">
        <v>36</v>
      </c>
      <c r="D357" s="2561">
        <f t="shared" si="60"/>
        <v>18</v>
      </c>
      <c r="E357" s="639">
        <v>2300</v>
      </c>
      <c r="F357" s="2011">
        <v>1577</v>
      </c>
      <c r="G357" s="2015">
        <f t="shared" si="61"/>
        <v>43.805555555555557</v>
      </c>
      <c r="H357" s="2603">
        <f t="shared" si="62"/>
        <v>2</v>
      </c>
      <c r="I357" s="647" t="s">
        <v>335</v>
      </c>
      <c r="J357" s="2643">
        <v>488</v>
      </c>
      <c r="K357" s="2899" t="s">
        <v>1541</v>
      </c>
      <c r="L357" s="2900">
        <v>246821.75999999998</v>
      </c>
      <c r="M357" s="3054" t="str">
        <f t="shared" si="52"/>
        <v>8</v>
      </c>
      <c r="N357" s="3099"/>
      <c r="O357" s="3099"/>
      <c r="P357" s="1305"/>
      <c r="Q357" s="3074">
        <f t="shared" si="54"/>
        <v>0.22222222222222221</v>
      </c>
      <c r="R357" s="3073">
        <f t="shared" si="55"/>
        <v>83.688225538971807</v>
      </c>
      <c r="S357" s="3073">
        <f t="shared" si="59"/>
        <v>64</v>
      </c>
    </row>
    <row r="358" spans="1:19" s="693" customFormat="1" hidden="1" outlineLevel="2" x14ac:dyDescent="0.15">
      <c r="A358" s="630" t="str">
        <f t="shared" si="53"/>
        <v>AMI p2.16xlarge (16vc) 36 core (2300 MHz) 732 GB</v>
      </c>
      <c r="B358" s="2036" t="s">
        <v>1518</v>
      </c>
      <c r="C358" s="2024">
        <v>36</v>
      </c>
      <c r="D358" s="2561">
        <f t="shared" si="60"/>
        <v>18</v>
      </c>
      <c r="E358" s="639">
        <v>2300</v>
      </c>
      <c r="F358" s="2011">
        <v>1577</v>
      </c>
      <c r="G358" s="2015">
        <f t="shared" si="61"/>
        <v>43.805555555555557</v>
      </c>
      <c r="H358" s="2603">
        <f t="shared" si="62"/>
        <v>2</v>
      </c>
      <c r="I358" s="647" t="s">
        <v>335</v>
      </c>
      <c r="J358" s="2643">
        <v>732</v>
      </c>
      <c r="K358" s="2899" t="s">
        <v>1541</v>
      </c>
      <c r="L358" s="2900">
        <v>455800.32000000001</v>
      </c>
      <c r="M358" s="3054" t="str">
        <f t="shared" si="52"/>
        <v>16</v>
      </c>
      <c r="N358" s="3099"/>
      <c r="O358" s="3099"/>
      <c r="P358" s="1305"/>
      <c r="Q358" s="3074">
        <f t="shared" si="54"/>
        <v>0.44444444444444442</v>
      </c>
      <c r="R358" s="3073">
        <f t="shared" si="55"/>
        <v>167.37645107794361</v>
      </c>
      <c r="S358" s="3073">
        <f t="shared" si="59"/>
        <v>128</v>
      </c>
    </row>
    <row r="359" spans="1:19" outlineLevel="1" collapsed="1" x14ac:dyDescent="0.15">
      <c r="A359" s="3057" t="s">
        <v>1678</v>
      </c>
      <c r="B359" s="3058"/>
      <c r="C359" s="3059"/>
      <c r="D359" s="3059"/>
      <c r="E359" s="3060"/>
      <c r="F359" s="3058"/>
      <c r="G359" s="3058"/>
      <c r="H359" s="3058"/>
      <c r="I359" s="3058"/>
      <c r="J359" s="3061"/>
      <c r="K359" s="3062"/>
      <c r="L359" s="3063"/>
      <c r="M359" s="3061"/>
      <c r="N359" s="3098"/>
      <c r="O359" s="3098"/>
      <c r="Q359" s="3074"/>
      <c r="R359" s="3073"/>
    </row>
    <row r="360" spans="1:19" s="693" customFormat="1" outlineLevel="2" x14ac:dyDescent="0.15">
      <c r="A360" s="630" t="str">
        <f>CONCATENATE(B360," ",C360," core (",E360," MHz) ",J360," GB")</f>
        <v>AMI g3.4xlarge (16vc) 36 core (2300 MHz) 122 GB</v>
      </c>
      <c r="B360" s="2036" t="s">
        <v>1675</v>
      </c>
      <c r="C360" s="2024">
        <v>36</v>
      </c>
      <c r="D360" s="2561">
        <f>C360/2</f>
        <v>18</v>
      </c>
      <c r="E360" s="639">
        <v>2300</v>
      </c>
      <c r="F360" s="2011">
        <v>1577</v>
      </c>
      <c r="G360" s="2015">
        <f>IF(F360=0,"",F360/C360)</f>
        <v>43.805555555555557</v>
      </c>
      <c r="H360" s="2603">
        <f>IF(C360=0,"",C360/D360)</f>
        <v>2</v>
      </c>
      <c r="I360" s="647" t="s">
        <v>335</v>
      </c>
      <c r="J360" s="2643">
        <v>122</v>
      </c>
      <c r="K360" s="2899" t="s">
        <v>1541</v>
      </c>
      <c r="L360" s="2900">
        <v>52297.2</v>
      </c>
      <c r="M360" s="3054" t="str">
        <f>MID(B360, FIND("(",B360,1)+1, FIND(")",B360,1)- FIND("(",B360,1)-3)</f>
        <v>16</v>
      </c>
      <c r="N360" s="3099"/>
      <c r="O360" s="3099"/>
      <c r="P360" s="1305"/>
      <c r="Q360" s="3074">
        <f t="shared" si="54"/>
        <v>0.44444444444444442</v>
      </c>
      <c r="R360" s="3073">
        <f t="shared" si="55"/>
        <v>167.37645107794361</v>
      </c>
      <c r="S360" s="3073">
        <f t="shared" si="59"/>
        <v>128</v>
      </c>
    </row>
    <row r="361" spans="1:19" s="693" customFormat="1" outlineLevel="2" x14ac:dyDescent="0.15">
      <c r="A361" s="630" t="str">
        <f>CONCATENATE(B361," ",C361," core (",E361," MHz) ",J361," GB")</f>
        <v>AMI g3.8xlarge (32vc) 36 core (2300 MHz) 244 GB</v>
      </c>
      <c r="B361" s="2036" t="s">
        <v>1676</v>
      </c>
      <c r="C361" s="2024">
        <f>C360</f>
        <v>36</v>
      </c>
      <c r="D361" s="2561">
        <f>C361/2</f>
        <v>18</v>
      </c>
      <c r="E361" s="639">
        <v>2300</v>
      </c>
      <c r="F361" s="2011">
        <v>1577</v>
      </c>
      <c r="G361" s="2015">
        <f>IF(F361=0,"",F361/C361)</f>
        <v>43.805555555555557</v>
      </c>
      <c r="H361" s="2603">
        <f>IF(C361=0,"",C361/D361)</f>
        <v>2</v>
      </c>
      <c r="I361" s="647" t="s">
        <v>335</v>
      </c>
      <c r="J361" s="2643">
        <v>244</v>
      </c>
      <c r="K361" s="2899" t="s">
        <v>1541</v>
      </c>
      <c r="L361" s="2900">
        <v>104594.4</v>
      </c>
      <c r="M361" s="3054" t="str">
        <f>MID(B361, FIND("(",B361,1)+1, FIND(")",B361,1)- FIND("(",B361,1)-3)</f>
        <v>32</v>
      </c>
      <c r="N361" s="3099"/>
      <c r="O361" s="3099"/>
      <c r="P361" s="1305"/>
      <c r="Q361" s="3074">
        <f t="shared" si="54"/>
        <v>0.88888888888888884</v>
      </c>
      <c r="R361" s="3073">
        <f t="shared" si="55"/>
        <v>334.75290215588723</v>
      </c>
      <c r="S361" s="3073">
        <f t="shared" si="59"/>
        <v>256</v>
      </c>
    </row>
    <row r="362" spans="1:19" s="693" customFormat="1" outlineLevel="2" x14ac:dyDescent="0.15">
      <c r="A362" s="630" t="str">
        <f>CONCATENATE(B362," ",C362," core (",E362," MHz) ",J362," GB")</f>
        <v>AMI g3.16xlarge (64vc) 36 core (2300 MHz) 488 GB</v>
      </c>
      <c r="B362" s="2036" t="s">
        <v>1677</v>
      </c>
      <c r="C362" s="2024">
        <f>C361</f>
        <v>36</v>
      </c>
      <c r="D362" s="2561">
        <f>C362/2</f>
        <v>18</v>
      </c>
      <c r="E362" s="639">
        <v>2300</v>
      </c>
      <c r="F362" s="2011">
        <v>1577</v>
      </c>
      <c r="G362" s="2015">
        <f>IF(F362=0,"",F362/C362)</f>
        <v>43.805555555555557</v>
      </c>
      <c r="H362" s="2603">
        <f>IF(C362=0,"",C362/D362)</f>
        <v>2</v>
      </c>
      <c r="I362" s="647" t="s">
        <v>335</v>
      </c>
      <c r="J362" s="2643">
        <v>488</v>
      </c>
      <c r="K362" s="2899" t="s">
        <v>1541</v>
      </c>
      <c r="L362" s="2900">
        <v>197205.12</v>
      </c>
      <c r="M362" s="3054" t="str">
        <f>MID(B362, FIND("(",B362,1)+1, FIND(")",B362,1)- FIND("(",B362,1)-3)</f>
        <v>64</v>
      </c>
      <c r="N362" s="3099"/>
      <c r="O362" s="3099"/>
      <c r="P362" s="1305"/>
      <c r="Q362" s="3074">
        <f t="shared" si="54"/>
        <v>1.7777777777777777</v>
      </c>
      <c r="R362" s="3073">
        <f t="shared" si="55"/>
        <v>669.50580431177445</v>
      </c>
      <c r="S362" s="3073">
        <f t="shared" si="59"/>
        <v>512</v>
      </c>
    </row>
    <row r="363" spans="1:19" outlineLevel="1" x14ac:dyDescent="0.15">
      <c r="A363" s="3057" t="s">
        <v>1680</v>
      </c>
      <c r="B363" s="3058"/>
      <c r="C363" s="3059"/>
      <c r="D363" s="3059"/>
      <c r="E363" s="3060"/>
      <c r="F363" s="3058"/>
      <c r="G363" s="3058"/>
      <c r="H363" s="3058"/>
      <c r="I363" s="3058"/>
      <c r="J363" s="3061"/>
      <c r="K363" s="3062"/>
      <c r="L363" s="3063"/>
      <c r="M363" s="3061"/>
      <c r="N363" s="3098"/>
      <c r="O363" s="3098"/>
      <c r="Q363" s="3074"/>
      <c r="R363" s="3073"/>
    </row>
    <row r="364" spans="1:19" s="693" customFormat="1" outlineLevel="2" x14ac:dyDescent="0.15">
      <c r="A364" s="630" t="str">
        <f t="shared" si="53"/>
        <v>AMI x1.16large (64vc) 64 core (2500 MHz) 976 GB</v>
      </c>
      <c r="B364" s="2036" t="s">
        <v>1519</v>
      </c>
      <c r="C364" s="2024">
        <v>64</v>
      </c>
      <c r="D364" s="2561">
        <f t="shared" si="60"/>
        <v>32</v>
      </c>
      <c r="E364" s="639">
        <v>2500</v>
      </c>
      <c r="F364" s="2011">
        <v>2480</v>
      </c>
      <c r="G364" s="2015">
        <f>IF(F364=0,"",F364/C364)</f>
        <v>38.75</v>
      </c>
      <c r="H364" s="2603">
        <f t="shared" si="62"/>
        <v>2</v>
      </c>
      <c r="I364" s="647" t="s">
        <v>335</v>
      </c>
      <c r="J364" s="2643">
        <v>976</v>
      </c>
      <c r="K364" s="2899" t="s">
        <v>1528</v>
      </c>
      <c r="L364" s="2900">
        <v>270158.39999999997</v>
      </c>
      <c r="M364" s="3054" t="str">
        <f t="shared" si="52"/>
        <v>64</v>
      </c>
      <c r="N364" s="3099"/>
      <c r="O364" s="3099"/>
      <c r="P364" s="1305"/>
      <c r="Q364" s="3074">
        <f t="shared" si="54"/>
        <v>1</v>
      </c>
      <c r="R364" s="3073">
        <f t="shared" si="55"/>
        <v>592.2388059701492</v>
      </c>
      <c r="S364" s="3073">
        <f t="shared" si="59"/>
        <v>512</v>
      </c>
    </row>
    <row r="365" spans="1:19" s="693" customFormat="1" outlineLevel="2" x14ac:dyDescent="0.15">
      <c r="A365" s="630" t="str">
        <f t="shared" si="53"/>
        <v>AMI x1.32large (128vc) 128 core (2500 MHz) 1952 GB</v>
      </c>
      <c r="B365" s="2036" t="s">
        <v>1520</v>
      </c>
      <c r="C365" s="2024">
        <v>128</v>
      </c>
      <c r="D365" s="2561">
        <f>C365/4</f>
        <v>32</v>
      </c>
      <c r="E365" s="639">
        <v>2500</v>
      </c>
      <c r="F365" s="2011">
        <v>5010</v>
      </c>
      <c r="G365" s="2015">
        <f>IF(F365=0,"",F365/C365)</f>
        <v>39.140625</v>
      </c>
      <c r="H365" s="2603">
        <f t="shared" si="62"/>
        <v>4</v>
      </c>
      <c r="I365" s="647" t="s">
        <v>335</v>
      </c>
      <c r="J365" s="2643">
        <v>1952</v>
      </c>
      <c r="K365" s="2899" t="s">
        <v>1529</v>
      </c>
      <c r="L365" s="2900">
        <v>505259.27999999997</v>
      </c>
      <c r="M365" s="3054" t="str">
        <f t="shared" si="52"/>
        <v>128</v>
      </c>
      <c r="N365" s="3099"/>
      <c r="O365" s="3099"/>
      <c r="P365" s="1305"/>
      <c r="Q365" s="3074">
        <f t="shared" si="54"/>
        <v>1</v>
      </c>
      <c r="R365" s="3073">
        <f t="shared" si="55"/>
        <v>1196.4179104477612</v>
      </c>
      <c r="S365" s="3073">
        <f t="shared" si="59"/>
        <v>1024</v>
      </c>
    </row>
    <row r="366" spans="1:19" outlineLevel="1" x14ac:dyDescent="0.15">
      <c r="A366" s="3057" t="s">
        <v>1652</v>
      </c>
      <c r="B366" s="3058"/>
      <c r="C366" s="3059"/>
      <c r="D366" s="3059"/>
      <c r="E366" s="3060"/>
      <c r="F366" s="3058"/>
      <c r="G366" s="3058"/>
      <c r="H366" s="3058"/>
      <c r="I366" s="3058"/>
      <c r="J366" s="3061"/>
      <c r="K366" s="3062"/>
      <c r="L366" s="3063"/>
      <c r="M366" s="3061"/>
      <c r="N366" s="3098"/>
      <c r="O366" s="3098"/>
      <c r="Q366" s="3074"/>
      <c r="R366" s="3073"/>
    </row>
    <row r="367" spans="1:19" s="693" customFormat="1" outlineLevel="2" x14ac:dyDescent="0.15">
      <c r="A367" s="630" t="str">
        <f t="shared" si="53"/>
        <v>AMI r4.large (2vc) 36 core (2300 MHz) 15.25 GB</v>
      </c>
      <c r="B367" s="2036" t="s">
        <v>1521</v>
      </c>
      <c r="C367" s="2024">
        <v>36</v>
      </c>
      <c r="D367" s="2561">
        <f t="shared" si="60"/>
        <v>18</v>
      </c>
      <c r="E367" s="639">
        <v>2300</v>
      </c>
      <c r="F367" s="2012">
        <v>1577</v>
      </c>
      <c r="G367" s="2015">
        <f t="shared" si="61"/>
        <v>43.805555555555557</v>
      </c>
      <c r="H367" s="2603">
        <f t="shared" si="62"/>
        <v>2</v>
      </c>
      <c r="I367" s="647" t="s">
        <v>335</v>
      </c>
      <c r="J367" s="2643">
        <v>15.25</v>
      </c>
      <c r="K367" s="2903" t="s">
        <v>1527</v>
      </c>
      <c r="L367" s="2900">
        <v>6254.6399999999994</v>
      </c>
      <c r="M367" s="3054" t="str">
        <f t="shared" si="52"/>
        <v>2</v>
      </c>
      <c r="N367" s="3099"/>
      <c r="O367" s="3099"/>
      <c r="P367" s="1305"/>
      <c r="Q367" s="3074">
        <f t="shared" si="54"/>
        <v>5.5555555555555552E-2</v>
      </c>
      <c r="R367" s="3073">
        <f t="shared" si="55"/>
        <v>20.922056384742952</v>
      </c>
      <c r="S367" s="3073">
        <f t="shared" si="59"/>
        <v>16</v>
      </c>
    </row>
    <row r="368" spans="1:19" s="693" customFormat="1" outlineLevel="2" x14ac:dyDescent="0.15">
      <c r="A368" s="630" t="str">
        <f t="shared" si="53"/>
        <v>AMI r4.xlarge (4vc) 36 core (2300 MHz) 30.5 GB</v>
      </c>
      <c r="B368" s="2036" t="s">
        <v>1522</v>
      </c>
      <c r="C368" s="2024">
        <v>36</v>
      </c>
      <c r="D368" s="2561">
        <f t="shared" si="60"/>
        <v>18</v>
      </c>
      <c r="E368" s="639">
        <v>2300</v>
      </c>
      <c r="F368" s="2012">
        <v>1577</v>
      </c>
      <c r="G368" s="2015">
        <f t="shared" si="61"/>
        <v>43.805555555555557</v>
      </c>
      <c r="H368" s="2603">
        <f t="shared" si="62"/>
        <v>2</v>
      </c>
      <c r="I368" s="647" t="s">
        <v>335</v>
      </c>
      <c r="J368" s="2643">
        <v>30.5</v>
      </c>
      <c r="K368" s="2903" t="s">
        <v>1527</v>
      </c>
      <c r="L368" s="2900">
        <v>12535.56</v>
      </c>
      <c r="M368" s="3054" t="str">
        <f t="shared" si="52"/>
        <v>4</v>
      </c>
      <c r="N368" s="3099"/>
      <c r="O368" s="3099"/>
      <c r="P368" s="1305"/>
      <c r="Q368" s="3074">
        <f t="shared" si="54"/>
        <v>0.1111111111111111</v>
      </c>
      <c r="R368" s="3073">
        <f t="shared" si="55"/>
        <v>41.844112769485903</v>
      </c>
      <c r="S368" s="3073">
        <f t="shared" si="59"/>
        <v>32</v>
      </c>
    </row>
    <row r="369" spans="1:19" s="693" customFormat="1" outlineLevel="2" x14ac:dyDescent="0.15">
      <c r="A369" s="630" t="str">
        <f t="shared" si="53"/>
        <v>AMI r4.2xlarge (8vc) 36 core (2300 MHz) 61 GB</v>
      </c>
      <c r="B369" s="2036" t="s">
        <v>1523</v>
      </c>
      <c r="C369" s="2024">
        <v>36</v>
      </c>
      <c r="D369" s="2561">
        <f t="shared" si="60"/>
        <v>18</v>
      </c>
      <c r="E369" s="639">
        <v>2300</v>
      </c>
      <c r="F369" s="2012">
        <v>1577</v>
      </c>
      <c r="G369" s="2015">
        <f t="shared" si="61"/>
        <v>43.805555555555557</v>
      </c>
      <c r="H369" s="2603">
        <f t="shared" si="62"/>
        <v>2</v>
      </c>
      <c r="I369" s="647" t="s">
        <v>335</v>
      </c>
      <c r="J369" s="2643">
        <v>61</v>
      </c>
      <c r="K369" s="2903" t="s">
        <v>1527</v>
      </c>
      <c r="L369" s="2900">
        <v>25044.84</v>
      </c>
      <c r="M369" s="3054" t="str">
        <f t="shared" si="52"/>
        <v>8</v>
      </c>
      <c r="N369" s="3099"/>
      <c r="O369" s="3099"/>
      <c r="P369" s="1305"/>
      <c r="Q369" s="3074">
        <f t="shared" si="54"/>
        <v>0.22222222222222221</v>
      </c>
      <c r="R369" s="3073">
        <f t="shared" si="55"/>
        <v>83.688225538971807</v>
      </c>
      <c r="S369" s="3073">
        <f t="shared" si="59"/>
        <v>64</v>
      </c>
    </row>
    <row r="370" spans="1:19" s="693" customFormat="1" outlineLevel="2" x14ac:dyDescent="0.15">
      <c r="A370" s="630" t="str">
        <f t="shared" si="53"/>
        <v>AMI r4.4xlarge (16vc) 36 core (2300 MHz) 122 GB</v>
      </c>
      <c r="B370" s="2036" t="s">
        <v>1524</v>
      </c>
      <c r="C370" s="2024">
        <v>36</v>
      </c>
      <c r="D370" s="2561">
        <f t="shared" si="60"/>
        <v>18</v>
      </c>
      <c r="E370" s="639">
        <v>2300</v>
      </c>
      <c r="F370" s="2012">
        <v>1577</v>
      </c>
      <c r="G370" s="2015">
        <f t="shared" si="61"/>
        <v>43.805555555555557</v>
      </c>
      <c r="H370" s="2603">
        <f t="shared" si="62"/>
        <v>2</v>
      </c>
      <c r="I370" s="647" t="s">
        <v>335</v>
      </c>
      <c r="J370" s="2643">
        <v>122</v>
      </c>
      <c r="K370" s="2903" t="s">
        <v>1527</v>
      </c>
      <c r="L370" s="2900">
        <v>50089.68</v>
      </c>
      <c r="M370" s="3054" t="str">
        <f t="shared" si="52"/>
        <v>16</v>
      </c>
      <c r="N370" s="3099"/>
      <c r="O370" s="3099"/>
      <c r="P370" s="1305"/>
      <c r="Q370" s="3074">
        <f t="shared" si="54"/>
        <v>0.44444444444444442</v>
      </c>
      <c r="R370" s="3073">
        <f t="shared" si="55"/>
        <v>167.37645107794361</v>
      </c>
      <c r="S370" s="3073">
        <f t="shared" si="59"/>
        <v>128</v>
      </c>
    </row>
    <row r="371" spans="1:19" s="693" customFormat="1" outlineLevel="2" x14ac:dyDescent="0.15">
      <c r="A371" s="630" t="str">
        <f t="shared" si="53"/>
        <v>AMI r4.8xlarge (32vc) 36 core (2300 MHz) 244 GB</v>
      </c>
      <c r="B371" s="2036" t="s">
        <v>1525</v>
      </c>
      <c r="C371" s="2024">
        <v>36</v>
      </c>
      <c r="D371" s="2561">
        <f t="shared" si="60"/>
        <v>18</v>
      </c>
      <c r="E371" s="639">
        <v>2300</v>
      </c>
      <c r="F371" s="2012">
        <v>1577</v>
      </c>
      <c r="G371" s="2015">
        <f t="shared" si="61"/>
        <v>43.805555555555557</v>
      </c>
      <c r="H371" s="2603">
        <f t="shared" si="62"/>
        <v>2</v>
      </c>
      <c r="I371" s="647" t="s">
        <v>335</v>
      </c>
      <c r="J371" s="2643">
        <v>244</v>
      </c>
      <c r="K371" s="2903" t="s">
        <v>1527</v>
      </c>
      <c r="L371" s="2900">
        <v>100205.64</v>
      </c>
      <c r="M371" s="3054" t="str">
        <f t="shared" si="52"/>
        <v>32</v>
      </c>
      <c r="N371" s="3099"/>
      <c r="O371" s="3099"/>
      <c r="P371" s="1305"/>
      <c r="Q371" s="3074">
        <f t="shared" si="54"/>
        <v>0.88888888888888884</v>
      </c>
      <c r="R371" s="3073">
        <f t="shared" si="55"/>
        <v>334.75290215588723</v>
      </c>
      <c r="S371" s="3073">
        <f t="shared" si="59"/>
        <v>256</v>
      </c>
    </row>
    <row r="372" spans="1:19" s="693" customFormat="1" outlineLevel="2" x14ac:dyDescent="0.15">
      <c r="A372" s="630" t="str">
        <f t="shared" si="53"/>
        <v>AMI r4.16xlarge (64vc) 36 core (2300 MHz) 488 GB</v>
      </c>
      <c r="B372" s="2036" t="s">
        <v>1526</v>
      </c>
      <c r="C372" s="2024">
        <v>36</v>
      </c>
      <c r="D372" s="2561">
        <f t="shared" si="60"/>
        <v>18</v>
      </c>
      <c r="E372" s="639">
        <v>2300</v>
      </c>
      <c r="F372" s="2012">
        <v>1577</v>
      </c>
      <c r="G372" s="2015">
        <f t="shared" si="61"/>
        <v>43.805555555555557</v>
      </c>
      <c r="H372" s="2603">
        <f t="shared" si="62"/>
        <v>2</v>
      </c>
      <c r="I372" s="647" t="s">
        <v>335</v>
      </c>
      <c r="J372" s="2643">
        <v>488</v>
      </c>
      <c r="K372" s="2903" t="s">
        <v>1527</v>
      </c>
      <c r="L372" s="2900">
        <v>189216</v>
      </c>
      <c r="M372" s="3054" t="str">
        <f t="shared" si="52"/>
        <v>64</v>
      </c>
      <c r="N372" s="3099"/>
      <c r="O372" s="3099"/>
      <c r="P372" s="1305"/>
      <c r="Q372" s="3074">
        <f t="shared" si="54"/>
        <v>1.7777777777777777</v>
      </c>
      <c r="R372" s="3073">
        <f t="shared" si="55"/>
        <v>669.50580431177445</v>
      </c>
      <c r="S372" s="3073">
        <f t="shared" si="59"/>
        <v>512</v>
      </c>
    </row>
    <row r="373" spans="1:19" s="693" customFormat="1" outlineLevel="2" x14ac:dyDescent="0.15">
      <c r="A373" s="630" t="str">
        <f t="shared" si="53"/>
        <v>AMI r3.large (2vc) 20 core (2500 MHz) 15 GB</v>
      </c>
      <c r="B373" s="2036" t="s">
        <v>1350</v>
      </c>
      <c r="C373" s="2025">
        <v>20</v>
      </c>
      <c r="D373" s="2561">
        <f t="shared" si="60"/>
        <v>10</v>
      </c>
      <c r="E373" s="639">
        <v>2500</v>
      </c>
      <c r="F373" s="2012">
        <v>791</v>
      </c>
      <c r="G373" s="2015">
        <f t="shared" si="61"/>
        <v>39.549999999999997</v>
      </c>
      <c r="H373" s="2603">
        <f t="shared" si="62"/>
        <v>2</v>
      </c>
      <c r="I373" s="647" t="s">
        <v>335</v>
      </c>
      <c r="J373" s="2643">
        <v>15</v>
      </c>
      <c r="K373" s="2899" t="s">
        <v>1542</v>
      </c>
      <c r="L373" s="2900">
        <v>8409.6</v>
      </c>
      <c r="M373" s="3054" t="str">
        <f t="shared" si="52"/>
        <v>2</v>
      </c>
      <c r="N373" s="3099"/>
      <c r="O373" s="3099"/>
      <c r="P373" s="1305"/>
      <c r="Q373" s="3074">
        <f t="shared" si="54"/>
        <v>0.1</v>
      </c>
      <c r="R373" s="3073">
        <f t="shared" si="55"/>
        <v>18.889552238805976</v>
      </c>
      <c r="S373" s="3073">
        <f t="shared" si="59"/>
        <v>16</v>
      </c>
    </row>
    <row r="374" spans="1:19" s="693" customFormat="1" outlineLevel="2" x14ac:dyDescent="0.15">
      <c r="A374" s="630" t="str">
        <f t="shared" si="53"/>
        <v>AMI r3.xlarge (4vc) 20 core (2500 MHz) 30.5 GB</v>
      </c>
      <c r="B374" s="2036" t="s">
        <v>1351</v>
      </c>
      <c r="C374" s="2025">
        <v>20</v>
      </c>
      <c r="D374" s="2561">
        <f t="shared" si="60"/>
        <v>10</v>
      </c>
      <c r="E374" s="639">
        <v>2500</v>
      </c>
      <c r="F374" s="2012">
        <v>791</v>
      </c>
      <c r="G374" s="2015">
        <f t="shared" si="61"/>
        <v>39.549999999999997</v>
      </c>
      <c r="H374" s="2603">
        <f t="shared" si="62"/>
        <v>2</v>
      </c>
      <c r="I374" s="647" t="s">
        <v>335</v>
      </c>
      <c r="J374" s="2643">
        <v>30.5</v>
      </c>
      <c r="K374" s="2899" t="s">
        <v>1543</v>
      </c>
      <c r="L374" s="2900">
        <v>16845.48</v>
      </c>
      <c r="M374" s="3054" t="str">
        <f t="shared" si="52"/>
        <v>4</v>
      </c>
      <c r="N374" s="3099"/>
      <c r="O374" s="3099"/>
      <c r="P374" s="1305"/>
      <c r="Q374" s="3074">
        <f t="shared" si="54"/>
        <v>0.2</v>
      </c>
      <c r="R374" s="3073">
        <f t="shared" si="55"/>
        <v>37.779104477611952</v>
      </c>
      <c r="S374" s="3073">
        <f t="shared" si="59"/>
        <v>32</v>
      </c>
    </row>
    <row r="375" spans="1:19" s="693" customFormat="1" outlineLevel="2" x14ac:dyDescent="0.15">
      <c r="A375" s="630" t="str">
        <f t="shared" si="53"/>
        <v>AMI r3.2xlarge (8vc) 20 core (2500 MHz) 61 GB</v>
      </c>
      <c r="B375" s="2036" t="s">
        <v>1352</v>
      </c>
      <c r="C375" s="2025">
        <v>20</v>
      </c>
      <c r="D375" s="2561">
        <f t="shared" si="60"/>
        <v>10</v>
      </c>
      <c r="E375" s="639">
        <v>2500</v>
      </c>
      <c r="F375" s="2012">
        <v>791</v>
      </c>
      <c r="G375" s="2015">
        <f t="shared" si="61"/>
        <v>39.549999999999997</v>
      </c>
      <c r="H375" s="2603">
        <f t="shared" si="62"/>
        <v>2</v>
      </c>
      <c r="I375" s="647" t="s">
        <v>335</v>
      </c>
      <c r="J375" s="2643">
        <v>61</v>
      </c>
      <c r="K375" s="2899" t="s">
        <v>1544</v>
      </c>
      <c r="L375" s="2900">
        <v>30221.999999999996</v>
      </c>
      <c r="M375" s="3054" t="str">
        <f t="shared" si="52"/>
        <v>8</v>
      </c>
      <c r="N375" s="3099"/>
      <c r="O375" s="3099"/>
      <c r="P375" s="1305"/>
      <c r="Q375" s="3074">
        <f t="shared" si="54"/>
        <v>0.4</v>
      </c>
      <c r="R375" s="3073">
        <f t="shared" si="55"/>
        <v>75.558208955223904</v>
      </c>
      <c r="S375" s="3073">
        <f t="shared" si="59"/>
        <v>64</v>
      </c>
    </row>
    <row r="376" spans="1:19" s="693" customFormat="1" outlineLevel="2" x14ac:dyDescent="0.15">
      <c r="A376" s="630" t="str">
        <f t="shared" si="53"/>
        <v>AMI r3.4xlarge (16vc) 20 core (2500 MHz) 122 GB</v>
      </c>
      <c r="B376" s="2036" t="s">
        <v>1353</v>
      </c>
      <c r="C376" s="2025">
        <v>20</v>
      </c>
      <c r="D376" s="2561">
        <f t="shared" si="60"/>
        <v>10</v>
      </c>
      <c r="E376" s="639">
        <v>2500</v>
      </c>
      <c r="F376" s="2012">
        <v>791</v>
      </c>
      <c r="G376" s="2015">
        <f t="shared" si="61"/>
        <v>39.549999999999997</v>
      </c>
      <c r="H376" s="2603">
        <f t="shared" si="62"/>
        <v>2</v>
      </c>
      <c r="I376" s="647" t="s">
        <v>335</v>
      </c>
      <c r="J376" s="2643">
        <v>122</v>
      </c>
      <c r="K376" s="2899" t="s">
        <v>1545</v>
      </c>
      <c r="L376" s="2900">
        <v>56186.64</v>
      </c>
      <c r="M376" s="3054" t="str">
        <f t="shared" si="52"/>
        <v>16</v>
      </c>
      <c r="N376" s="3099"/>
      <c r="O376" s="3099"/>
      <c r="P376" s="1305"/>
      <c r="Q376" s="3074">
        <f t="shared" si="54"/>
        <v>0.8</v>
      </c>
      <c r="R376" s="3073">
        <f t="shared" si="55"/>
        <v>151.11641791044781</v>
      </c>
      <c r="S376" s="3073">
        <f t="shared" si="59"/>
        <v>128</v>
      </c>
    </row>
    <row r="377" spans="1:19" s="693" customFormat="1" outlineLevel="2" x14ac:dyDescent="0.15">
      <c r="A377" s="630" t="str">
        <f t="shared" si="53"/>
        <v>AMI r3.8xlarge (32vc) 20 core (2500 MHz) 244 GB</v>
      </c>
      <c r="B377" s="2036" t="s">
        <v>1354</v>
      </c>
      <c r="C377" s="2025">
        <v>20</v>
      </c>
      <c r="D377" s="2561">
        <f t="shared" si="60"/>
        <v>10</v>
      </c>
      <c r="E377" s="639">
        <v>2500</v>
      </c>
      <c r="F377" s="2012">
        <v>791</v>
      </c>
      <c r="G377" s="2015">
        <f t="shared" si="61"/>
        <v>39.549999999999997</v>
      </c>
      <c r="H377" s="2603">
        <f t="shared" si="62"/>
        <v>2</v>
      </c>
      <c r="I377" s="647" t="s">
        <v>335</v>
      </c>
      <c r="J377" s="2643">
        <v>244</v>
      </c>
      <c r="K377" s="2899" t="s">
        <v>1540</v>
      </c>
      <c r="L377" s="2900">
        <v>91980</v>
      </c>
      <c r="M377" s="3054" t="str">
        <f t="shared" si="52"/>
        <v>32</v>
      </c>
      <c r="N377" s="3099"/>
      <c r="O377" s="3099"/>
      <c r="P377" s="1305"/>
      <c r="Q377" s="3074">
        <f t="shared" si="54"/>
        <v>1.6</v>
      </c>
      <c r="R377" s="3073">
        <f t="shared" si="55"/>
        <v>302.23283582089562</v>
      </c>
      <c r="S377" s="3073">
        <f t="shared" si="59"/>
        <v>256</v>
      </c>
    </row>
    <row r="378" spans="1:19" outlineLevel="1" x14ac:dyDescent="0.15">
      <c r="A378" s="3057" t="s">
        <v>1673</v>
      </c>
      <c r="B378" s="3058"/>
      <c r="C378" s="3059"/>
      <c r="D378" s="3059"/>
      <c r="E378" s="3060"/>
      <c r="F378" s="3058"/>
      <c r="G378" s="3058"/>
      <c r="H378" s="3058"/>
      <c r="I378" s="3058"/>
      <c r="J378" s="3061"/>
      <c r="K378" s="3062"/>
      <c r="L378" s="3063"/>
      <c r="M378" s="3061"/>
      <c r="N378" s="3098"/>
      <c r="O378" s="3098"/>
      <c r="Q378" s="3074"/>
      <c r="R378" s="3073"/>
    </row>
    <row r="379" spans="1:19" s="693" customFormat="1" hidden="1" outlineLevel="2" x14ac:dyDescent="0.15">
      <c r="A379" s="630" t="str">
        <f t="shared" ref="A379:A384" si="63">CONCATENATE(B379," ",C379," core (",E379," MHz) ",J379," GB")</f>
        <v>AMI i3.large (2vc) 36 core (2300 MHz) 15.25 GB</v>
      </c>
      <c r="B379" s="2036" t="s">
        <v>1683</v>
      </c>
      <c r="C379" s="2025">
        <v>36</v>
      </c>
      <c r="D379" s="2561">
        <f t="shared" ref="D379:D384" si="64">C379/2</f>
        <v>18</v>
      </c>
      <c r="E379" s="639">
        <v>2300</v>
      </c>
      <c r="F379" s="2012">
        <v>1577</v>
      </c>
      <c r="G379" s="2015">
        <f t="shared" ref="G379:G384" si="65">IF(F379=0,"",F379/C379)</f>
        <v>43.805555555555557</v>
      </c>
      <c r="H379" s="2603">
        <f t="shared" ref="H379:H384" si="66">IF(C379=0,"",C379/D379)</f>
        <v>2</v>
      </c>
      <c r="I379" s="647" t="s">
        <v>335</v>
      </c>
      <c r="J379" s="2643">
        <v>15.25</v>
      </c>
      <c r="K379" s="2899" t="s">
        <v>1687</v>
      </c>
      <c r="L379" s="2900">
        <v>6937.92</v>
      </c>
      <c r="M379" s="3054" t="str">
        <f t="shared" ref="M379:M384" si="67">MID(B379, FIND("(",B379,1)+1, FIND(")",B379,1)- FIND("(",B379,1)-3)</f>
        <v>2</v>
      </c>
      <c r="N379" s="2994"/>
      <c r="O379" s="2994"/>
      <c r="P379" s="1305"/>
      <c r="Q379" s="3074">
        <f t="shared" si="54"/>
        <v>5.5555555555555552E-2</v>
      </c>
      <c r="R379" s="3073">
        <f t="shared" si="55"/>
        <v>20.922056384742952</v>
      </c>
      <c r="S379" s="3073">
        <f t="shared" ref="S379:S388" si="68">8*M379</f>
        <v>16</v>
      </c>
    </row>
    <row r="380" spans="1:19" s="693" customFormat="1" hidden="1" outlineLevel="2" x14ac:dyDescent="0.15">
      <c r="A380" s="630" t="str">
        <f t="shared" si="63"/>
        <v>AMI i3.xlarge (4vc) 36 core (2300 MHz) 30.5 GB</v>
      </c>
      <c r="B380" s="2036" t="s">
        <v>1681</v>
      </c>
      <c r="C380" s="2025">
        <v>36</v>
      </c>
      <c r="D380" s="2561">
        <f t="shared" si="64"/>
        <v>18</v>
      </c>
      <c r="E380" s="639">
        <v>2300</v>
      </c>
      <c r="F380" s="2012">
        <v>1577</v>
      </c>
      <c r="G380" s="2015">
        <f t="shared" si="65"/>
        <v>43.805555555555557</v>
      </c>
      <c r="H380" s="2603">
        <f t="shared" si="66"/>
        <v>2</v>
      </c>
      <c r="I380" s="647" t="s">
        <v>335</v>
      </c>
      <c r="J380" s="2643">
        <v>30.5</v>
      </c>
      <c r="K380" s="2899" t="s">
        <v>1688</v>
      </c>
      <c r="L380" s="2900">
        <v>13849.560000000001</v>
      </c>
      <c r="M380" s="3054" t="str">
        <f t="shared" si="67"/>
        <v>4</v>
      </c>
      <c r="N380" s="2994"/>
      <c r="O380" s="2994"/>
      <c r="P380" s="1305"/>
      <c r="Q380" s="3074">
        <f t="shared" si="54"/>
        <v>0.1111111111111111</v>
      </c>
      <c r="R380" s="3073">
        <f t="shared" si="55"/>
        <v>41.844112769485903</v>
      </c>
      <c r="S380" s="3073">
        <f t="shared" si="68"/>
        <v>32</v>
      </c>
    </row>
    <row r="381" spans="1:19" s="693" customFormat="1" hidden="1" outlineLevel="2" x14ac:dyDescent="0.15">
      <c r="A381" s="630" t="str">
        <f t="shared" si="63"/>
        <v>AMI i3.2xlarge (8vc) 36 core (2300 MHz) 61 GB</v>
      </c>
      <c r="B381" s="2036" t="s">
        <v>1684</v>
      </c>
      <c r="C381" s="2025">
        <v>36</v>
      </c>
      <c r="D381" s="2561">
        <f t="shared" si="64"/>
        <v>18</v>
      </c>
      <c r="E381" s="639">
        <v>2300</v>
      </c>
      <c r="F381" s="2012">
        <v>1577</v>
      </c>
      <c r="G381" s="2015">
        <f t="shared" si="65"/>
        <v>43.805555555555557</v>
      </c>
      <c r="H381" s="2603">
        <f t="shared" si="66"/>
        <v>2</v>
      </c>
      <c r="I381" s="647" t="s">
        <v>335</v>
      </c>
      <c r="J381" s="2643">
        <v>61</v>
      </c>
      <c r="K381" s="2899" t="s">
        <v>1689</v>
      </c>
      <c r="L381" s="2900">
        <v>27699.120000000003</v>
      </c>
      <c r="M381" s="3054" t="str">
        <f t="shared" si="67"/>
        <v>8</v>
      </c>
      <c r="N381" s="2994"/>
      <c r="O381" s="2994"/>
      <c r="P381" s="1305"/>
      <c r="Q381" s="3074">
        <f t="shared" si="54"/>
        <v>0.22222222222222221</v>
      </c>
      <c r="R381" s="3073">
        <f t="shared" si="55"/>
        <v>83.688225538971807</v>
      </c>
      <c r="S381" s="3073">
        <f t="shared" si="68"/>
        <v>64</v>
      </c>
    </row>
    <row r="382" spans="1:19" s="693" customFormat="1" hidden="1" outlineLevel="2" x14ac:dyDescent="0.15">
      <c r="A382" s="630" t="str">
        <f t="shared" si="63"/>
        <v>AMI i3.4xlarge (16vc) 36 core (2300 MHz) 122 GB</v>
      </c>
      <c r="B382" s="2036" t="s">
        <v>1685</v>
      </c>
      <c r="C382" s="2025">
        <v>36</v>
      </c>
      <c r="D382" s="2561">
        <f t="shared" si="64"/>
        <v>18</v>
      </c>
      <c r="E382" s="639">
        <v>2300</v>
      </c>
      <c r="F382" s="2012">
        <v>1577</v>
      </c>
      <c r="G382" s="2015">
        <f t="shared" si="65"/>
        <v>43.805555555555557</v>
      </c>
      <c r="H382" s="2603">
        <f t="shared" si="66"/>
        <v>2</v>
      </c>
      <c r="I382" s="647" t="s">
        <v>335</v>
      </c>
      <c r="J382" s="2643">
        <v>122</v>
      </c>
      <c r="K382" s="2899" t="s">
        <v>1690</v>
      </c>
      <c r="L382" s="2900">
        <v>55424.52</v>
      </c>
      <c r="M382" s="3054" t="str">
        <f t="shared" si="67"/>
        <v>16</v>
      </c>
      <c r="N382" s="2994"/>
      <c r="O382" s="2994"/>
      <c r="P382" s="1305"/>
      <c r="Q382" s="3074">
        <f t="shared" si="54"/>
        <v>0.44444444444444442</v>
      </c>
      <c r="R382" s="3073">
        <f t="shared" si="55"/>
        <v>167.37645107794361</v>
      </c>
      <c r="S382" s="3073">
        <f t="shared" si="68"/>
        <v>128</v>
      </c>
    </row>
    <row r="383" spans="1:19" s="693" customFormat="1" hidden="1" outlineLevel="2" x14ac:dyDescent="0.15">
      <c r="A383" s="630" t="str">
        <f t="shared" si="63"/>
        <v>AMI i3.8xlarge (32vc) 36 core (2300 MHz) 244 GB</v>
      </c>
      <c r="B383" s="2036" t="s">
        <v>1682</v>
      </c>
      <c r="C383" s="2025">
        <v>36</v>
      </c>
      <c r="D383" s="2561">
        <f t="shared" si="64"/>
        <v>18</v>
      </c>
      <c r="E383" s="639">
        <v>2300</v>
      </c>
      <c r="F383" s="2012">
        <v>1577</v>
      </c>
      <c r="G383" s="2015">
        <f t="shared" si="65"/>
        <v>43.805555555555557</v>
      </c>
      <c r="H383" s="2603">
        <f t="shared" si="66"/>
        <v>2</v>
      </c>
      <c r="I383" s="647" t="s">
        <v>335</v>
      </c>
      <c r="J383" s="2643">
        <v>244</v>
      </c>
      <c r="K383" s="2899" t="s">
        <v>1691</v>
      </c>
      <c r="L383" s="2900">
        <v>110849.04</v>
      </c>
      <c r="M383" s="3054" t="str">
        <f t="shared" si="67"/>
        <v>32</v>
      </c>
      <c r="N383" s="2994"/>
      <c r="O383" s="2994"/>
      <c r="P383" s="1305"/>
      <c r="Q383" s="3074">
        <f t="shared" si="54"/>
        <v>0.88888888888888884</v>
      </c>
      <c r="R383" s="3073">
        <f t="shared" si="55"/>
        <v>334.75290215588723</v>
      </c>
      <c r="S383" s="3073">
        <f t="shared" si="68"/>
        <v>256</v>
      </c>
    </row>
    <row r="384" spans="1:19" s="693" customFormat="1" hidden="1" outlineLevel="2" x14ac:dyDescent="0.15">
      <c r="A384" s="630" t="str">
        <f t="shared" si="63"/>
        <v>AMI i3.16xlarge (64vc) 36 core (2300 MHz) 488 GB</v>
      </c>
      <c r="B384" s="2036" t="s">
        <v>1686</v>
      </c>
      <c r="C384" s="2025">
        <v>36</v>
      </c>
      <c r="D384" s="2561">
        <f t="shared" si="64"/>
        <v>18</v>
      </c>
      <c r="E384" s="639">
        <v>2300</v>
      </c>
      <c r="F384" s="2012">
        <v>1577</v>
      </c>
      <c r="G384" s="2015">
        <f t="shared" si="65"/>
        <v>43.805555555555557</v>
      </c>
      <c r="H384" s="2603">
        <f t="shared" si="66"/>
        <v>2</v>
      </c>
      <c r="I384" s="647" t="s">
        <v>335</v>
      </c>
      <c r="J384" s="2643">
        <v>488</v>
      </c>
      <c r="K384" s="2899" t="s">
        <v>1692</v>
      </c>
      <c r="L384" s="2900">
        <v>208558.07999999999</v>
      </c>
      <c r="M384" s="3054" t="str">
        <f t="shared" si="67"/>
        <v>64</v>
      </c>
      <c r="N384" s="2994"/>
      <c r="O384" s="2994"/>
      <c r="P384" s="1305"/>
      <c r="Q384" s="3074">
        <f t="shared" si="54"/>
        <v>1.7777777777777777</v>
      </c>
      <c r="R384" s="3073">
        <f t="shared" si="55"/>
        <v>669.50580431177445</v>
      </c>
      <c r="S384" s="3073">
        <f t="shared" si="68"/>
        <v>512</v>
      </c>
    </row>
    <row r="385" spans="1:19" s="693" customFormat="1" hidden="1" outlineLevel="2" x14ac:dyDescent="0.15">
      <c r="A385" s="630" t="str">
        <f t="shared" si="53"/>
        <v>AMI d2.xlarge (4vc) 24 core (2400 MHz) 30.5 GB</v>
      </c>
      <c r="B385" s="2036" t="s">
        <v>1346</v>
      </c>
      <c r="C385" s="2024">
        <v>24</v>
      </c>
      <c r="D385" s="2561">
        <f>C385/2</f>
        <v>12</v>
      </c>
      <c r="E385" s="639">
        <v>2400</v>
      </c>
      <c r="F385" s="2011">
        <v>1015</v>
      </c>
      <c r="G385" s="2015">
        <f>IF(F385=0,"",F385/C385)</f>
        <v>42.291666666666664</v>
      </c>
      <c r="H385" s="2603">
        <f>IF(C385=0,"",C385/D385)</f>
        <v>2</v>
      </c>
      <c r="I385" s="647" t="s">
        <v>335</v>
      </c>
      <c r="J385" s="2643">
        <v>30.5</v>
      </c>
      <c r="K385" s="2899" t="s">
        <v>1546</v>
      </c>
      <c r="L385" s="2900">
        <v>23730.84</v>
      </c>
      <c r="M385" s="3054" t="str">
        <f t="shared" si="52"/>
        <v>4</v>
      </c>
      <c r="N385" s="2994"/>
      <c r="O385" s="2994"/>
      <c r="P385" s="1305"/>
      <c r="Q385" s="3074">
        <f t="shared" si="54"/>
        <v>0.16666666666666666</v>
      </c>
      <c r="R385" s="3073">
        <f t="shared" si="55"/>
        <v>40.398009950248756</v>
      </c>
      <c r="S385" s="3073">
        <f t="shared" si="68"/>
        <v>32</v>
      </c>
    </row>
    <row r="386" spans="1:19" s="693" customFormat="1" hidden="1" outlineLevel="2" x14ac:dyDescent="0.15">
      <c r="A386" s="630" t="str">
        <f t="shared" si="53"/>
        <v>AMI d2.2xlarge (8vc) 24 core (2400 MHz) 61 GB</v>
      </c>
      <c r="B386" s="2036" t="s">
        <v>1347</v>
      </c>
      <c r="C386" s="2024">
        <v>24</v>
      </c>
      <c r="D386" s="2561">
        <f>C386/2</f>
        <v>12</v>
      </c>
      <c r="E386" s="639">
        <v>2400</v>
      </c>
      <c r="F386" s="2011">
        <v>1015</v>
      </c>
      <c r="G386" s="2015">
        <f>IF(F386=0,"",F386/C386)</f>
        <v>42.291666666666664</v>
      </c>
      <c r="H386" s="2603">
        <f>IF(C386=0,"",C386/D386)</f>
        <v>2</v>
      </c>
      <c r="I386" s="647" t="s">
        <v>335</v>
      </c>
      <c r="J386" s="2643">
        <v>61</v>
      </c>
      <c r="K386" s="2899" t="s">
        <v>1547</v>
      </c>
      <c r="L386" s="2900">
        <v>46279.079999999994</v>
      </c>
      <c r="M386" s="3054" t="str">
        <f t="shared" si="52"/>
        <v>8</v>
      </c>
      <c r="N386" s="2994"/>
      <c r="O386" s="2994"/>
      <c r="P386" s="1305"/>
      <c r="Q386" s="3074">
        <f t="shared" si="54"/>
        <v>0.33333333333333331</v>
      </c>
      <c r="R386" s="3073">
        <f t="shared" si="55"/>
        <v>80.796019900497512</v>
      </c>
      <c r="S386" s="3073">
        <f t="shared" si="68"/>
        <v>64</v>
      </c>
    </row>
    <row r="387" spans="1:19" s="693" customFormat="1" hidden="1" outlineLevel="2" x14ac:dyDescent="0.15">
      <c r="A387" s="630" t="str">
        <f t="shared" si="53"/>
        <v>AMI d2.4xlarge (16vc) 24 core (2400 MHz) 122 GB</v>
      </c>
      <c r="B387" s="2036" t="s">
        <v>1348</v>
      </c>
      <c r="C387" s="2024">
        <v>24</v>
      </c>
      <c r="D387" s="2561">
        <f>C387/2</f>
        <v>12</v>
      </c>
      <c r="E387" s="639">
        <v>2400</v>
      </c>
      <c r="F387" s="2011">
        <v>1015</v>
      </c>
      <c r="G387" s="2015">
        <f>IF(F387=0,"",F387/C387)</f>
        <v>42.291666666666664</v>
      </c>
      <c r="H387" s="2603">
        <f>IF(C387=0,"",C387/D387)</f>
        <v>2</v>
      </c>
      <c r="I387" s="647" t="s">
        <v>335</v>
      </c>
      <c r="J387" s="2643">
        <v>122</v>
      </c>
      <c r="K387" s="2899" t="s">
        <v>1548</v>
      </c>
      <c r="L387" s="2900">
        <v>88511.039999999994</v>
      </c>
      <c r="M387" s="3054" t="str">
        <f t="shared" si="52"/>
        <v>16</v>
      </c>
      <c r="N387" s="2994"/>
      <c r="O387" s="2994"/>
      <c r="P387" s="1305"/>
      <c r="Q387" s="3074">
        <f t="shared" si="54"/>
        <v>0.66666666666666663</v>
      </c>
      <c r="R387" s="3073">
        <f t="shared" si="55"/>
        <v>161.59203980099502</v>
      </c>
      <c r="S387" s="3073">
        <f t="shared" si="68"/>
        <v>128</v>
      </c>
    </row>
    <row r="388" spans="1:19" s="693" customFormat="1" hidden="1" outlineLevel="2" x14ac:dyDescent="0.15">
      <c r="A388" s="630" t="str">
        <f t="shared" si="53"/>
        <v>AMI d2.8xlarge (36vc) 24 core (2400 MHz) 244 GB</v>
      </c>
      <c r="B388" s="2036" t="s">
        <v>1349</v>
      </c>
      <c r="C388" s="2024">
        <v>24</v>
      </c>
      <c r="D388" s="2561">
        <f>C388/2</f>
        <v>12</v>
      </c>
      <c r="E388" s="639">
        <v>2400</v>
      </c>
      <c r="F388" s="2011">
        <v>1015</v>
      </c>
      <c r="G388" s="2015">
        <f>IF(F388=0,"",F388/C388)</f>
        <v>42.291666666666664</v>
      </c>
      <c r="H388" s="2603">
        <f>IF(C388=0,"",C388/D388)</f>
        <v>2</v>
      </c>
      <c r="I388" s="647" t="s">
        <v>335</v>
      </c>
      <c r="J388" s="2643">
        <v>244</v>
      </c>
      <c r="K388" s="2899" t="s">
        <v>1549</v>
      </c>
      <c r="L388" s="2900">
        <v>162883.44</v>
      </c>
      <c r="M388" s="3054" t="str">
        <f t="shared" si="52"/>
        <v>36</v>
      </c>
      <c r="N388" s="2994"/>
      <c r="O388" s="2994"/>
      <c r="P388" s="1305"/>
      <c r="Q388" s="3074">
        <f t="shared" si="54"/>
        <v>1.5</v>
      </c>
      <c r="R388" s="3073">
        <f t="shared" si="55"/>
        <v>363.58208955223887</v>
      </c>
      <c r="S388" s="3073">
        <f t="shared" si="68"/>
        <v>288</v>
      </c>
    </row>
    <row r="389" spans="1:19" outlineLevel="1" collapsed="1" x14ac:dyDescent="0.15">
      <c r="A389" s="636"/>
      <c r="B389" s="2040"/>
      <c r="C389" s="2041"/>
      <c r="D389" s="641"/>
      <c r="E389" s="2042"/>
      <c r="F389" s="882"/>
      <c r="G389" s="2019"/>
      <c r="H389" s="2608"/>
      <c r="I389" s="649"/>
      <c r="J389" s="2646"/>
      <c r="K389" s="2837"/>
      <c r="L389" s="2904"/>
      <c r="M389" s="3055"/>
      <c r="N389" s="1152"/>
      <c r="O389" s="1152"/>
      <c r="Q389" s="3074"/>
      <c r="R389" s="3073"/>
    </row>
    <row r="390" spans="1:19" x14ac:dyDescent="0.15">
      <c r="A390" s="2907" t="s">
        <v>1597</v>
      </c>
      <c r="B390" s="2908" t="str">
        <f>A390</f>
        <v xml:space="preserve"> ==== Azure Machines Instance ======</v>
      </c>
      <c r="C390" s="3072" t="s">
        <v>1694</v>
      </c>
      <c r="D390" s="2909"/>
      <c r="E390" s="2909"/>
      <c r="F390" s="2909"/>
      <c r="G390" s="2910"/>
      <c r="H390" s="2911"/>
      <c r="I390" s="2912"/>
      <c r="J390" s="2840" t="s">
        <v>132</v>
      </c>
      <c r="K390" s="2838" t="s">
        <v>1336</v>
      </c>
      <c r="L390" s="2896" t="s">
        <v>1674</v>
      </c>
      <c r="M390" s="2896" t="s">
        <v>1596</v>
      </c>
      <c r="N390" s="2993"/>
      <c r="O390" s="2993"/>
    </row>
    <row r="391" spans="1:19" hidden="1" outlineLevel="1" x14ac:dyDescent="0.15">
      <c r="A391" s="628" t="s">
        <v>1598</v>
      </c>
      <c r="B391" s="659" t="str">
        <f>A391</f>
        <v xml:space="preserve"> ==== 2017 AZI Platforms ====</v>
      </c>
      <c r="C391" s="656"/>
      <c r="D391" s="2022"/>
      <c r="E391" s="2905"/>
      <c r="F391" s="2906">
        <v>12</v>
      </c>
      <c r="G391" s="2017"/>
      <c r="H391" s="2606"/>
      <c r="I391" s="645"/>
      <c r="J391" s="673"/>
      <c r="K391" s="2897"/>
      <c r="L391" s="2898"/>
      <c r="M391" s="673"/>
      <c r="N391" s="1152"/>
      <c r="O391" s="1152"/>
      <c r="Q391" s="2651" t="s">
        <v>1723</v>
      </c>
      <c r="R391" s="31" t="s">
        <v>1699</v>
      </c>
    </row>
    <row r="392" spans="1:19" hidden="1" outlineLevel="1" x14ac:dyDescent="0.15">
      <c r="A392" s="3057" t="s">
        <v>1698</v>
      </c>
      <c r="B392" s="3058"/>
      <c r="C392" s="3059"/>
      <c r="D392" s="3059"/>
      <c r="E392" s="3060"/>
      <c r="F392" s="3058"/>
      <c r="G392" s="3058"/>
      <c r="H392" s="3058"/>
      <c r="I392" s="3058"/>
      <c r="J392" s="3061"/>
      <c r="K392" s="3062"/>
      <c r="L392" s="3063"/>
      <c r="M392" s="3061"/>
      <c r="N392" s="1152"/>
      <c r="O392" s="1152"/>
    </row>
    <row r="393" spans="1:19" s="693" customFormat="1" hidden="1" outlineLevel="2" x14ac:dyDescent="0.15">
      <c r="A393" s="630" t="str">
        <f t="shared" ref="A393:A403" si="69">CONCATENATE(B393," ",C393," core (",E393," MHz) ",J393," GB")</f>
        <v>AZI D2v3 (2vc) 40 core (2300 MHz) 8 GB</v>
      </c>
      <c r="B393" s="2036" t="s">
        <v>1599</v>
      </c>
      <c r="C393" s="2024">
        <v>40</v>
      </c>
      <c r="D393" s="2561">
        <f t="shared" ref="D393:D398" si="70">C393/2</f>
        <v>20</v>
      </c>
      <c r="E393" s="639">
        <v>2300</v>
      </c>
      <c r="F393" s="2011">
        <v>1651</v>
      </c>
      <c r="G393" s="2015">
        <f t="shared" ref="G393:G403" si="71">IF(F393=0,"",F393/C393)</f>
        <v>41.274999999999999</v>
      </c>
      <c r="H393" s="2603">
        <f t="shared" ref="H393:H403" si="72">IF(C393=0,"",C393/D393)</f>
        <v>2</v>
      </c>
      <c r="I393" s="647" t="s">
        <v>335</v>
      </c>
      <c r="J393" s="2643">
        <v>8</v>
      </c>
      <c r="K393" s="2899"/>
      <c r="L393" s="2900">
        <v>5045.76</v>
      </c>
      <c r="M393" s="3054" t="str">
        <f t="shared" ref="M393:M403" si="73">MID(B393, FIND("(",B393,1)+1, FIND(")",B393,1)- FIND("(",B393,1)-3)</f>
        <v>2</v>
      </c>
      <c r="N393" s="2994"/>
      <c r="O393" s="2994"/>
      <c r="P393" s="1305"/>
      <c r="Q393" s="3074">
        <f>M393/C393</f>
        <v>0.05</v>
      </c>
      <c r="R393" s="3073">
        <f>Q393*4*0.8*F393/13.4</f>
        <v>19.713432835820896</v>
      </c>
      <c r="S393" s="3073">
        <f t="shared" ref="S393:S403" si="74">8*M393</f>
        <v>16</v>
      </c>
    </row>
    <row r="394" spans="1:19" s="693" customFormat="1" hidden="1" outlineLevel="2" x14ac:dyDescent="0.15">
      <c r="A394" s="630" t="str">
        <f t="shared" si="69"/>
        <v>AZI D4v3 (4vc) 40 core (2300 MHz) 16 GB</v>
      </c>
      <c r="B394" s="2036" t="s">
        <v>1600</v>
      </c>
      <c r="C394" s="2024">
        <v>40</v>
      </c>
      <c r="D394" s="2561">
        <f t="shared" si="70"/>
        <v>20</v>
      </c>
      <c r="E394" s="639">
        <v>2300</v>
      </c>
      <c r="F394" s="2011">
        <v>1651</v>
      </c>
      <c r="G394" s="2015">
        <f t="shared" si="71"/>
        <v>41.274999999999999</v>
      </c>
      <c r="H394" s="2603">
        <f t="shared" si="72"/>
        <v>2</v>
      </c>
      <c r="I394" s="647" t="s">
        <v>335</v>
      </c>
      <c r="J394" s="2643">
        <v>16</v>
      </c>
      <c r="K394" s="2899"/>
      <c r="L394" s="2900">
        <v>10091.52</v>
      </c>
      <c r="M394" s="3054" t="str">
        <f t="shared" si="73"/>
        <v>4</v>
      </c>
      <c r="N394" s="2994"/>
      <c r="O394" s="2994"/>
      <c r="P394" s="1305"/>
      <c r="Q394" s="3074">
        <f t="shared" ref="Q394:Q442" si="75">M394/C394</f>
        <v>0.1</v>
      </c>
      <c r="R394" s="3073">
        <f t="shared" ref="R394:R442" si="76">Q394*4*0.8*F394/13.4</f>
        <v>39.426865671641792</v>
      </c>
      <c r="S394" s="3073">
        <f t="shared" si="74"/>
        <v>32</v>
      </c>
    </row>
    <row r="395" spans="1:19" s="693" customFormat="1" hidden="1" outlineLevel="2" x14ac:dyDescent="0.15">
      <c r="A395" s="630" t="str">
        <f t="shared" si="69"/>
        <v>AZI D8v3 (8vc) 40 core (2300 MHz) 32 GB</v>
      </c>
      <c r="B395" s="2036" t="s">
        <v>1601</v>
      </c>
      <c r="C395" s="2024">
        <v>40</v>
      </c>
      <c r="D395" s="2561">
        <f t="shared" si="70"/>
        <v>20</v>
      </c>
      <c r="E395" s="639">
        <v>2300</v>
      </c>
      <c r="F395" s="2011">
        <v>1651</v>
      </c>
      <c r="G395" s="2015">
        <f t="shared" si="71"/>
        <v>41.274999999999999</v>
      </c>
      <c r="H395" s="2603">
        <f t="shared" si="72"/>
        <v>2</v>
      </c>
      <c r="I395" s="647" t="s">
        <v>335</v>
      </c>
      <c r="J395" s="2643">
        <v>32</v>
      </c>
      <c r="K395" s="2899"/>
      <c r="L395" s="2900">
        <v>20183.04</v>
      </c>
      <c r="M395" s="3054" t="str">
        <f t="shared" si="73"/>
        <v>8</v>
      </c>
      <c r="N395" s="2994"/>
      <c r="O395" s="2994"/>
      <c r="P395" s="1305"/>
      <c r="Q395" s="3074">
        <f t="shared" si="75"/>
        <v>0.2</v>
      </c>
      <c r="R395" s="3073">
        <f t="shared" si="76"/>
        <v>78.853731343283584</v>
      </c>
      <c r="S395" s="3073">
        <f t="shared" si="74"/>
        <v>64</v>
      </c>
    </row>
    <row r="396" spans="1:19" s="693" customFormat="1" hidden="1" outlineLevel="2" x14ac:dyDescent="0.15">
      <c r="A396" s="630" t="str">
        <f t="shared" si="69"/>
        <v>AZI D16v3 (16vc) 40 core (2300 MHz) 64 GB</v>
      </c>
      <c r="B396" s="2036" t="s">
        <v>1602</v>
      </c>
      <c r="C396" s="2024">
        <v>40</v>
      </c>
      <c r="D396" s="2561">
        <f t="shared" si="70"/>
        <v>20</v>
      </c>
      <c r="E396" s="639">
        <v>2300</v>
      </c>
      <c r="F396" s="2011">
        <v>1651</v>
      </c>
      <c r="G396" s="2015">
        <f t="shared" si="71"/>
        <v>41.274999999999999</v>
      </c>
      <c r="H396" s="2603">
        <f t="shared" si="72"/>
        <v>2</v>
      </c>
      <c r="I396" s="647" t="s">
        <v>335</v>
      </c>
      <c r="J396" s="2643">
        <v>64</v>
      </c>
      <c r="K396" s="2899"/>
      <c r="L396" s="2900">
        <v>40366.080000000002</v>
      </c>
      <c r="M396" s="3054" t="str">
        <f t="shared" si="73"/>
        <v>16</v>
      </c>
      <c r="N396" s="2994"/>
      <c r="O396" s="2994"/>
      <c r="P396" s="1305"/>
      <c r="Q396" s="3074">
        <f t="shared" si="75"/>
        <v>0.4</v>
      </c>
      <c r="R396" s="3073">
        <f t="shared" si="76"/>
        <v>157.70746268656717</v>
      </c>
      <c r="S396" s="3073">
        <f t="shared" si="74"/>
        <v>128</v>
      </c>
    </row>
    <row r="397" spans="1:19" s="693" customFormat="1" hidden="1" outlineLevel="2" x14ac:dyDescent="0.15">
      <c r="A397" s="630" t="str">
        <f t="shared" si="69"/>
        <v>AZI D32v3 (32vc) 40 core (2300 MHz) 128 GB</v>
      </c>
      <c r="B397" s="2036" t="s">
        <v>1603</v>
      </c>
      <c r="C397" s="2024">
        <v>40</v>
      </c>
      <c r="D397" s="2561">
        <f t="shared" si="70"/>
        <v>20</v>
      </c>
      <c r="E397" s="639">
        <v>2300</v>
      </c>
      <c r="F397" s="2011">
        <v>1651</v>
      </c>
      <c r="G397" s="2015">
        <f t="shared" si="71"/>
        <v>41.274999999999999</v>
      </c>
      <c r="H397" s="2603">
        <f t="shared" si="72"/>
        <v>2</v>
      </c>
      <c r="I397" s="647" t="s">
        <v>335</v>
      </c>
      <c r="J397" s="2643">
        <v>128</v>
      </c>
      <c r="K397" s="2899"/>
      <c r="L397" s="2900">
        <v>80732.160000000003</v>
      </c>
      <c r="M397" s="3054" t="str">
        <f t="shared" si="73"/>
        <v>32</v>
      </c>
      <c r="N397" s="2994"/>
      <c r="O397" s="2994"/>
      <c r="P397" s="1305"/>
      <c r="Q397" s="3074">
        <f t="shared" si="75"/>
        <v>0.8</v>
      </c>
      <c r="R397" s="3073">
        <f t="shared" si="76"/>
        <v>315.41492537313434</v>
      </c>
      <c r="S397" s="3073">
        <f t="shared" si="74"/>
        <v>256</v>
      </c>
    </row>
    <row r="398" spans="1:19" s="693" customFormat="1" hidden="1" outlineLevel="2" x14ac:dyDescent="0.15">
      <c r="A398" s="630" t="str">
        <f t="shared" si="69"/>
        <v>AZI D64v3 (64vc) 40 core (2300 MHz) 256 GB</v>
      </c>
      <c r="B398" s="2036" t="s">
        <v>1604</v>
      </c>
      <c r="C398" s="2024">
        <v>40</v>
      </c>
      <c r="D398" s="2561">
        <f t="shared" si="70"/>
        <v>20</v>
      </c>
      <c r="E398" s="639">
        <v>2300</v>
      </c>
      <c r="F398" s="2011">
        <v>1651</v>
      </c>
      <c r="G398" s="2015">
        <f t="shared" si="71"/>
        <v>41.274999999999999</v>
      </c>
      <c r="H398" s="2603">
        <f t="shared" si="72"/>
        <v>2</v>
      </c>
      <c r="I398" s="647" t="s">
        <v>335</v>
      </c>
      <c r="J398" s="2643">
        <v>256</v>
      </c>
      <c r="K398" s="2899"/>
      <c r="L398" s="2900">
        <v>161464.32000000001</v>
      </c>
      <c r="M398" s="3054" t="str">
        <f t="shared" si="73"/>
        <v>64</v>
      </c>
      <c r="N398" s="2994"/>
      <c r="O398" s="2994"/>
      <c r="P398" s="1305"/>
      <c r="Q398" s="3074">
        <f t="shared" si="75"/>
        <v>1.6</v>
      </c>
      <c r="R398" s="3073">
        <f t="shared" si="76"/>
        <v>630.82985074626868</v>
      </c>
      <c r="S398" s="3073">
        <f t="shared" si="74"/>
        <v>512</v>
      </c>
    </row>
    <row r="399" spans="1:19" s="693" customFormat="1" hidden="1" outlineLevel="2" x14ac:dyDescent="0.15">
      <c r="A399" s="630" t="str">
        <f t="shared" si="69"/>
        <v>AZI D1v2 (1vc) 24 core (2400 MHz) 3.5 GB</v>
      </c>
      <c r="B399" s="2036" t="s">
        <v>1727</v>
      </c>
      <c r="C399" s="2024">
        <v>24</v>
      </c>
      <c r="D399" s="52">
        <v>12</v>
      </c>
      <c r="E399" s="639">
        <v>2400</v>
      </c>
      <c r="F399" s="2011">
        <v>1042</v>
      </c>
      <c r="G399" s="2015">
        <f t="shared" si="71"/>
        <v>43.416666666666664</v>
      </c>
      <c r="H399" s="2603">
        <f t="shared" si="72"/>
        <v>2</v>
      </c>
      <c r="I399" s="647" t="s">
        <v>335</v>
      </c>
      <c r="J399" s="2643">
        <v>3.5</v>
      </c>
      <c r="K399" s="2899"/>
      <c r="L399" s="2900">
        <v>3679.2000000000003</v>
      </c>
      <c r="M399" s="3054" t="str">
        <f t="shared" si="73"/>
        <v>1</v>
      </c>
      <c r="N399" s="2994"/>
      <c r="O399" s="2994"/>
      <c r="P399" s="1305"/>
      <c r="Q399" s="3074">
        <f t="shared" si="75"/>
        <v>4.1666666666666664E-2</v>
      </c>
      <c r="R399" s="3073">
        <f t="shared" si="76"/>
        <v>10.368159203980099</v>
      </c>
      <c r="S399" s="3073">
        <f t="shared" si="74"/>
        <v>8</v>
      </c>
    </row>
    <row r="400" spans="1:19" s="693" customFormat="1" hidden="1" outlineLevel="2" x14ac:dyDescent="0.15">
      <c r="A400" s="630" t="str">
        <f t="shared" si="69"/>
        <v>AZI D2v2 (2vc) 24 core (2400 MHz) 7 GB</v>
      </c>
      <c r="B400" s="2036" t="s">
        <v>1728</v>
      </c>
      <c r="C400" s="2024">
        <v>24</v>
      </c>
      <c r="D400" s="52">
        <v>12</v>
      </c>
      <c r="E400" s="639">
        <v>2400</v>
      </c>
      <c r="F400" s="2011">
        <v>1042</v>
      </c>
      <c r="G400" s="2015">
        <f t="shared" si="71"/>
        <v>43.416666666666664</v>
      </c>
      <c r="H400" s="2603">
        <f t="shared" si="72"/>
        <v>2</v>
      </c>
      <c r="I400" s="647" t="s">
        <v>335</v>
      </c>
      <c r="J400" s="2643">
        <v>7</v>
      </c>
      <c r="K400" s="2899"/>
      <c r="L400" s="2900">
        <v>7358.4000000000005</v>
      </c>
      <c r="M400" s="3054" t="str">
        <f t="shared" si="73"/>
        <v>2</v>
      </c>
      <c r="N400" s="2994"/>
      <c r="O400" s="2994"/>
      <c r="P400" s="1305"/>
      <c r="Q400" s="3074">
        <f t="shared" si="75"/>
        <v>8.3333333333333329E-2</v>
      </c>
      <c r="R400" s="3073">
        <f t="shared" si="76"/>
        <v>20.736318407960198</v>
      </c>
      <c r="S400" s="3073">
        <f t="shared" si="74"/>
        <v>16</v>
      </c>
    </row>
    <row r="401" spans="1:19" s="693" customFormat="1" hidden="1" outlineLevel="2" x14ac:dyDescent="0.15">
      <c r="A401" s="630" t="str">
        <f t="shared" si="69"/>
        <v>AZI D3v2 (4vc) 24 core (2400 MHz) 14 GB</v>
      </c>
      <c r="B401" s="2036" t="s">
        <v>1729</v>
      </c>
      <c r="C401" s="2024">
        <v>24</v>
      </c>
      <c r="D401" s="52">
        <v>12</v>
      </c>
      <c r="E401" s="639">
        <v>2400</v>
      </c>
      <c r="F401" s="2011">
        <v>1042</v>
      </c>
      <c r="G401" s="2015">
        <f t="shared" si="71"/>
        <v>43.416666666666664</v>
      </c>
      <c r="H401" s="2603">
        <f t="shared" si="72"/>
        <v>2</v>
      </c>
      <c r="I401" s="647" t="s">
        <v>335</v>
      </c>
      <c r="J401" s="2643">
        <v>14</v>
      </c>
      <c r="K401" s="2899"/>
      <c r="L401" s="2900">
        <v>14716.800000000001</v>
      </c>
      <c r="M401" s="3054" t="str">
        <f t="shared" si="73"/>
        <v>4</v>
      </c>
      <c r="N401" s="2994"/>
      <c r="O401" s="2994"/>
      <c r="P401" s="1305"/>
      <c r="Q401" s="3074">
        <f t="shared" si="75"/>
        <v>0.16666666666666666</v>
      </c>
      <c r="R401" s="3073">
        <f t="shared" si="76"/>
        <v>41.472636815920396</v>
      </c>
      <c r="S401" s="3073">
        <f t="shared" si="74"/>
        <v>32</v>
      </c>
    </row>
    <row r="402" spans="1:19" s="693" customFormat="1" hidden="1" outlineLevel="2" x14ac:dyDescent="0.15">
      <c r="A402" s="630" t="str">
        <f t="shared" si="69"/>
        <v>AZI D4v2 (8vc) 24 core (2400 MHz) 28 GB</v>
      </c>
      <c r="B402" s="2036" t="s">
        <v>1730</v>
      </c>
      <c r="C402" s="2024">
        <v>24</v>
      </c>
      <c r="D402" s="52">
        <v>12</v>
      </c>
      <c r="E402" s="639">
        <v>2400</v>
      </c>
      <c r="F402" s="2011">
        <v>1042</v>
      </c>
      <c r="G402" s="2015">
        <f t="shared" si="71"/>
        <v>43.416666666666664</v>
      </c>
      <c r="H402" s="2603">
        <f t="shared" si="72"/>
        <v>2</v>
      </c>
      <c r="I402" s="647" t="s">
        <v>335</v>
      </c>
      <c r="J402" s="2643">
        <v>28</v>
      </c>
      <c r="K402" s="2899"/>
      <c r="L402" s="2900">
        <v>29433.600000000002</v>
      </c>
      <c r="M402" s="3054" t="str">
        <f t="shared" si="73"/>
        <v>8</v>
      </c>
      <c r="N402" s="2994"/>
      <c r="O402" s="2994"/>
      <c r="P402" s="1305"/>
      <c r="Q402" s="3074">
        <f t="shared" si="75"/>
        <v>0.33333333333333331</v>
      </c>
      <c r="R402" s="3073">
        <f t="shared" si="76"/>
        <v>82.945273631840791</v>
      </c>
      <c r="S402" s="3073">
        <f t="shared" si="74"/>
        <v>64</v>
      </c>
    </row>
    <row r="403" spans="1:19" s="693" customFormat="1" hidden="1" outlineLevel="2" x14ac:dyDescent="0.15">
      <c r="A403" s="630" t="str">
        <f t="shared" si="69"/>
        <v>AZI D5v2 (16vc) 24 core (2400 MHz) 56 GB</v>
      </c>
      <c r="B403" s="2036" t="s">
        <v>1731</v>
      </c>
      <c r="C403" s="2024">
        <v>24</v>
      </c>
      <c r="D403" s="52">
        <v>12</v>
      </c>
      <c r="E403" s="639">
        <v>2400</v>
      </c>
      <c r="F403" s="2011">
        <v>1042</v>
      </c>
      <c r="G403" s="2015">
        <f t="shared" si="71"/>
        <v>43.416666666666664</v>
      </c>
      <c r="H403" s="2603">
        <f t="shared" si="72"/>
        <v>2</v>
      </c>
      <c r="I403" s="647" t="s">
        <v>335</v>
      </c>
      <c r="J403" s="2643">
        <v>56</v>
      </c>
      <c r="K403" s="2899"/>
      <c r="L403" s="2900">
        <v>52980.480000000003</v>
      </c>
      <c r="M403" s="3054" t="str">
        <f t="shared" si="73"/>
        <v>16</v>
      </c>
      <c r="N403" s="2994"/>
      <c r="O403" s="2994"/>
      <c r="P403" s="1305"/>
      <c r="Q403" s="3074">
        <f t="shared" si="75"/>
        <v>0.66666666666666663</v>
      </c>
      <c r="R403" s="3073">
        <f t="shared" si="76"/>
        <v>165.89054726368158</v>
      </c>
      <c r="S403" s="3073">
        <f t="shared" si="74"/>
        <v>128</v>
      </c>
    </row>
    <row r="404" spans="1:19" hidden="1" outlineLevel="1" collapsed="1" x14ac:dyDescent="0.15">
      <c r="A404" s="3057" t="s">
        <v>1651</v>
      </c>
      <c r="B404" s="3058"/>
      <c r="C404" s="3059"/>
      <c r="D404" s="3059"/>
      <c r="E404" s="3060"/>
      <c r="F404" s="3058"/>
      <c r="G404" s="3058"/>
      <c r="H404" s="3058"/>
      <c r="I404" s="3058"/>
      <c r="J404" s="3061"/>
      <c r="K404" s="3062"/>
      <c r="L404" s="3063"/>
      <c r="M404" s="3061"/>
      <c r="N404" s="1152"/>
      <c r="O404" s="1152"/>
      <c r="Q404" s="3074"/>
      <c r="R404" s="3073"/>
    </row>
    <row r="405" spans="1:19" s="693" customFormat="1" hidden="1" outlineLevel="2" x14ac:dyDescent="0.15">
      <c r="A405" s="630" t="str">
        <f>CONCATENATE(B405," ",C405," core (",E405," MHz) ",J405," GB")</f>
        <v>AZI F1 (2vc) 24 core (2400 MHz) 2 GB</v>
      </c>
      <c r="B405" s="2036" t="s">
        <v>1605</v>
      </c>
      <c r="C405" s="2024">
        <v>24</v>
      </c>
      <c r="D405" s="52">
        <v>12</v>
      </c>
      <c r="E405" s="639">
        <v>2400</v>
      </c>
      <c r="F405" s="2011">
        <v>1042</v>
      </c>
      <c r="G405" s="2015">
        <f t="shared" ref="G405:G427" si="77">IF(F405=0,"",F405/C405)</f>
        <v>43.416666666666664</v>
      </c>
      <c r="H405" s="2603">
        <f t="shared" ref="H405:H427" si="78">IF(C405=0,"",C405/D405)</f>
        <v>2</v>
      </c>
      <c r="I405" s="647" t="s">
        <v>335</v>
      </c>
      <c r="J405" s="2643">
        <v>2</v>
      </c>
      <c r="K405" s="2899"/>
      <c r="L405" s="2900">
        <v>2522.88</v>
      </c>
      <c r="M405" s="3054" t="str">
        <f>MID(B405, FIND("(",B405,1)+1, FIND(")",B405,1)- FIND("(",B405,1)-3)</f>
        <v>2</v>
      </c>
      <c r="N405" s="2994"/>
      <c r="O405" s="2994"/>
      <c r="P405" s="1305"/>
      <c r="Q405" s="3074">
        <f t="shared" si="75"/>
        <v>8.3333333333333329E-2</v>
      </c>
      <c r="R405" s="3073">
        <f t="shared" si="76"/>
        <v>20.736318407960198</v>
      </c>
      <c r="S405" s="3073">
        <f>8*M405</f>
        <v>16</v>
      </c>
    </row>
    <row r="406" spans="1:19" s="693" customFormat="1" hidden="1" outlineLevel="2" x14ac:dyDescent="0.15">
      <c r="A406" s="630" t="str">
        <f>CONCATENATE(B406," ",C406," core (",E406," MHz) ",J406," GB")</f>
        <v>AZI F2 (4vc) 24 core (2400 MHz) 4 GB</v>
      </c>
      <c r="B406" s="2036" t="s">
        <v>1606</v>
      </c>
      <c r="C406" s="2024">
        <v>24</v>
      </c>
      <c r="D406" s="52">
        <v>12</v>
      </c>
      <c r="E406" s="639">
        <v>2400</v>
      </c>
      <c r="F406" s="2011">
        <v>1042</v>
      </c>
      <c r="G406" s="2015">
        <f t="shared" si="77"/>
        <v>43.416666666666664</v>
      </c>
      <c r="H406" s="2603">
        <f t="shared" si="78"/>
        <v>2</v>
      </c>
      <c r="I406" s="647" t="s">
        <v>335</v>
      </c>
      <c r="J406" s="2643">
        <v>4</v>
      </c>
      <c r="K406" s="2899"/>
      <c r="L406" s="2900">
        <v>5045.76</v>
      </c>
      <c r="M406" s="3054" t="str">
        <f>MID(B406, FIND("(",B406,1)+1, FIND(")",B406,1)- FIND("(",B406,1)-3)</f>
        <v>4</v>
      </c>
      <c r="N406" s="2994"/>
      <c r="O406" s="2994"/>
      <c r="P406" s="1305"/>
      <c r="Q406" s="3074">
        <f t="shared" si="75"/>
        <v>0.16666666666666666</v>
      </c>
      <c r="R406" s="3073">
        <f t="shared" si="76"/>
        <v>41.472636815920396</v>
      </c>
      <c r="S406" s="3073">
        <f>8*M406</f>
        <v>32</v>
      </c>
    </row>
    <row r="407" spans="1:19" s="693" customFormat="1" hidden="1" outlineLevel="2" x14ac:dyDescent="0.15">
      <c r="A407" s="630" t="str">
        <f>CONCATENATE(B407," ",C407," core (",E407," MHz) ",J407," GB")</f>
        <v>AZI F3 (8vc) 24 core (2400 MHz) 8 GB</v>
      </c>
      <c r="B407" s="2036" t="s">
        <v>1607</v>
      </c>
      <c r="C407" s="2024">
        <v>24</v>
      </c>
      <c r="D407" s="52">
        <v>12</v>
      </c>
      <c r="E407" s="639">
        <v>2400</v>
      </c>
      <c r="F407" s="2011">
        <v>1042</v>
      </c>
      <c r="G407" s="2015">
        <f t="shared" si="77"/>
        <v>43.416666666666664</v>
      </c>
      <c r="H407" s="2603">
        <f t="shared" si="78"/>
        <v>2</v>
      </c>
      <c r="I407" s="647" t="s">
        <v>335</v>
      </c>
      <c r="J407" s="2643">
        <v>8</v>
      </c>
      <c r="K407" s="2899"/>
      <c r="L407" s="2900">
        <v>10065.24</v>
      </c>
      <c r="M407" s="3054" t="str">
        <f>MID(B407, FIND("(",B407,1)+1, FIND(")",B407,1)- FIND("(",B407,1)-3)</f>
        <v>8</v>
      </c>
      <c r="N407" s="2994"/>
      <c r="O407" s="2994"/>
      <c r="P407" s="1305"/>
      <c r="Q407" s="3074">
        <f t="shared" si="75"/>
        <v>0.33333333333333331</v>
      </c>
      <c r="R407" s="3073">
        <f t="shared" si="76"/>
        <v>82.945273631840791</v>
      </c>
      <c r="S407" s="3073">
        <f>8*M407</f>
        <v>64</v>
      </c>
    </row>
    <row r="408" spans="1:19" s="693" customFormat="1" hidden="1" outlineLevel="2" x14ac:dyDescent="0.15">
      <c r="A408" s="630" t="str">
        <f>CONCATENATE(B408," ",C408," core (",E408," MHz) ",J408," GB")</f>
        <v>AZI F4 (16vc) 24 core (2400 MHz) 16 GB</v>
      </c>
      <c r="B408" s="2036" t="s">
        <v>1608</v>
      </c>
      <c r="C408" s="2024">
        <v>24</v>
      </c>
      <c r="D408" s="52">
        <v>12</v>
      </c>
      <c r="E408" s="639">
        <v>2400</v>
      </c>
      <c r="F408" s="2011">
        <v>1042</v>
      </c>
      <c r="G408" s="2015">
        <f t="shared" si="77"/>
        <v>43.416666666666664</v>
      </c>
      <c r="H408" s="2603">
        <f t="shared" si="78"/>
        <v>2</v>
      </c>
      <c r="I408" s="647" t="s">
        <v>335</v>
      </c>
      <c r="J408" s="2643">
        <v>16</v>
      </c>
      <c r="K408" s="2899"/>
      <c r="L408" s="2900">
        <v>20130.48</v>
      </c>
      <c r="M408" s="3054" t="str">
        <f>MID(B408, FIND("(",B408,1)+1, FIND(")",B408,1)- FIND("(",B408,1)-3)</f>
        <v>16</v>
      </c>
      <c r="N408" s="2994"/>
      <c r="O408" s="2994"/>
      <c r="P408" s="1305"/>
      <c r="Q408" s="3074">
        <f t="shared" si="75"/>
        <v>0.66666666666666663</v>
      </c>
      <c r="R408" s="3073">
        <f t="shared" si="76"/>
        <v>165.89054726368158</v>
      </c>
      <c r="S408" s="3073">
        <f>8*M408</f>
        <v>128</v>
      </c>
    </row>
    <row r="409" spans="1:19" s="693" customFormat="1" hidden="1" outlineLevel="2" x14ac:dyDescent="0.15">
      <c r="A409" s="630" t="str">
        <f>CONCATENATE(B409," ",C409," core (",E409," MHz) ",J409," GB")</f>
        <v>AZI F5 (32vc) 24 core (2400 MHz) 32 GB</v>
      </c>
      <c r="B409" s="2036" t="s">
        <v>1609</v>
      </c>
      <c r="C409" s="2024">
        <v>24</v>
      </c>
      <c r="D409" s="52">
        <v>12</v>
      </c>
      <c r="E409" s="639">
        <v>2400</v>
      </c>
      <c r="F409" s="2011">
        <v>1042</v>
      </c>
      <c r="G409" s="2015">
        <f t="shared" si="77"/>
        <v>43.416666666666664</v>
      </c>
      <c r="H409" s="2603">
        <f t="shared" si="78"/>
        <v>2</v>
      </c>
      <c r="I409" s="647" t="s">
        <v>335</v>
      </c>
      <c r="J409" s="2643">
        <v>32</v>
      </c>
      <c r="K409" s="2899"/>
      <c r="L409" s="2900">
        <v>40260.959999999999</v>
      </c>
      <c r="M409" s="3054" t="str">
        <f>MID(B409, FIND("(",B409,1)+1, FIND(")",B409,1)- FIND("(",B409,1)-3)</f>
        <v>32</v>
      </c>
      <c r="N409" s="2994" t="s">
        <v>1610</v>
      </c>
      <c r="O409" s="3056">
        <v>32</v>
      </c>
      <c r="P409" s="1305"/>
      <c r="Q409" s="3074">
        <f t="shared" si="75"/>
        <v>1.3333333333333333</v>
      </c>
      <c r="R409" s="3073">
        <f t="shared" si="76"/>
        <v>331.78109452736317</v>
      </c>
      <c r="S409" s="3073">
        <f>8*M409</f>
        <v>256</v>
      </c>
    </row>
    <row r="410" spans="1:19" hidden="1" outlineLevel="1" collapsed="1" x14ac:dyDescent="0.15">
      <c r="A410" s="3057" t="s">
        <v>1652</v>
      </c>
      <c r="B410" s="3058"/>
      <c r="C410" s="3059"/>
      <c r="D410" s="3059"/>
      <c r="E410" s="3060"/>
      <c r="F410" s="3058"/>
      <c r="G410" s="3058"/>
      <c r="H410" s="3058"/>
      <c r="I410" s="3058"/>
      <c r="J410" s="3061"/>
      <c r="K410" s="3062"/>
      <c r="L410" s="3063"/>
      <c r="M410" s="3061"/>
      <c r="N410" s="1152"/>
      <c r="O410" s="1152"/>
      <c r="Q410" s="3074"/>
      <c r="R410" s="3073"/>
    </row>
    <row r="411" spans="1:19" s="693" customFormat="1" hidden="1" outlineLevel="2" x14ac:dyDescent="0.15">
      <c r="A411" s="630" t="str">
        <f t="shared" ref="A411:A427" si="79">CONCATENATE(B411," ",C411," core (",E411," MHz) ",J411," GB")</f>
        <v>AZI E2v3 (2vc) 40 core (2300 MHz) 16 GB</v>
      </c>
      <c r="B411" s="2036" t="s">
        <v>1617</v>
      </c>
      <c r="C411" s="2024">
        <v>40</v>
      </c>
      <c r="D411" s="52">
        <v>20</v>
      </c>
      <c r="E411" s="639">
        <v>2300</v>
      </c>
      <c r="F411" s="2011">
        <v>1651</v>
      </c>
      <c r="G411" s="2015">
        <f t="shared" si="77"/>
        <v>41.274999999999999</v>
      </c>
      <c r="H411" s="2603">
        <f t="shared" si="78"/>
        <v>2</v>
      </c>
      <c r="I411" s="647" t="s">
        <v>335</v>
      </c>
      <c r="J411" s="2643">
        <v>16</v>
      </c>
      <c r="K411" s="2899"/>
      <c r="L411" s="2900">
        <v>5913</v>
      </c>
      <c r="M411" s="3054" t="str">
        <f t="shared" ref="M411:M427" si="80">MID(B411, FIND("(",B411,1)+1, FIND(")",B411,1)- FIND("(",B411,1)-3)</f>
        <v>2</v>
      </c>
      <c r="N411" s="986" t="s">
        <v>1611</v>
      </c>
      <c r="O411">
        <v>2</v>
      </c>
      <c r="P411" s="1305"/>
      <c r="Q411" s="3074">
        <f t="shared" si="75"/>
        <v>0.05</v>
      </c>
      <c r="R411" s="3073">
        <f t="shared" si="76"/>
        <v>19.713432835820896</v>
      </c>
      <c r="S411" s="3073">
        <f t="shared" ref="S411:S421" si="81">8*M411</f>
        <v>16</v>
      </c>
    </row>
    <row r="412" spans="1:19" s="693" customFormat="1" hidden="1" outlineLevel="2" x14ac:dyDescent="0.15">
      <c r="A412" s="630" t="str">
        <f t="shared" si="79"/>
        <v>AZI E4v3 (4vc) 40 core (2300 MHz) 32 GB</v>
      </c>
      <c r="B412" s="2036" t="s">
        <v>1618</v>
      </c>
      <c r="C412" s="2024">
        <v>40</v>
      </c>
      <c r="D412" s="52">
        <v>20</v>
      </c>
      <c r="E412" s="639">
        <v>2300</v>
      </c>
      <c r="F412" s="2011">
        <v>1651</v>
      </c>
      <c r="G412" s="2015">
        <f t="shared" si="77"/>
        <v>41.274999999999999</v>
      </c>
      <c r="H412" s="2603">
        <f t="shared" si="78"/>
        <v>2</v>
      </c>
      <c r="I412" s="647" t="s">
        <v>335</v>
      </c>
      <c r="J412" s="2643">
        <v>32</v>
      </c>
      <c r="K412" s="2899"/>
      <c r="L412" s="2900">
        <v>11826</v>
      </c>
      <c r="M412" s="3054" t="str">
        <f t="shared" si="80"/>
        <v>4</v>
      </c>
      <c r="N412" s="986" t="s">
        <v>1612</v>
      </c>
      <c r="O412">
        <v>4</v>
      </c>
      <c r="P412" s="1305"/>
      <c r="Q412" s="3074">
        <f t="shared" si="75"/>
        <v>0.1</v>
      </c>
      <c r="R412" s="3073">
        <f t="shared" si="76"/>
        <v>39.426865671641792</v>
      </c>
      <c r="S412" s="3073">
        <f t="shared" si="81"/>
        <v>32</v>
      </c>
    </row>
    <row r="413" spans="1:19" s="693" customFormat="1" hidden="1" outlineLevel="2" x14ac:dyDescent="0.15">
      <c r="A413" s="630" t="str">
        <f t="shared" si="79"/>
        <v>AZI E8v3 (8vc) 40 core (2300 MHz) 64 GB</v>
      </c>
      <c r="B413" s="2036" t="s">
        <v>1619</v>
      </c>
      <c r="C413" s="2024">
        <v>40</v>
      </c>
      <c r="D413" s="52">
        <v>20</v>
      </c>
      <c r="E413" s="639">
        <v>2300</v>
      </c>
      <c r="F413" s="2011">
        <v>1651</v>
      </c>
      <c r="G413" s="2015">
        <f t="shared" si="77"/>
        <v>41.274999999999999</v>
      </c>
      <c r="H413" s="2603">
        <f t="shared" si="78"/>
        <v>2</v>
      </c>
      <c r="I413" s="647" t="s">
        <v>335</v>
      </c>
      <c r="J413" s="2643">
        <v>64</v>
      </c>
      <c r="K413" s="2899"/>
      <c r="L413" s="2900">
        <v>23652</v>
      </c>
      <c r="M413" s="3054" t="str">
        <f t="shared" si="80"/>
        <v>8</v>
      </c>
      <c r="N413" s="986" t="s">
        <v>1613</v>
      </c>
      <c r="O413">
        <v>8</v>
      </c>
      <c r="P413" s="1305"/>
      <c r="Q413" s="3074">
        <f t="shared" si="75"/>
        <v>0.2</v>
      </c>
      <c r="R413" s="3073">
        <f t="shared" si="76"/>
        <v>78.853731343283584</v>
      </c>
      <c r="S413" s="3073">
        <f t="shared" si="81"/>
        <v>64</v>
      </c>
    </row>
    <row r="414" spans="1:19" s="693" customFormat="1" hidden="1" outlineLevel="2" x14ac:dyDescent="0.15">
      <c r="A414" s="630" t="str">
        <f t="shared" si="79"/>
        <v>AZI E16v3 (16vc) 40 core (2300 MHz) 128 GB</v>
      </c>
      <c r="B414" s="2036" t="s">
        <v>1620</v>
      </c>
      <c r="C414" s="2024">
        <v>40</v>
      </c>
      <c r="D414" s="52">
        <v>20</v>
      </c>
      <c r="E414" s="639">
        <v>2300</v>
      </c>
      <c r="F414" s="2011">
        <v>1651</v>
      </c>
      <c r="G414" s="2015">
        <f t="shared" si="77"/>
        <v>41.274999999999999</v>
      </c>
      <c r="H414" s="2603">
        <f t="shared" si="78"/>
        <v>2</v>
      </c>
      <c r="I414" s="647" t="s">
        <v>335</v>
      </c>
      <c r="J414" s="2643">
        <v>128</v>
      </c>
      <c r="K414" s="2899"/>
      <c r="L414" s="2900">
        <v>47304</v>
      </c>
      <c r="M414" s="3054" t="str">
        <f t="shared" si="80"/>
        <v>16</v>
      </c>
      <c r="N414" s="986" t="s">
        <v>1614</v>
      </c>
      <c r="O414">
        <v>16</v>
      </c>
      <c r="P414" s="1305"/>
      <c r="Q414" s="3074">
        <f t="shared" si="75"/>
        <v>0.4</v>
      </c>
      <c r="R414" s="3073">
        <f t="shared" si="76"/>
        <v>157.70746268656717</v>
      </c>
      <c r="S414" s="3073">
        <f t="shared" si="81"/>
        <v>128</v>
      </c>
    </row>
    <row r="415" spans="1:19" s="693" customFormat="1" hidden="1" outlineLevel="2" x14ac:dyDescent="0.15">
      <c r="A415" s="630" t="str">
        <f t="shared" si="79"/>
        <v>AZI E32v3 (32vc) 40 core (2300 MHz) 256 GB</v>
      </c>
      <c r="B415" s="2036" t="s">
        <v>1621</v>
      </c>
      <c r="C415" s="2024">
        <v>40</v>
      </c>
      <c r="D415" s="52">
        <v>20</v>
      </c>
      <c r="E415" s="639">
        <v>2300</v>
      </c>
      <c r="F415" s="2011">
        <v>1651</v>
      </c>
      <c r="G415" s="2015">
        <f t="shared" si="77"/>
        <v>41.274999999999999</v>
      </c>
      <c r="H415" s="2603">
        <f t="shared" si="78"/>
        <v>2</v>
      </c>
      <c r="I415" s="647" t="s">
        <v>335</v>
      </c>
      <c r="J415" s="2643">
        <v>256</v>
      </c>
      <c r="K415" s="2899"/>
      <c r="L415" s="2900">
        <v>94608</v>
      </c>
      <c r="M415" s="3054" t="str">
        <f t="shared" si="80"/>
        <v>32</v>
      </c>
      <c r="N415" s="986" t="s">
        <v>1615</v>
      </c>
      <c r="O415">
        <v>32</v>
      </c>
      <c r="P415" s="1305"/>
      <c r="Q415" s="3074">
        <f t="shared" si="75"/>
        <v>0.8</v>
      </c>
      <c r="R415" s="3073">
        <f t="shared" si="76"/>
        <v>315.41492537313434</v>
      </c>
      <c r="S415" s="3073">
        <f t="shared" si="81"/>
        <v>256</v>
      </c>
    </row>
    <row r="416" spans="1:19" s="693" customFormat="1" hidden="1" outlineLevel="2" x14ac:dyDescent="0.15">
      <c r="A416" s="630" t="str">
        <f t="shared" si="79"/>
        <v>AZI E64v3 (64vc) 40 core (2300 MHz) 432 GB</v>
      </c>
      <c r="B416" s="2036" t="s">
        <v>1622</v>
      </c>
      <c r="C416" s="2024">
        <v>40</v>
      </c>
      <c r="D416" s="52">
        <v>20</v>
      </c>
      <c r="E416" s="639">
        <v>2300</v>
      </c>
      <c r="F416" s="2011">
        <v>1651</v>
      </c>
      <c r="G416" s="2015">
        <f t="shared" si="77"/>
        <v>41.274999999999999</v>
      </c>
      <c r="H416" s="2603">
        <f t="shared" si="78"/>
        <v>2</v>
      </c>
      <c r="I416" s="647" t="s">
        <v>335</v>
      </c>
      <c r="J416" s="2643">
        <v>432</v>
      </c>
      <c r="K416" s="2899"/>
      <c r="L416" s="2900">
        <v>178336.08</v>
      </c>
      <c r="M416" s="3054" t="str">
        <f t="shared" si="80"/>
        <v>64</v>
      </c>
      <c r="N416" s="986" t="s">
        <v>1616</v>
      </c>
      <c r="O416">
        <v>64</v>
      </c>
      <c r="P416" s="1305"/>
      <c r="Q416" s="3074">
        <f t="shared" si="75"/>
        <v>1.6</v>
      </c>
      <c r="R416" s="3073">
        <f t="shared" si="76"/>
        <v>630.82985074626868</v>
      </c>
      <c r="S416" s="3073">
        <f t="shared" si="81"/>
        <v>512</v>
      </c>
    </row>
    <row r="417" spans="1:19" s="693" customFormat="1" hidden="1" outlineLevel="2" x14ac:dyDescent="0.15">
      <c r="A417" s="630" t="str">
        <f t="shared" si="79"/>
        <v>AZI D11v2 (2vc) 24 core (2400 MHz) 14 GB</v>
      </c>
      <c r="B417" s="2036" t="s">
        <v>1628</v>
      </c>
      <c r="C417" s="2024">
        <v>24</v>
      </c>
      <c r="D417" s="52">
        <v>12</v>
      </c>
      <c r="E417" s="639">
        <v>2400</v>
      </c>
      <c r="F417" s="2011">
        <v>1042</v>
      </c>
      <c r="G417" s="2015">
        <f t="shared" si="77"/>
        <v>43.416666666666664</v>
      </c>
      <c r="H417" s="2603">
        <f t="shared" si="78"/>
        <v>2</v>
      </c>
      <c r="I417" s="647" t="s">
        <v>335</v>
      </c>
      <c r="J417" s="2643">
        <v>14</v>
      </c>
      <c r="K417" s="2899"/>
      <c r="L417" s="2160">
        <v>8672.4</v>
      </c>
      <c r="M417" s="3054" t="str">
        <f t="shared" si="80"/>
        <v>2</v>
      </c>
      <c r="N417" s="986" t="s">
        <v>1623</v>
      </c>
      <c r="O417">
        <v>2</v>
      </c>
      <c r="P417" s="1305"/>
      <c r="Q417" s="3074">
        <f t="shared" si="75"/>
        <v>8.3333333333333329E-2</v>
      </c>
      <c r="R417" s="3073">
        <f t="shared" si="76"/>
        <v>20.736318407960198</v>
      </c>
      <c r="S417" s="3073">
        <f t="shared" si="81"/>
        <v>16</v>
      </c>
    </row>
    <row r="418" spans="1:19" s="693" customFormat="1" hidden="1" outlineLevel="2" x14ac:dyDescent="0.15">
      <c r="A418" s="630" t="str">
        <f t="shared" si="79"/>
        <v>AZI D12v2 (4vc) 24 core (2400 MHz) 28 GB</v>
      </c>
      <c r="B418" s="2036" t="s">
        <v>1629</v>
      </c>
      <c r="C418" s="2024">
        <v>24</v>
      </c>
      <c r="D418" s="52">
        <v>12</v>
      </c>
      <c r="E418" s="639">
        <v>2400</v>
      </c>
      <c r="F418" s="2011">
        <v>1042</v>
      </c>
      <c r="G418" s="2015">
        <f t="shared" si="77"/>
        <v>43.416666666666664</v>
      </c>
      <c r="H418" s="2603">
        <f t="shared" si="78"/>
        <v>2</v>
      </c>
      <c r="I418" s="647" t="s">
        <v>335</v>
      </c>
      <c r="J418" s="2643">
        <v>28</v>
      </c>
      <c r="K418" s="2899"/>
      <c r="L418" s="2160">
        <v>17134.560000000001</v>
      </c>
      <c r="M418" s="3054" t="str">
        <f t="shared" si="80"/>
        <v>4</v>
      </c>
      <c r="N418" s="986" t="s">
        <v>1624</v>
      </c>
      <c r="O418">
        <v>4</v>
      </c>
      <c r="P418" s="1305"/>
      <c r="Q418" s="3074">
        <f t="shared" si="75"/>
        <v>0.16666666666666666</v>
      </c>
      <c r="R418" s="3073">
        <f t="shared" si="76"/>
        <v>41.472636815920396</v>
      </c>
      <c r="S418" s="3073">
        <f t="shared" si="81"/>
        <v>32</v>
      </c>
    </row>
    <row r="419" spans="1:19" s="693" customFormat="1" hidden="1" outlineLevel="2" x14ac:dyDescent="0.15">
      <c r="A419" s="630" t="str">
        <f t="shared" si="79"/>
        <v>AZI D13v2 (8vc) 24 core (2400 MHz) 56 GB</v>
      </c>
      <c r="B419" s="2036" t="s">
        <v>1630</v>
      </c>
      <c r="C419" s="2024">
        <v>24</v>
      </c>
      <c r="D419" s="52">
        <v>12</v>
      </c>
      <c r="E419" s="639">
        <v>2400</v>
      </c>
      <c r="F419" s="2011">
        <v>1042</v>
      </c>
      <c r="G419" s="2015">
        <f t="shared" si="77"/>
        <v>43.416666666666664</v>
      </c>
      <c r="H419" s="2603">
        <f t="shared" si="78"/>
        <v>2</v>
      </c>
      <c r="I419" s="647" t="s">
        <v>335</v>
      </c>
      <c r="J419" s="2643">
        <v>56</v>
      </c>
      <c r="K419" s="2899"/>
      <c r="L419" s="2160">
        <v>30826.440000000002</v>
      </c>
      <c r="M419" s="3054" t="str">
        <f t="shared" si="80"/>
        <v>8</v>
      </c>
      <c r="N419" s="986" t="s">
        <v>1625</v>
      </c>
      <c r="O419">
        <v>8</v>
      </c>
      <c r="P419" s="1305"/>
      <c r="Q419" s="3074">
        <f t="shared" si="75"/>
        <v>0.33333333333333331</v>
      </c>
      <c r="R419" s="3073">
        <f t="shared" si="76"/>
        <v>82.945273631840791</v>
      </c>
      <c r="S419" s="3073">
        <f t="shared" si="81"/>
        <v>64</v>
      </c>
    </row>
    <row r="420" spans="1:19" s="693" customFormat="1" hidden="1" outlineLevel="2" x14ac:dyDescent="0.15">
      <c r="A420" s="630" t="str">
        <f t="shared" si="79"/>
        <v>AZI D14v2 (16vc) 24 core (2400 MHz) 112 GB</v>
      </c>
      <c r="B420" s="2036" t="s">
        <v>1631</v>
      </c>
      <c r="C420" s="2024">
        <v>24</v>
      </c>
      <c r="D420" s="52">
        <v>12</v>
      </c>
      <c r="E420" s="639">
        <v>2400</v>
      </c>
      <c r="F420" s="2011">
        <v>1042</v>
      </c>
      <c r="G420" s="2015">
        <f t="shared" si="77"/>
        <v>43.416666666666664</v>
      </c>
      <c r="H420" s="2603">
        <f t="shared" si="78"/>
        <v>2</v>
      </c>
      <c r="I420" s="647" t="s">
        <v>335</v>
      </c>
      <c r="J420" s="2643">
        <v>112</v>
      </c>
      <c r="K420" s="2899"/>
      <c r="L420" s="2160">
        <v>55477.080000000009</v>
      </c>
      <c r="M420" s="3054" t="str">
        <f t="shared" si="80"/>
        <v>16</v>
      </c>
      <c r="N420" s="986" t="s">
        <v>1626</v>
      </c>
      <c r="O420">
        <v>16</v>
      </c>
      <c r="P420" s="1305"/>
      <c r="Q420" s="3074">
        <f t="shared" si="75"/>
        <v>0.66666666666666663</v>
      </c>
      <c r="R420" s="3073">
        <f t="shared" si="76"/>
        <v>165.89054726368158</v>
      </c>
      <c r="S420" s="3073">
        <f t="shared" si="81"/>
        <v>128</v>
      </c>
    </row>
    <row r="421" spans="1:19" s="693" customFormat="1" hidden="1" outlineLevel="2" x14ac:dyDescent="0.15">
      <c r="A421" s="630" t="str">
        <f t="shared" si="79"/>
        <v>AZI D15v2 (20vc) 24 core (2400 MHz) 140 GB</v>
      </c>
      <c r="B421" s="2036" t="s">
        <v>1632</v>
      </c>
      <c r="C421" s="2024">
        <v>24</v>
      </c>
      <c r="D421" s="52">
        <v>12</v>
      </c>
      <c r="E421" s="639">
        <v>2400</v>
      </c>
      <c r="F421" s="2011">
        <v>1042</v>
      </c>
      <c r="G421" s="2015">
        <f t="shared" si="77"/>
        <v>43.416666666666664</v>
      </c>
      <c r="H421" s="2603">
        <f t="shared" si="78"/>
        <v>2</v>
      </c>
      <c r="I421" s="647" t="s">
        <v>335</v>
      </c>
      <c r="J421" s="2643">
        <v>140</v>
      </c>
      <c r="K421" s="2899"/>
      <c r="L421" s="2160">
        <v>69352.92</v>
      </c>
      <c r="M421" s="3054" t="str">
        <f t="shared" si="80"/>
        <v>20</v>
      </c>
      <c r="N421" s="986" t="s">
        <v>1627</v>
      </c>
      <c r="O421">
        <v>20</v>
      </c>
      <c r="P421" s="1305"/>
      <c r="Q421" s="3074">
        <f t="shared" si="75"/>
        <v>0.83333333333333337</v>
      </c>
      <c r="R421" s="3073">
        <f t="shared" si="76"/>
        <v>207.36318407960201</v>
      </c>
      <c r="S421" s="3073">
        <f t="shared" si="81"/>
        <v>160</v>
      </c>
    </row>
    <row r="422" spans="1:19" hidden="1" outlineLevel="1" collapsed="1" x14ac:dyDescent="0.15">
      <c r="A422" s="3057" t="s">
        <v>1697</v>
      </c>
      <c r="B422" s="3058"/>
      <c r="C422" s="3059"/>
      <c r="D422" s="3059"/>
      <c r="E422" s="3060"/>
      <c r="F422" s="3058"/>
      <c r="G422" s="3058"/>
      <c r="H422" s="3058"/>
      <c r="I422" s="3058"/>
      <c r="J422" s="3061"/>
      <c r="K422" s="3062"/>
      <c r="L422" s="3063"/>
      <c r="M422" s="3061"/>
      <c r="N422" s="1152"/>
      <c r="O422" s="1152"/>
      <c r="Q422" s="3074"/>
      <c r="R422" s="3073"/>
    </row>
    <row r="423" spans="1:19" s="693" customFormat="1" hidden="1" outlineLevel="2" x14ac:dyDescent="0.15">
      <c r="A423" s="630" t="str">
        <f t="shared" si="79"/>
        <v>AZI G1 (2vc) 24 core (2400 MHz) 28 GB</v>
      </c>
      <c r="B423" s="2036" t="s">
        <v>1655</v>
      </c>
      <c r="C423" s="2024">
        <v>24</v>
      </c>
      <c r="D423" s="52">
        <v>12</v>
      </c>
      <c r="E423" s="639">
        <v>2400</v>
      </c>
      <c r="F423" s="2011">
        <v>1042</v>
      </c>
      <c r="G423" s="2015">
        <f t="shared" si="77"/>
        <v>43.416666666666664</v>
      </c>
      <c r="H423" s="2603">
        <f t="shared" si="78"/>
        <v>2</v>
      </c>
      <c r="I423" s="647" t="s">
        <v>335</v>
      </c>
      <c r="J423" s="2643">
        <v>28</v>
      </c>
      <c r="K423" s="2899"/>
      <c r="L423" s="2900">
        <v>16030.8</v>
      </c>
      <c r="M423" s="3054" t="str">
        <f t="shared" si="80"/>
        <v>2</v>
      </c>
      <c r="N423" s="986" t="s">
        <v>1633</v>
      </c>
      <c r="O423">
        <v>2</v>
      </c>
      <c r="P423" s="1305"/>
      <c r="Q423" s="3074">
        <f t="shared" si="75"/>
        <v>8.3333333333333329E-2</v>
      </c>
      <c r="R423" s="3073">
        <f t="shared" si="76"/>
        <v>20.736318407960198</v>
      </c>
      <c r="S423" s="3073">
        <f>8*M423</f>
        <v>16</v>
      </c>
    </row>
    <row r="424" spans="1:19" s="693" customFormat="1" hidden="1" outlineLevel="2" x14ac:dyDescent="0.15">
      <c r="A424" s="630" t="str">
        <f t="shared" si="79"/>
        <v>AZI G2 (4vc) 24 core (2400 MHz) 56 GB</v>
      </c>
      <c r="B424" s="2036" t="s">
        <v>1656</v>
      </c>
      <c r="C424" s="2024">
        <v>24</v>
      </c>
      <c r="D424" s="52">
        <v>12</v>
      </c>
      <c r="E424" s="639">
        <v>2400</v>
      </c>
      <c r="F424" s="2011">
        <v>1042</v>
      </c>
      <c r="G424" s="2015">
        <f t="shared" si="77"/>
        <v>43.416666666666664</v>
      </c>
      <c r="H424" s="2603">
        <f t="shared" si="78"/>
        <v>2</v>
      </c>
      <c r="I424" s="647" t="s">
        <v>335</v>
      </c>
      <c r="J424" s="2643">
        <v>56</v>
      </c>
      <c r="K424" s="2899"/>
      <c r="L424" s="2900">
        <v>32061.599999999999</v>
      </c>
      <c r="M424" s="3054" t="str">
        <f t="shared" si="80"/>
        <v>4</v>
      </c>
      <c r="N424" s="986" t="s">
        <v>1634</v>
      </c>
      <c r="O424">
        <v>4</v>
      </c>
      <c r="P424" s="1305"/>
      <c r="Q424" s="3074">
        <f t="shared" si="75"/>
        <v>0.16666666666666666</v>
      </c>
      <c r="R424" s="3073">
        <f t="shared" si="76"/>
        <v>41.472636815920396</v>
      </c>
      <c r="S424" s="3073">
        <f>8*M424</f>
        <v>32</v>
      </c>
    </row>
    <row r="425" spans="1:19" s="693" customFormat="1" hidden="1" outlineLevel="2" x14ac:dyDescent="0.15">
      <c r="A425" s="630" t="str">
        <f t="shared" si="79"/>
        <v>AZI G3 (8vc) 24 core (2400 MHz) 112 GB</v>
      </c>
      <c r="B425" s="2036" t="s">
        <v>1657</v>
      </c>
      <c r="C425" s="2024">
        <v>24</v>
      </c>
      <c r="D425" s="52">
        <v>12</v>
      </c>
      <c r="E425" s="639">
        <v>2400</v>
      </c>
      <c r="F425" s="2011">
        <v>1042</v>
      </c>
      <c r="G425" s="2015">
        <f t="shared" si="77"/>
        <v>43.416666666666664</v>
      </c>
      <c r="H425" s="2603">
        <f t="shared" si="78"/>
        <v>2</v>
      </c>
      <c r="I425" s="647" t="s">
        <v>335</v>
      </c>
      <c r="J425" s="2643">
        <v>112</v>
      </c>
      <c r="K425" s="2899"/>
      <c r="L425" s="2900">
        <v>64123.199999999997</v>
      </c>
      <c r="M425" s="3054" t="str">
        <f t="shared" si="80"/>
        <v>8</v>
      </c>
      <c r="N425" s="986" t="s">
        <v>546</v>
      </c>
      <c r="O425">
        <v>8</v>
      </c>
      <c r="P425" s="1305"/>
      <c r="Q425" s="3074">
        <f t="shared" si="75"/>
        <v>0.33333333333333331</v>
      </c>
      <c r="R425" s="3073">
        <f t="shared" si="76"/>
        <v>82.945273631840791</v>
      </c>
      <c r="S425" s="3073">
        <f>8*M425</f>
        <v>64</v>
      </c>
    </row>
    <row r="426" spans="1:19" s="693" customFormat="1" hidden="1" outlineLevel="2" x14ac:dyDescent="0.15">
      <c r="A426" s="630" t="str">
        <f t="shared" si="79"/>
        <v>AZI G4 (16vc) 24 core (2400 MHz) 224 GB</v>
      </c>
      <c r="B426" s="2036" t="s">
        <v>1658</v>
      </c>
      <c r="C426" s="2024">
        <v>24</v>
      </c>
      <c r="D426" s="52">
        <v>12</v>
      </c>
      <c r="E426" s="639">
        <v>2400</v>
      </c>
      <c r="F426" s="2011">
        <v>1042</v>
      </c>
      <c r="G426" s="2015">
        <f t="shared" si="77"/>
        <v>43.416666666666664</v>
      </c>
      <c r="H426" s="2603">
        <f t="shared" si="78"/>
        <v>2</v>
      </c>
      <c r="I426" s="647" t="s">
        <v>335</v>
      </c>
      <c r="J426" s="2643">
        <v>224</v>
      </c>
      <c r="K426" s="2899"/>
      <c r="L426" s="2900">
        <v>128246.39999999999</v>
      </c>
      <c r="M426" s="3054" t="str">
        <f t="shared" si="80"/>
        <v>16</v>
      </c>
      <c r="N426" s="986" t="s">
        <v>1635</v>
      </c>
      <c r="O426">
        <v>16</v>
      </c>
      <c r="P426" s="1305"/>
      <c r="Q426" s="3074">
        <f t="shared" si="75"/>
        <v>0.66666666666666663</v>
      </c>
      <c r="R426" s="3073">
        <f t="shared" si="76"/>
        <v>165.89054726368158</v>
      </c>
      <c r="S426" s="3073">
        <f>8*M426</f>
        <v>128</v>
      </c>
    </row>
    <row r="427" spans="1:19" s="693" customFormat="1" hidden="1" outlineLevel="2" x14ac:dyDescent="0.15">
      <c r="A427" s="630" t="str">
        <f t="shared" si="79"/>
        <v>AZI G5 (32vc) 24 core (2400 MHz) 448 GB</v>
      </c>
      <c r="B427" s="2036" t="s">
        <v>1659</v>
      </c>
      <c r="C427" s="2024">
        <v>24</v>
      </c>
      <c r="D427" s="52">
        <v>12</v>
      </c>
      <c r="E427" s="639">
        <v>2400</v>
      </c>
      <c r="F427" s="2011">
        <v>1042</v>
      </c>
      <c r="G427" s="2015">
        <f t="shared" si="77"/>
        <v>43.416666666666664</v>
      </c>
      <c r="H427" s="2603">
        <f t="shared" si="78"/>
        <v>2</v>
      </c>
      <c r="I427" s="647" t="s">
        <v>335</v>
      </c>
      <c r="J427" s="2643">
        <v>448</v>
      </c>
      <c r="K427" s="2899"/>
      <c r="L427" s="2900">
        <v>230738.4</v>
      </c>
      <c r="M427" s="3054" t="str">
        <f t="shared" si="80"/>
        <v>32</v>
      </c>
      <c r="N427" s="986" t="s">
        <v>1636</v>
      </c>
      <c r="O427">
        <v>32</v>
      </c>
      <c r="P427" s="1305"/>
      <c r="Q427" s="3074">
        <f t="shared" si="75"/>
        <v>1.3333333333333333</v>
      </c>
      <c r="R427" s="3073">
        <f t="shared" si="76"/>
        <v>331.78109452736317</v>
      </c>
      <c r="S427" s="3073">
        <f>8*M427</f>
        <v>256</v>
      </c>
    </row>
    <row r="428" spans="1:19" hidden="1" outlineLevel="1" collapsed="1" x14ac:dyDescent="0.15">
      <c r="A428" s="3057" t="s">
        <v>1653</v>
      </c>
      <c r="B428" s="3058"/>
      <c r="C428" s="3059"/>
      <c r="D428" s="3059"/>
      <c r="E428" s="3060"/>
      <c r="F428" s="3058"/>
      <c r="G428" s="3058"/>
      <c r="H428" s="3058"/>
      <c r="I428" s="3058"/>
      <c r="J428" s="3061"/>
      <c r="K428" s="3062"/>
      <c r="L428" s="3063"/>
      <c r="M428" s="3061"/>
      <c r="N428" s="1152"/>
      <c r="O428" s="1152"/>
      <c r="Q428" s="3074"/>
      <c r="R428" s="3073"/>
    </row>
    <row r="429" spans="1:19" s="693" customFormat="1" hidden="1" outlineLevel="2" x14ac:dyDescent="0.15">
      <c r="A429" s="630" t="str">
        <f t="shared" ref="A429:A435" si="82">CONCATENATE(B429," ",C429," core (",E429," MHz) ",J429," GB")</f>
        <v>AZI NC6 (6vc) 24 core (2400 MHz) 56 GB</v>
      </c>
      <c r="B429" s="2036" t="s">
        <v>1660</v>
      </c>
      <c r="C429" s="2024">
        <v>24</v>
      </c>
      <c r="D429" s="52">
        <v>12</v>
      </c>
      <c r="E429" s="639">
        <v>2400</v>
      </c>
      <c r="F429" s="2011">
        <v>1042</v>
      </c>
      <c r="G429" s="2015">
        <f t="shared" ref="G429:G435" si="83">IF(F429=0,"",F429/C429)</f>
        <v>43.416666666666664</v>
      </c>
      <c r="H429" s="2603">
        <f t="shared" ref="H429:H435" si="84">IF(C429=0,"",C429/D429)</f>
        <v>2</v>
      </c>
      <c r="I429" s="647" t="s">
        <v>335</v>
      </c>
      <c r="J429" s="2643">
        <v>56</v>
      </c>
      <c r="K429" s="2899"/>
      <c r="L429" s="2900">
        <v>28487.52</v>
      </c>
      <c r="M429" s="3054" t="str">
        <f t="shared" ref="M429:M435" si="85">MID(B429, FIND("(",B429,1)+1, FIND(")",B429,1)- FIND("(",B429,1)-3)</f>
        <v>6</v>
      </c>
      <c r="N429" s="986" t="s">
        <v>1637</v>
      </c>
      <c r="O429">
        <v>6</v>
      </c>
      <c r="P429" s="1305"/>
      <c r="Q429" s="3074">
        <f t="shared" si="75"/>
        <v>0.25</v>
      </c>
      <c r="R429" s="3073">
        <f>Q429*4*0.8*F429/13.4</f>
        <v>62.208955223880594</v>
      </c>
      <c r="S429" s="3073">
        <f t="shared" ref="S429:S435" si="86">8*M429</f>
        <v>48</v>
      </c>
    </row>
    <row r="430" spans="1:19" s="693" customFormat="1" hidden="1" outlineLevel="2" x14ac:dyDescent="0.15">
      <c r="A430" s="630" t="str">
        <f t="shared" si="82"/>
        <v>AZI NC12 (12vc) 24 core (2400 MHz) 112 GB</v>
      </c>
      <c r="B430" s="2036" t="s">
        <v>1661</v>
      </c>
      <c r="C430" s="2024">
        <v>24</v>
      </c>
      <c r="D430" s="52">
        <v>12</v>
      </c>
      <c r="E430" s="639">
        <v>2400</v>
      </c>
      <c r="F430" s="2011">
        <v>1042</v>
      </c>
      <c r="G430" s="2015">
        <f t="shared" si="83"/>
        <v>43.416666666666664</v>
      </c>
      <c r="H430" s="2603">
        <f t="shared" si="84"/>
        <v>2</v>
      </c>
      <c r="I430" s="647" t="s">
        <v>335</v>
      </c>
      <c r="J430" s="2643">
        <v>112</v>
      </c>
      <c r="K430" s="2899"/>
      <c r="L430" s="2900">
        <v>56975.040000000001</v>
      </c>
      <c r="M430" s="3054" t="str">
        <f t="shared" si="85"/>
        <v>12</v>
      </c>
      <c r="N430" s="986" t="s">
        <v>1638</v>
      </c>
      <c r="O430">
        <v>12</v>
      </c>
      <c r="P430" s="1305"/>
      <c r="Q430" s="3074">
        <f t="shared" si="75"/>
        <v>0.5</v>
      </c>
      <c r="R430" s="3073">
        <f t="shared" si="76"/>
        <v>124.41791044776119</v>
      </c>
      <c r="S430" s="3073">
        <f t="shared" si="86"/>
        <v>96</v>
      </c>
    </row>
    <row r="431" spans="1:19" s="693" customFormat="1" hidden="1" outlineLevel="2" x14ac:dyDescent="0.15">
      <c r="A431" s="630" t="str">
        <f t="shared" si="82"/>
        <v>AZI NC24 (24vc) 24 core (2400 MHz) 224 GB</v>
      </c>
      <c r="B431" s="2036" t="s">
        <v>1662</v>
      </c>
      <c r="C431" s="2024">
        <v>24</v>
      </c>
      <c r="D431" s="52">
        <v>12</v>
      </c>
      <c r="E431" s="639">
        <v>2400</v>
      </c>
      <c r="F431" s="2011">
        <v>1042</v>
      </c>
      <c r="G431" s="2015">
        <f t="shared" si="83"/>
        <v>43.416666666666664</v>
      </c>
      <c r="H431" s="2603">
        <f t="shared" si="84"/>
        <v>2</v>
      </c>
      <c r="I431" s="647" t="s">
        <v>335</v>
      </c>
      <c r="J431" s="2643">
        <v>224</v>
      </c>
      <c r="K431" s="2899"/>
      <c r="L431" s="2900">
        <v>113950.08</v>
      </c>
      <c r="M431" s="3054" t="str">
        <f t="shared" si="85"/>
        <v>24</v>
      </c>
      <c r="N431" s="986" t="s">
        <v>1639</v>
      </c>
      <c r="O431">
        <v>24</v>
      </c>
      <c r="P431" s="1305"/>
      <c r="Q431" s="3074">
        <f t="shared" si="75"/>
        <v>1</v>
      </c>
      <c r="R431" s="3073">
        <f t="shared" si="76"/>
        <v>248.83582089552237</v>
      </c>
      <c r="S431" s="3073">
        <f t="shared" si="86"/>
        <v>192</v>
      </c>
    </row>
    <row r="432" spans="1:19" s="693" customFormat="1" hidden="1" outlineLevel="2" x14ac:dyDescent="0.15">
      <c r="A432" s="630" t="str">
        <f t="shared" si="82"/>
        <v>AZI NC24r (24vc) 24 core (2400 MHz) 224 GB</v>
      </c>
      <c r="B432" s="2036" t="s">
        <v>1663</v>
      </c>
      <c r="C432" s="2024">
        <v>24</v>
      </c>
      <c r="D432" s="52">
        <v>12</v>
      </c>
      <c r="E432" s="639">
        <v>2400</v>
      </c>
      <c r="F432" s="2011">
        <v>1042</v>
      </c>
      <c r="G432" s="2015">
        <f t="shared" si="83"/>
        <v>43.416666666666664</v>
      </c>
      <c r="H432" s="2603">
        <f t="shared" si="84"/>
        <v>2</v>
      </c>
      <c r="I432" s="647" t="s">
        <v>335</v>
      </c>
      <c r="J432" s="2643">
        <v>224</v>
      </c>
      <c r="K432" s="2899"/>
      <c r="L432" s="2900">
        <v>125355.59999999999</v>
      </c>
      <c r="M432" s="3054" t="str">
        <f t="shared" si="85"/>
        <v>24</v>
      </c>
      <c r="N432" s="986" t="s">
        <v>1640</v>
      </c>
      <c r="O432">
        <v>24</v>
      </c>
      <c r="P432" s="1305"/>
      <c r="Q432" s="3074">
        <f t="shared" si="75"/>
        <v>1</v>
      </c>
      <c r="R432" s="3073">
        <f t="shared" si="76"/>
        <v>248.83582089552237</v>
      </c>
      <c r="S432" s="3073">
        <f t="shared" si="86"/>
        <v>192</v>
      </c>
    </row>
    <row r="433" spans="1:19" s="693" customFormat="1" hidden="1" outlineLevel="2" x14ac:dyDescent="0.15">
      <c r="A433" s="630" t="str">
        <f t="shared" si="82"/>
        <v>AZI NV6 (6vc) 24 core (2400 MHz) 56 GB</v>
      </c>
      <c r="B433" s="2036" t="s">
        <v>1664</v>
      </c>
      <c r="C433" s="2024">
        <v>24</v>
      </c>
      <c r="D433" s="52">
        <v>12</v>
      </c>
      <c r="E433" s="639">
        <v>2400</v>
      </c>
      <c r="F433" s="2011">
        <v>1042</v>
      </c>
      <c r="G433" s="2015">
        <f t="shared" si="83"/>
        <v>43.416666666666664</v>
      </c>
      <c r="H433" s="2603">
        <f t="shared" si="84"/>
        <v>2</v>
      </c>
      <c r="I433" s="647" t="s">
        <v>335</v>
      </c>
      <c r="J433" s="2643">
        <v>56</v>
      </c>
      <c r="K433" s="2899"/>
      <c r="L433" s="2900">
        <v>37843.199999999997</v>
      </c>
      <c r="M433" s="3054" t="str">
        <f t="shared" si="85"/>
        <v>6</v>
      </c>
      <c r="N433" s="986" t="s">
        <v>1641</v>
      </c>
      <c r="O433">
        <v>6</v>
      </c>
      <c r="P433" s="1305"/>
      <c r="Q433" s="3074">
        <f t="shared" si="75"/>
        <v>0.25</v>
      </c>
      <c r="R433" s="3073">
        <f t="shared" si="76"/>
        <v>62.208955223880594</v>
      </c>
      <c r="S433" s="3073">
        <f t="shared" si="86"/>
        <v>48</v>
      </c>
    </row>
    <row r="434" spans="1:19" s="693" customFormat="1" hidden="1" outlineLevel="2" x14ac:dyDescent="0.15">
      <c r="A434" s="630" t="str">
        <f t="shared" si="82"/>
        <v>AZI NV12 (12vc) 24 core (2400 MHz) 112 GB</v>
      </c>
      <c r="B434" s="2036" t="s">
        <v>1665</v>
      </c>
      <c r="C434" s="2024">
        <v>24</v>
      </c>
      <c r="D434" s="52">
        <v>12</v>
      </c>
      <c r="E434" s="639">
        <v>2400</v>
      </c>
      <c r="F434" s="2011">
        <v>1042</v>
      </c>
      <c r="G434" s="2015">
        <f t="shared" si="83"/>
        <v>43.416666666666664</v>
      </c>
      <c r="H434" s="2603">
        <f t="shared" si="84"/>
        <v>2</v>
      </c>
      <c r="I434" s="647" t="s">
        <v>335</v>
      </c>
      <c r="J434" s="2643">
        <v>112</v>
      </c>
      <c r="K434" s="2899"/>
      <c r="L434" s="2900">
        <v>75686.399999999994</v>
      </c>
      <c r="M434" s="3054" t="str">
        <f t="shared" si="85"/>
        <v>12</v>
      </c>
      <c r="N434" s="986" t="s">
        <v>1642</v>
      </c>
      <c r="O434">
        <v>12</v>
      </c>
      <c r="P434" s="1305"/>
      <c r="Q434" s="3074">
        <f t="shared" si="75"/>
        <v>0.5</v>
      </c>
      <c r="R434" s="3073">
        <f t="shared" si="76"/>
        <v>124.41791044776119</v>
      </c>
      <c r="S434" s="3073">
        <f t="shared" si="86"/>
        <v>96</v>
      </c>
    </row>
    <row r="435" spans="1:19" s="693" customFormat="1" hidden="1" outlineLevel="2" x14ac:dyDescent="0.15">
      <c r="A435" s="630" t="str">
        <f t="shared" si="82"/>
        <v>AZI NV24 (24vc) 24 core (2400 MHz) 224 GB</v>
      </c>
      <c r="B435" s="2036" t="s">
        <v>1666</v>
      </c>
      <c r="C435" s="2024">
        <v>24</v>
      </c>
      <c r="D435" s="52">
        <v>12</v>
      </c>
      <c r="E435" s="639">
        <v>2400</v>
      </c>
      <c r="F435" s="2011">
        <v>1042</v>
      </c>
      <c r="G435" s="2015">
        <f t="shared" si="83"/>
        <v>43.416666666666664</v>
      </c>
      <c r="H435" s="2603">
        <f t="shared" si="84"/>
        <v>2</v>
      </c>
      <c r="I435" s="647" t="s">
        <v>335</v>
      </c>
      <c r="J435" s="2643">
        <v>224</v>
      </c>
      <c r="K435" s="2899"/>
      <c r="L435" s="2900">
        <v>151635.59999999998</v>
      </c>
      <c r="M435" s="3054" t="str">
        <f t="shared" si="85"/>
        <v>24</v>
      </c>
      <c r="N435" s="986" t="s">
        <v>1643</v>
      </c>
      <c r="O435">
        <v>24</v>
      </c>
      <c r="P435" s="1305"/>
      <c r="Q435" s="3074">
        <f t="shared" si="75"/>
        <v>1</v>
      </c>
      <c r="R435" s="3073">
        <f t="shared" si="76"/>
        <v>248.83582089552237</v>
      </c>
      <c r="S435" s="3073">
        <f t="shared" si="86"/>
        <v>192</v>
      </c>
    </row>
    <row r="436" spans="1:19" hidden="1" outlineLevel="1" collapsed="1" x14ac:dyDescent="0.15">
      <c r="A436" s="3057" t="s">
        <v>1654</v>
      </c>
      <c r="B436" s="3058"/>
      <c r="C436" s="3059"/>
      <c r="D436" s="3059"/>
      <c r="E436" s="3060"/>
      <c r="F436" s="3058"/>
      <c r="G436" s="3058"/>
      <c r="H436" s="3058"/>
      <c r="I436" s="3058"/>
      <c r="J436" s="3061"/>
      <c r="K436" s="3062"/>
      <c r="L436" s="3063"/>
      <c r="M436" s="3061"/>
      <c r="N436" s="1152"/>
      <c r="O436" s="1152"/>
      <c r="Q436" s="3074"/>
      <c r="R436" s="3073"/>
    </row>
    <row r="437" spans="1:19" s="693" customFormat="1" hidden="1" outlineLevel="2" x14ac:dyDescent="0.15">
      <c r="A437" s="630" t="str">
        <f t="shared" ref="A437:A442" si="87">CONCATENATE(B437," ",C437," core (",E437," MHz) ",J437," GB")</f>
        <v>AZI H8 (8vc) 24 core (2400 MHz) 56 GB</v>
      </c>
      <c r="B437" s="2036" t="s">
        <v>1667</v>
      </c>
      <c r="C437" s="2024">
        <v>24</v>
      </c>
      <c r="D437" s="52">
        <v>12</v>
      </c>
      <c r="E437" s="639">
        <v>2400</v>
      </c>
      <c r="F437" s="2011">
        <v>1042</v>
      </c>
      <c r="G437" s="2015">
        <f t="shared" ref="G437:G442" si="88">IF(F437=0,"",F437/C437)</f>
        <v>43.416666666666664</v>
      </c>
      <c r="H437" s="2603">
        <f t="shared" ref="H437:H442" si="89">IF(C437=0,"",C437/D437)</f>
        <v>2</v>
      </c>
      <c r="I437" s="647" t="s">
        <v>335</v>
      </c>
      <c r="J437" s="2643">
        <v>56</v>
      </c>
      <c r="K437" s="2899"/>
      <c r="L437" s="2900">
        <v>46095.12</v>
      </c>
      <c r="M437" s="3054" t="str">
        <f t="shared" ref="M437:M442" si="90">MID(B437, FIND("(",B437,1)+1, FIND(")",B437,1)- FIND("(",B437,1)-3)</f>
        <v>8</v>
      </c>
      <c r="N437" s="986" t="s">
        <v>1644</v>
      </c>
      <c r="O437">
        <v>8</v>
      </c>
      <c r="P437" s="1305"/>
      <c r="Q437" s="3074">
        <f t="shared" si="75"/>
        <v>0.33333333333333331</v>
      </c>
      <c r="R437" s="3073">
        <f t="shared" si="76"/>
        <v>82.945273631840791</v>
      </c>
      <c r="S437" s="3073">
        <f t="shared" ref="S437:S442" si="91">8*M437</f>
        <v>64</v>
      </c>
    </row>
    <row r="438" spans="1:19" s="693" customFormat="1" hidden="1" outlineLevel="2" x14ac:dyDescent="0.15">
      <c r="A438" s="630" t="str">
        <f t="shared" si="87"/>
        <v>AZI H16 (16vc) 24 core (2400 MHz) 112 GB</v>
      </c>
      <c r="B438" s="2036" t="s">
        <v>1668</v>
      </c>
      <c r="C438" s="2024">
        <v>24</v>
      </c>
      <c r="D438" s="52">
        <v>12</v>
      </c>
      <c r="E438" s="639">
        <v>2400</v>
      </c>
      <c r="F438" s="2011">
        <v>1042</v>
      </c>
      <c r="G438" s="2015">
        <f t="shared" si="88"/>
        <v>43.416666666666664</v>
      </c>
      <c r="H438" s="2603">
        <f t="shared" si="89"/>
        <v>2</v>
      </c>
      <c r="I438" s="647" t="s">
        <v>335</v>
      </c>
      <c r="J438" s="2643">
        <v>112</v>
      </c>
      <c r="K438" s="2899"/>
      <c r="L438" s="2900">
        <v>92190.24</v>
      </c>
      <c r="M438" s="3054" t="str">
        <f t="shared" si="90"/>
        <v>16</v>
      </c>
      <c r="N438" s="986" t="s">
        <v>1645</v>
      </c>
      <c r="O438">
        <v>16</v>
      </c>
      <c r="P438" s="1305"/>
      <c r="Q438" s="3074">
        <f t="shared" si="75"/>
        <v>0.66666666666666663</v>
      </c>
      <c r="R438" s="3073">
        <f t="shared" si="76"/>
        <v>165.89054726368158</v>
      </c>
      <c r="S438" s="3073">
        <f t="shared" si="91"/>
        <v>128</v>
      </c>
    </row>
    <row r="439" spans="1:19" s="693" customFormat="1" hidden="1" outlineLevel="2" x14ac:dyDescent="0.15">
      <c r="A439" s="630" t="str">
        <f t="shared" si="87"/>
        <v>AZI H8m (8vc) 24 core (2400 MHz) 112 GB</v>
      </c>
      <c r="B439" s="2036" t="s">
        <v>1669</v>
      </c>
      <c r="C439" s="2024">
        <v>24</v>
      </c>
      <c r="D439" s="52">
        <v>12</v>
      </c>
      <c r="E439" s="639">
        <v>2400</v>
      </c>
      <c r="F439" s="2011">
        <v>1042</v>
      </c>
      <c r="G439" s="2015">
        <f t="shared" si="88"/>
        <v>43.416666666666664</v>
      </c>
      <c r="H439" s="2603">
        <f t="shared" si="89"/>
        <v>2</v>
      </c>
      <c r="I439" s="647" t="s">
        <v>335</v>
      </c>
      <c r="J439" s="2643">
        <v>112</v>
      </c>
      <c r="K439" s="2899"/>
      <c r="L439" s="2900">
        <v>61758</v>
      </c>
      <c r="M439" s="3054" t="str">
        <f t="shared" si="90"/>
        <v>8</v>
      </c>
      <c r="N439" s="986" t="s">
        <v>1646</v>
      </c>
      <c r="O439">
        <v>8</v>
      </c>
      <c r="P439" s="1305"/>
      <c r="Q439" s="3074">
        <f>M439/C439</f>
        <v>0.33333333333333331</v>
      </c>
      <c r="R439" s="3073">
        <f t="shared" si="76"/>
        <v>82.945273631840791</v>
      </c>
      <c r="S439" s="3073">
        <f t="shared" si="91"/>
        <v>64</v>
      </c>
    </row>
    <row r="440" spans="1:19" s="693" customFormat="1" hidden="1" outlineLevel="2" x14ac:dyDescent="0.15">
      <c r="A440" s="630" t="str">
        <f t="shared" si="87"/>
        <v>AZI H16m (16vc) 24 core (2400 MHz) 224 GB</v>
      </c>
      <c r="B440" s="2036" t="s">
        <v>1670</v>
      </c>
      <c r="C440" s="2024">
        <v>24</v>
      </c>
      <c r="D440" s="52">
        <v>12</v>
      </c>
      <c r="E440" s="639">
        <v>2400</v>
      </c>
      <c r="F440" s="2011">
        <v>1042</v>
      </c>
      <c r="G440" s="2015">
        <f t="shared" si="88"/>
        <v>43.416666666666664</v>
      </c>
      <c r="H440" s="2603">
        <f t="shared" si="89"/>
        <v>2</v>
      </c>
      <c r="I440" s="647" t="s">
        <v>335</v>
      </c>
      <c r="J440" s="2643">
        <v>224</v>
      </c>
      <c r="K440" s="2899"/>
      <c r="L440" s="2900">
        <v>123489.72</v>
      </c>
      <c r="M440" s="3054" t="str">
        <f t="shared" si="90"/>
        <v>16</v>
      </c>
      <c r="N440" s="986" t="s">
        <v>1647</v>
      </c>
      <c r="O440">
        <v>16</v>
      </c>
      <c r="P440" s="1305"/>
      <c r="Q440" s="3074">
        <f t="shared" si="75"/>
        <v>0.66666666666666663</v>
      </c>
      <c r="R440" s="3073">
        <f t="shared" si="76"/>
        <v>165.89054726368158</v>
      </c>
      <c r="S440" s="3073">
        <f t="shared" si="91"/>
        <v>128</v>
      </c>
    </row>
    <row r="441" spans="1:19" s="693" customFormat="1" hidden="1" outlineLevel="2" x14ac:dyDescent="0.15">
      <c r="A441" s="630" t="str">
        <f t="shared" si="87"/>
        <v>AZI H16mr (16vc) 24 core (2400 MHz) 224 GB</v>
      </c>
      <c r="B441" s="2036" t="s">
        <v>1671</v>
      </c>
      <c r="C441" s="2024">
        <v>24</v>
      </c>
      <c r="D441" s="52">
        <v>12</v>
      </c>
      <c r="E441" s="639">
        <v>2400</v>
      </c>
      <c r="F441" s="2011">
        <v>1042</v>
      </c>
      <c r="G441" s="2015">
        <f t="shared" si="88"/>
        <v>43.416666666666664</v>
      </c>
      <c r="H441" s="2603">
        <f t="shared" si="89"/>
        <v>2</v>
      </c>
      <c r="I441" s="647" t="s">
        <v>335</v>
      </c>
      <c r="J441" s="2643">
        <v>224</v>
      </c>
      <c r="K441" s="2899"/>
      <c r="L441" s="2900">
        <v>135841.31999999998</v>
      </c>
      <c r="M441" s="3054" t="str">
        <f t="shared" si="90"/>
        <v>16</v>
      </c>
      <c r="N441" s="986" t="s">
        <v>1648</v>
      </c>
      <c r="O441">
        <v>16</v>
      </c>
      <c r="P441" s="1305"/>
      <c r="Q441" s="3074">
        <f t="shared" si="75"/>
        <v>0.66666666666666663</v>
      </c>
      <c r="R441" s="3073">
        <f t="shared" si="76"/>
        <v>165.89054726368158</v>
      </c>
      <c r="S441" s="3073">
        <f t="shared" si="91"/>
        <v>128</v>
      </c>
    </row>
    <row r="442" spans="1:19" s="693" customFormat="1" hidden="1" outlineLevel="2" x14ac:dyDescent="0.15">
      <c r="A442" s="630" t="str">
        <f t="shared" si="87"/>
        <v>AZI H16r (16vc) 24 core (2400 MHz) 112 GB</v>
      </c>
      <c r="B442" s="2036" t="s">
        <v>1672</v>
      </c>
      <c r="C442" s="2024">
        <v>24</v>
      </c>
      <c r="D442" s="52">
        <v>12</v>
      </c>
      <c r="E442" s="639">
        <v>2400</v>
      </c>
      <c r="F442" s="2011">
        <v>1042</v>
      </c>
      <c r="G442" s="2015">
        <f t="shared" si="88"/>
        <v>43.416666666666664</v>
      </c>
      <c r="H442" s="2603">
        <f t="shared" si="89"/>
        <v>2</v>
      </c>
      <c r="I442" s="647" t="s">
        <v>335</v>
      </c>
      <c r="J442" s="2643">
        <v>112</v>
      </c>
      <c r="K442" s="2899"/>
      <c r="L442" s="2900">
        <v>101414.52</v>
      </c>
      <c r="M442" s="3054" t="str">
        <f t="shared" si="90"/>
        <v>16</v>
      </c>
      <c r="N442" s="986" t="s">
        <v>1649</v>
      </c>
      <c r="O442">
        <v>16</v>
      </c>
      <c r="P442" s="1305"/>
      <c r="Q442" s="3074">
        <f t="shared" si="75"/>
        <v>0.66666666666666663</v>
      </c>
      <c r="R442" s="3073">
        <f t="shared" si="76"/>
        <v>165.89054726368158</v>
      </c>
      <c r="S442" s="3073">
        <f t="shared" si="91"/>
        <v>128</v>
      </c>
    </row>
    <row r="443" spans="1:19" hidden="1" outlineLevel="1" collapsed="1" x14ac:dyDescent="0.15">
      <c r="A443" s="628" t="s">
        <v>1700</v>
      </c>
      <c r="B443" s="659" t="str">
        <f>A443</f>
        <v xml:space="preserve"> ==== 2017 AZIDB AzureSQL Platforms ====</v>
      </c>
      <c r="C443" s="656"/>
      <c r="D443" s="2022"/>
      <c r="E443" s="2905"/>
      <c r="F443" s="2906">
        <v>12</v>
      </c>
      <c r="G443" s="2017"/>
      <c r="H443" s="2606"/>
      <c r="I443" s="645"/>
      <c r="J443" s="673"/>
      <c r="K443" s="2897"/>
      <c r="L443" s="2898"/>
      <c r="M443" s="673"/>
      <c r="N443" s="1152"/>
      <c r="O443" s="1152"/>
      <c r="Q443" s="2651" t="s">
        <v>1723</v>
      </c>
      <c r="R443" s="31" t="s">
        <v>1699</v>
      </c>
    </row>
    <row r="444" spans="1:19" hidden="1" outlineLevel="1" x14ac:dyDescent="0.15">
      <c r="A444" s="3057" t="s">
        <v>1701</v>
      </c>
      <c r="B444" s="3058"/>
      <c r="C444" s="3059"/>
      <c r="D444" s="3059"/>
      <c r="E444" s="3060"/>
      <c r="F444" s="3058"/>
      <c r="G444" s="3058"/>
      <c r="H444" s="3058"/>
      <c r="I444" s="3058"/>
      <c r="J444" s="3061"/>
      <c r="K444" s="3062"/>
      <c r="L444" s="3063"/>
      <c r="M444" s="3061"/>
      <c r="N444" s="1152"/>
      <c r="O444" s="1152"/>
      <c r="Q444" s="2651"/>
    </row>
    <row r="445" spans="1:19" s="693" customFormat="1" hidden="1" outlineLevel="2" x14ac:dyDescent="0.15">
      <c r="A445" s="630" t="str">
        <f>CONCATENATE(B445," ",C445," core (",E445," MHz) ",J445," GB")</f>
        <v>AZISQL S0 (1vc) 24 core (2400 MHz) 4 GB</v>
      </c>
      <c r="B445" s="2036" t="s">
        <v>1706</v>
      </c>
      <c r="C445" s="2024">
        <v>24</v>
      </c>
      <c r="D445" s="52">
        <v>12</v>
      </c>
      <c r="E445" s="639">
        <v>2400</v>
      </c>
      <c r="F445" s="2011">
        <v>1042</v>
      </c>
      <c r="G445" s="2015">
        <f>IF(F445=0,"",F445/C445)</f>
        <v>43.416666666666664</v>
      </c>
      <c r="H445" s="2603">
        <f>IF(C445=0,"",C445/D445)</f>
        <v>2</v>
      </c>
      <c r="I445" s="647" t="s">
        <v>335</v>
      </c>
      <c r="J445" s="2643">
        <v>4</v>
      </c>
      <c r="K445" s="2899"/>
      <c r="L445" s="2900">
        <v>531</v>
      </c>
      <c r="M445" s="3054" t="str">
        <f>MID(B445, FIND("(",B445,1)+1, FIND(")",B445,1)- FIND("(",B445,1)-3)</f>
        <v>1</v>
      </c>
      <c r="N445" s="986" t="s">
        <v>1705</v>
      </c>
      <c r="O445">
        <v>8</v>
      </c>
      <c r="P445" s="1305"/>
      <c r="Q445" s="3074">
        <f>M445/C445</f>
        <v>4.1666666666666664E-2</v>
      </c>
      <c r="R445" s="3073">
        <f>Q445*4*0.8*F445/13.4</f>
        <v>10.368159203980099</v>
      </c>
      <c r="S445" s="3073">
        <f>8*M445</f>
        <v>8</v>
      </c>
    </row>
    <row r="446" spans="1:19" s="693" customFormat="1" hidden="1" outlineLevel="2" x14ac:dyDescent="0.15">
      <c r="A446" s="630" t="str">
        <f>CONCATENATE(B446," ",C446," core (",E446," MHz) ",J446," GB")</f>
        <v>AZISQL S1 (1vc) 24 core (2400 MHz) 4 GB</v>
      </c>
      <c r="B446" s="2036" t="s">
        <v>1702</v>
      </c>
      <c r="C446" s="2024">
        <v>24</v>
      </c>
      <c r="D446" s="52">
        <v>12</v>
      </c>
      <c r="E446" s="639">
        <v>2400</v>
      </c>
      <c r="F446" s="2011">
        <v>1042</v>
      </c>
      <c r="G446" s="2015">
        <f>IF(F446=0,"",F446/C446)</f>
        <v>43.416666666666664</v>
      </c>
      <c r="H446" s="2603">
        <f>IF(C446=0,"",C446/D446)</f>
        <v>2</v>
      </c>
      <c r="I446" s="647" t="s">
        <v>335</v>
      </c>
      <c r="J446" s="2643">
        <v>4</v>
      </c>
      <c r="K446" s="2899"/>
      <c r="L446" s="2900">
        <v>41811.479999999996</v>
      </c>
      <c r="M446" s="3054" t="str">
        <f>MID(B446, FIND("(",B446,1)+1, FIND(")",B446,1)- FIND("(",B446,1)-3)</f>
        <v>1</v>
      </c>
      <c r="N446" s="986" t="s">
        <v>1714</v>
      </c>
      <c r="O446">
        <v>16</v>
      </c>
      <c r="P446" s="1305"/>
      <c r="Q446" s="3074">
        <f>M446/C446</f>
        <v>4.1666666666666664E-2</v>
      </c>
      <c r="R446" s="3073">
        <f>Q446*4*0.8*F446/13.4</f>
        <v>10.368159203980099</v>
      </c>
      <c r="S446" s="3073">
        <f>8*M446</f>
        <v>8</v>
      </c>
    </row>
    <row r="447" spans="1:19" s="693" customFormat="1" hidden="1" outlineLevel="2" x14ac:dyDescent="0.15">
      <c r="A447" s="630" t="str">
        <f>CONCATENATE(B447," ",C447," core (",E447," MHz) ",J447," GB")</f>
        <v>AZISQL S2 (1vc) 24 core (2400 MHz) 4 GB</v>
      </c>
      <c r="B447" s="2036" t="s">
        <v>1703</v>
      </c>
      <c r="C447" s="2024">
        <v>24</v>
      </c>
      <c r="D447" s="52">
        <v>12</v>
      </c>
      <c r="E447" s="639">
        <v>2400</v>
      </c>
      <c r="F447" s="2011">
        <v>1042</v>
      </c>
      <c r="G447" s="2015">
        <f>IF(F447=0,"",F447/C447)</f>
        <v>43.416666666666664</v>
      </c>
      <c r="H447" s="2603">
        <f>IF(C447=0,"",C447/D447)</f>
        <v>2</v>
      </c>
      <c r="I447" s="647" t="s">
        <v>335</v>
      </c>
      <c r="J447" s="2643">
        <v>4</v>
      </c>
      <c r="K447" s="2899"/>
      <c r="L447" s="2900">
        <v>28014.480000000003</v>
      </c>
      <c r="M447" s="3054" t="str">
        <f>MID(B447, FIND("(",B447,1)+1, FIND(")",B447,1)- FIND("(",B447,1)-3)</f>
        <v>1</v>
      </c>
      <c r="N447" s="986" t="s">
        <v>1715</v>
      </c>
      <c r="O447">
        <v>8</v>
      </c>
      <c r="P447" s="1305"/>
      <c r="Q447" s="3074">
        <f>M447/C447</f>
        <v>4.1666666666666664E-2</v>
      </c>
      <c r="R447" s="3073">
        <f>Q447*4*0.8*F447/13.4</f>
        <v>10.368159203980099</v>
      </c>
      <c r="S447" s="3073">
        <f>8*M447</f>
        <v>8</v>
      </c>
    </row>
    <row r="448" spans="1:19" s="693" customFormat="1" hidden="1" outlineLevel="2" x14ac:dyDescent="0.15">
      <c r="A448" s="630" t="str">
        <f>CONCATENATE(B448," ",C448," core (",E448," MHz) ",J448," GB")</f>
        <v>AZISQL S3 (1vc) 24 core (2400 MHz) 4 GB</v>
      </c>
      <c r="B448" s="2036" t="s">
        <v>1704</v>
      </c>
      <c r="C448" s="2024">
        <v>24</v>
      </c>
      <c r="D448" s="52">
        <v>12</v>
      </c>
      <c r="E448" s="639">
        <v>2400</v>
      </c>
      <c r="F448" s="2011">
        <v>1042</v>
      </c>
      <c r="G448" s="2015">
        <f>IF(F448=0,"",F448/C448)</f>
        <v>43.416666666666664</v>
      </c>
      <c r="H448" s="2603">
        <f>IF(C448=0,"",C448/D448)</f>
        <v>2</v>
      </c>
      <c r="I448" s="647" t="s">
        <v>335</v>
      </c>
      <c r="J448" s="2643">
        <v>4</v>
      </c>
      <c r="K448" s="2899"/>
      <c r="L448" s="2900">
        <v>56028.960000000006</v>
      </c>
      <c r="M448" s="3054" t="str">
        <f>MID(B448, FIND("(",B448,1)+1, FIND(")",B448,1)- FIND("(",B448,1)-3)</f>
        <v>1</v>
      </c>
      <c r="N448" s="986" t="s">
        <v>1716</v>
      </c>
      <c r="O448">
        <v>16</v>
      </c>
      <c r="P448" s="1305"/>
      <c r="Q448" s="3074">
        <f>M448/C448</f>
        <v>4.1666666666666664E-2</v>
      </c>
      <c r="R448" s="3073">
        <f>Q448*4*0.8*F448/13.4</f>
        <v>10.368159203980099</v>
      </c>
      <c r="S448" s="3073">
        <f>8*M448</f>
        <v>8</v>
      </c>
    </row>
    <row r="449" spans="1:19" hidden="1" outlineLevel="1" collapsed="1" x14ac:dyDescent="0.15">
      <c r="A449" s="3057" t="s">
        <v>1707</v>
      </c>
      <c r="B449" s="3058"/>
      <c r="C449" s="3059"/>
      <c r="D449" s="3059"/>
      <c r="E449" s="3060"/>
      <c r="F449" s="3058"/>
      <c r="G449" s="3058"/>
      <c r="H449" s="3058"/>
      <c r="I449" s="3058"/>
      <c r="J449" s="3061"/>
      <c r="K449" s="3062"/>
      <c r="L449" s="3063"/>
      <c r="M449" s="3061"/>
      <c r="N449" s="1152"/>
      <c r="O449" s="1152"/>
      <c r="Q449" s="2651"/>
    </row>
    <row r="450" spans="1:19" s="693" customFormat="1" hidden="1" outlineLevel="2" x14ac:dyDescent="0.15">
      <c r="A450" s="630" t="str">
        <f t="shared" ref="A450:A455" si="92">CONCATENATE(B450," ",C450," core (",E450," MHz) ",J450," GB")</f>
        <v>AZISQL P1 (2vc) 24 core (2400 MHz) 7 GB</v>
      </c>
      <c r="B450" s="2036" t="s">
        <v>1708</v>
      </c>
      <c r="C450" s="2024">
        <v>24</v>
      </c>
      <c r="D450" s="52">
        <v>12</v>
      </c>
      <c r="E450" s="639">
        <v>2400</v>
      </c>
      <c r="F450" s="2011">
        <v>1042</v>
      </c>
      <c r="G450" s="2015">
        <f t="shared" ref="G450:G455" si="93">IF(F450=0,"",F450/C450)</f>
        <v>43.416666666666664</v>
      </c>
      <c r="H450" s="2603">
        <f t="shared" ref="H450:H455" si="94">IF(C450=0,"",C450/D450)</f>
        <v>2</v>
      </c>
      <c r="I450" s="647" t="s">
        <v>335</v>
      </c>
      <c r="J450" s="2643">
        <v>7</v>
      </c>
      <c r="K450" s="2899"/>
      <c r="L450" s="2900">
        <v>16427.628000000001</v>
      </c>
      <c r="M450" s="3054" t="str">
        <f t="shared" ref="M450:M455" si="95">MID(B450, FIND("(",B450,1)+1, FIND(")",B450,1)- FIND("(",B450,1)-3)</f>
        <v>2</v>
      </c>
      <c r="N450" s="986" t="s">
        <v>1717</v>
      </c>
      <c r="O450">
        <v>8</v>
      </c>
      <c r="P450" s="1305"/>
      <c r="Q450" s="3074">
        <f t="shared" ref="Q450:Q455" si="96">M450/C450</f>
        <v>8.3333333333333329E-2</v>
      </c>
      <c r="R450" s="3073">
        <f t="shared" ref="R450:R455" si="97">Q450*4*0.8*F450/13.4</f>
        <v>20.736318407960198</v>
      </c>
      <c r="S450" s="3073">
        <f t="shared" ref="S450:S455" si="98">8*M450</f>
        <v>16</v>
      </c>
    </row>
    <row r="451" spans="1:19" s="693" customFormat="1" hidden="1" outlineLevel="2" x14ac:dyDescent="0.15">
      <c r="A451" s="630" t="str">
        <f t="shared" si="92"/>
        <v>AZISQL P2 (2vc) 24 core (2400 MHz) 8 GB</v>
      </c>
      <c r="B451" s="2036" t="s">
        <v>1709</v>
      </c>
      <c r="C451" s="2024">
        <v>24</v>
      </c>
      <c r="D451" s="52">
        <v>12</v>
      </c>
      <c r="E451" s="639">
        <v>2400</v>
      </c>
      <c r="F451" s="2011">
        <v>1042</v>
      </c>
      <c r="G451" s="2015">
        <f t="shared" si="93"/>
        <v>43.416666666666664</v>
      </c>
      <c r="H451" s="2603">
        <f t="shared" si="94"/>
        <v>2</v>
      </c>
      <c r="I451" s="647" t="s">
        <v>335</v>
      </c>
      <c r="J451" s="2643">
        <v>8</v>
      </c>
      <c r="K451" s="2899"/>
      <c r="L451" s="2900">
        <v>32850</v>
      </c>
      <c r="M451" s="3054" t="str">
        <f t="shared" si="95"/>
        <v>2</v>
      </c>
      <c r="N451" s="986" t="s">
        <v>1718</v>
      </c>
      <c r="O451">
        <v>16</v>
      </c>
      <c r="P451" s="1305"/>
      <c r="Q451" s="3074">
        <f t="shared" si="96"/>
        <v>8.3333333333333329E-2</v>
      </c>
      <c r="R451" s="3073">
        <f t="shared" si="97"/>
        <v>20.736318407960198</v>
      </c>
      <c r="S451" s="3073">
        <f t="shared" si="98"/>
        <v>16</v>
      </c>
    </row>
    <row r="452" spans="1:19" s="693" customFormat="1" hidden="1" outlineLevel="2" x14ac:dyDescent="0.15">
      <c r="A452" s="630" t="str">
        <f t="shared" si="92"/>
        <v>AZISQL P4 (2vc) 24 core (2400 MHz) 14 GB</v>
      </c>
      <c r="B452" s="2036" t="s">
        <v>1710</v>
      </c>
      <c r="C452" s="2024">
        <v>24</v>
      </c>
      <c r="D452" s="52">
        <v>12</v>
      </c>
      <c r="E452" s="639">
        <v>2400</v>
      </c>
      <c r="F452" s="2011">
        <v>1042</v>
      </c>
      <c r="G452" s="2015">
        <f t="shared" si="93"/>
        <v>43.416666666666664</v>
      </c>
      <c r="H452" s="2603">
        <f t="shared" si="94"/>
        <v>2</v>
      </c>
      <c r="I452" s="647" t="s">
        <v>335</v>
      </c>
      <c r="J452" s="2643">
        <v>14</v>
      </c>
      <c r="K452" s="2899"/>
      <c r="L452" s="2900">
        <v>65700</v>
      </c>
      <c r="M452" s="3054" t="str">
        <f t="shared" si="95"/>
        <v>2</v>
      </c>
      <c r="N452" s="986" t="s">
        <v>1719</v>
      </c>
      <c r="O452">
        <v>8</v>
      </c>
      <c r="P452" s="1305"/>
      <c r="Q452" s="3074">
        <f t="shared" si="96"/>
        <v>8.3333333333333329E-2</v>
      </c>
      <c r="R452" s="3073">
        <f t="shared" si="97"/>
        <v>20.736318407960198</v>
      </c>
      <c r="S452" s="3073">
        <f t="shared" si="98"/>
        <v>16</v>
      </c>
    </row>
    <row r="453" spans="1:19" s="693" customFormat="1" hidden="1" outlineLevel="2" x14ac:dyDescent="0.15">
      <c r="A453" s="630" t="str">
        <f t="shared" si="92"/>
        <v>AZISQL P6 (4vc) 24 core (2400 MHz) 28 GB</v>
      </c>
      <c r="B453" s="2036" t="s">
        <v>1711</v>
      </c>
      <c r="C453" s="2024">
        <v>24</v>
      </c>
      <c r="D453" s="52">
        <v>12</v>
      </c>
      <c r="E453" s="639">
        <v>2400</v>
      </c>
      <c r="F453" s="2011">
        <v>1042</v>
      </c>
      <c r="G453" s="2015">
        <f t="shared" si="93"/>
        <v>43.416666666666664</v>
      </c>
      <c r="H453" s="2603">
        <f t="shared" si="94"/>
        <v>2</v>
      </c>
      <c r="I453" s="647" t="s">
        <v>335</v>
      </c>
      <c r="J453" s="2643">
        <v>28</v>
      </c>
      <c r="K453" s="2899"/>
      <c r="L453" s="2900">
        <v>131400</v>
      </c>
      <c r="M453" s="3054" t="str">
        <f t="shared" si="95"/>
        <v>4</v>
      </c>
      <c r="N453" s="986" t="s">
        <v>1720</v>
      </c>
      <c r="O453">
        <v>16</v>
      </c>
      <c r="P453" s="1305"/>
      <c r="Q453" s="3074">
        <f t="shared" si="96"/>
        <v>0.16666666666666666</v>
      </c>
      <c r="R453" s="3073">
        <f t="shared" si="97"/>
        <v>41.472636815920396</v>
      </c>
      <c r="S453" s="3073">
        <f t="shared" si="98"/>
        <v>32</v>
      </c>
    </row>
    <row r="454" spans="1:19" s="693" customFormat="1" hidden="1" outlineLevel="2" x14ac:dyDescent="0.15">
      <c r="A454" s="630" t="str">
        <f t="shared" si="92"/>
        <v>AZISQL P11 (8vc) 24 core (2400 MHz) 56 GB</v>
      </c>
      <c r="B454" s="2036" t="s">
        <v>1712</v>
      </c>
      <c r="C454" s="2024">
        <v>24</v>
      </c>
      <c r="D454" s="52">
        <v>12</v>
      </c>
      <c r="E454" s="639">
        <v>2400</v>
      </c>
      <c r="F454" s="2011">
        <v>1042</v>
      </c>
      <c r="G454" s="2015">
        <f t="shared" si="93"/>
        <v>43.416666666666664</v>
      </c>
      <c r="H454" s="2603">
        <f t="shared" si="94"/>
        <v>2</v>
      </c>
      <c r="I454" s="647" t="s">
        <v>335</v>
      </c>
      <c r="J454" s="2643">
        <v>56</v>
      </c>
      <c r="K454" s="2899"/>
      <c r="L454" s="2900">
        <v>247263.264</v>
      </c>
      <c r="M454" s="3054" t="str">
        <f t="shared" si="95"/>
        <v>8</v>
      </c>
      <c r="N454" s="986" t="s">
        <v>1721</v>
      </c>
      <c r="O454">
        <v>16</v>
      </c>
      <c r="P454" s="1305"/>
      <c r="Q454" s="3074">
        <f t="shared" si="96"/>
        <v>0.33333333333333331</v>
      </c>
      <c r="R454" s="3073">
        <f t="shared" si="97"/>
        <v>82.945273631840791</v>
      </c>
      <c r="S454" s="3073">
        <f t="shared" si="98"/>
        <v>64</v>
      </c>
    </row>
    <row r="455" spans="1:19" s="693" customFormat="1" hidden="1" outlineLevel="2" x14ac:dyDescent="0.15">
      <c r="A455" s="630" t="str">
        <f t="shared" si="92"/>
        <v>AZISQL P15 (16vc) 24 core (2400 MHz) 112 GB</v>
      </c>
      <c r="B455" s="2036" t="s">
        <v>1713</v>
      </c>
      <c r="C455" s="2024">
        <v>24</v>
      </c>
      <c r="D455" s="52">
        <v>12</v>
      </c>
      <c r="E455" s="639">
        <v>2400</v>
      </c>
      <c r="F455" s="2011">
        <v>1042</v>
      </c>
      <c r="G455" s="2015">
        <f t="shared" si="93"/>
        <v>43.416666666666664</v>
      </c>
      <c r="H455" s="2603">
        <f t="shared" si="94"/>
        <v>2</v>
      </c>
      <c r="I455" s="647" t="s">
        <v>335</v>
      </c>
      <c r="J455" s="2643">
        <v>112</v>
      </c>
      <c r="K455" s="2899"/>
      <c r="L455" s="2900">
        <v>565282.80000000005</v>
      </c>
      <c r="M455" s="3054" t="str">
        <f t="shared" si="95"/>
        <v>16</v>
      </c>
      <c r="N455" s="986" t="s">
        <v>1722</v>
      </c>
      <c r="O455">
        <v>16</v>
      </c>
      <c r="P455" s="1305"/>
      <c r="Q455" s="3074">
        <f t="shared" si="96"/>
        <v>0.66666666666666663</v>
      </c>
      <c r="R455" s="3073">
        <f t="shared" si="97"/>
        <v>165.89054726368158</v>
      </c>
      <c r="S455" s="3073">
        <f t="shared" si="98"/>
        <v>128</v>
      </c>
    </row>
    <row r="456" spans="1:19" hidden="1" outlineLevel="1" collapsed="1" x14ac:dyDescent="0.15">
      <c r="A456" s="636"/>
      <c r="B456" s="2040"/>
      <c r="C456" s="2041"/>
      <c r="D456" s="641"/>
      <c r="E456" s="2042"/>
      <c r="F456" s="882"/>
      <c r="G456" s="2019"/>
      <c r="H456" s="2608"/>
      <c r="I456" s="649"/>
      <c r="J456" s="2646"/>
      <c r="K456" s="2837"/>
      <c r="L456" s="2904"/>
      <c r="M456" s="3055"/>
      <c r="N456" s="1152"/>
      <c r="O456" s="1152"/>
      <c r="Q456" s="3074"/>
      <c r="R456" s="3073"/>
    </row>
    <row r="457" spans="1:19" collapsed="1" x14ac:dyDescent="0.15">
      <c r="A457" s="627" t="s">
        <v>1733</v>
      </c>
      <c r="B457" s="662" t="str">
        <f>A457</f>
        <v xml:space="preserve"> ==== UNIX Server Candidates ======</v>
      </c>
      <c r="C457" s="657"/>
      <c r="D457" s="2027"/>
      <c r="E457" s="2028"/>
      <c r="F457" s="2013"/>
      <c r="G457" s="2018"/>
      <c r="H457" s="2605"/>
      <c r="I457" s="644"/>
      <c r="J457" s="673"/>
      <c r="K457" s="2651"/>
    </row>
    <row r="458" spans="1:19" outlineLevel="1" x14ac:dyDescent="0.15">
      <c r="A458" s="627" t="s">
        <v>457</v>
      </c>
      <c r="B458" s="662" t="str">
        <f>A458</f>
        <v xml:space="preserve"> ==== Sun Solaris Candidates ======</v>
      </c>
      <c r="C458" s="657"/>
      <c r="D458" s="2027"/>
      <c r="E458" s="2028"/>
      <c r="F458" s="2013"/>
      <c r="G458" s="2018"/>
      <c r="H458" s="2605"/>
      <c r="I458" s="644"/>
      <c r="J458" s="673"/>
      <c r="K458" s="2651"/>
    </row>
    <row r="459" spans="1:19" outlineLevel="1" x14ac:dyDescent="0.15">
      <c r="A459" s="628" t="s">
        <v>158</v>
      </c>
      <c r="B459" s="659" t="str">
        <f>A459</f>
        <v xml:space="preserve"> ==== 2010 Server Platforms ====</v>
      </c>
      <c r="C459" s="656"/>
      <c r="D459" s="2022"/>
      <c r="E459" s="2023"/>
      <c r="F459" s="2010"/>
      <c r="G459" s="2017"/>
      <c r="H459" s="2606"/>
      <c r="I459" s="645"/>
      <c r="J459" s="673"/>
      <c r="K459" s="2651"/>
    </row>
    <row r="460" spans="1:19" hidden="1" outlineLevel="2" x14ac:dyDescent="0.15">
      <c r="A460" s="632" t="str">
        <f>CONCATENATE(B460," ",C460," core (",H460," chip) ",E460," MHz")</f>
        <v>Sun SPARC64 VII 4 core (1 chip) 2750 MHz</v>
      </c>
      <c r="B460" s="2030" t="s">
        <v>195</v>
      </c>
      <c r="C460" s="2031">
        <v>4</v>
      </c>
      <c r="D460" s="51">
        <v>4</v>
      </c>
      <c r="E460" s="639">
        <v>2750</v>
      </c>
      <c r="F460" s="2011">
        <v>45.4</v>
      </c>
      <c r="G460" s="2015">
        <f>F460/C460</f>
        <v>11.35</v>
      </c>
      <c r="H460" s="2607">
        <f>C460/D460</f>
        <v>1</v>
      </c>
      <c r="I460" s="646" t="s">
        <v>416</v>
      </c>
      <c r="J460" s="673"/>
      <c r="K460" s="2651"/>
    </row>
    <row r="461" spans="1:19" hidden="1" outlineLevel="2" x14ac:dyDescent="0.15">
      <c r="A461" s="632" t="str">
        <f>CONCATENATE(B461," ",C461," core (",H461," chip) ",E461," MHz")</f>
        <v>Sun UltraSPARC IV+ 144 core (72 chip) 1500 MHz</v>
      </c>
      <c r="B461" s="2030" t="s">
        <v>194</v>
      </c>
      <c r="C461" s="2031">
        <v>144</v>
      </c>
      <c r="D461" s="51">
        <v>2</v>
      </c>
      <c r="E461" s="639">
        <v>1500</v>
      </c>
      <c r="F461" s="2011">
        <v>23.38095238095238</v>
      </c>
      <c r="G461" s="2015">
        <f>F461/C461</f>
        <v>0.16236772486772486</v>
      </c>
      <c r="H461" s="2607">
        <f>C461/D461</f>
        <v>72</v>
      </c>
      <c r="I461" s="646" t="s">
        <v>416</v>
      </c>
      <c r="J461" s="673"/>
      <c r="K461" s="2651"/>
    </row>
    <row r="462" spans="1:19" hidden="1" outlineLevel="2" x14ac:dyDescent="0.15">
      <c r="A462" s="632" t="str">
        <f>CONCATENATE(B462," ",C462," core (",H462," chip) ",E462," MHz")</f>
        <v>Sun UltraSPARC II 2 core (2 chip) 296 MHz</v>
      </c>
      <c r="B462" s="2030" t="s">
        <v>193</v>
      </c>
      <c r="C462" s="2031">
        <v>2</v>
      </c>
      <c r="D462" s="51">
        <v>1</v>
      </c>
      <c r="E462" s="639">
        <v>296</v>
      </c>
      <c r="F462" s="2011">
        <v>1</v>
      </c>
      <c r="G462" s="2015">
        <f>F462/C462</f>
        <v>0.5</v>
      </c>
      <c r="H462" s="2607">
        <f>C462/D462</f>
        <v>2</v>
      </c>
      <c r="I462" s="646" t="s">
        <v>416</v>
      </c>
      <c r="J462" s="673"/>
      <c r="K462" s="2651"/>
    </row>
    <row r="463" spans="1:19" outlineLevel="1" collapsed="1" x14ac:dyDescent="0.15">
      <c r="A463" s="627" t="s">
        <v>458</v>
      </c>
      <c r="B463" s="662" t="s">
        <v>158</v>
      </c>
      <c r="C463" s="657"/>
      <c r="D463" s="2027"/>
      <c r="E463" s="2028"/>
      <c r="F463" s="2013"/>
      <c r="G463" s="2018"/>
      <c r="H463" s="2605"/>
      <c r="I463" s="644"/>
      <c r="J463" s="673"/>
      <c r="K463" s="2651"/>
    </row>
    <row r="464" spans="1:19" outlineLevel="1" x14ac:dyDescent="0.15">
      <c r="A464" s="628" t="s">
        <v>158</v>
      </c>
      <c r="B464" s="659" t="str">
        <f>A464</f>
        <v xml:space="preserve"> ==== 2010 Server Platforms ====</v>
      </c>
      <c r="C464" s="656"/>
      <c r="D464" s="2022"/>
      <c r="E464" s="2023"/>
      <c r="F464" s="2010"/>
      <c r="G464" s="2017"/>
      <c r="H464" s="2606"/>
      <c r="I464" s="645"/>
      <c r="J464" s="673"/>
      <c r="K464" s="2651"/>
    </row>
    <row r="465" spans="1:11" hidden="1" outlineLevel="2" x14ac:dyDescent="0.15">
      <c r="A465" s="633" t="str">
        <f>CONCATENATE(B465," ",C465," core (",H465," chip) ",E465," MHz")</f>
        <v>Itanium 2 9350 32 core (8 chip) 1730 MHz</v>
      </c>
      <c r="B465" s="2032" t="s">
        <v>192</v>
      </c>
      <c r="C465" s="2033">
        <v>32</v>
      </c>
      <c r="D465" s="51">
        <v>4</v>
      </c>
      <c r="E465" s="639">
        <v>1730</v>
      </c>
      <c r="F465" s="2011">
        <v>507</v>
      </c>
      <c r="G465" s="2015">
        <f>F465/C465</f>
        <v>15.84375</v>
      </c>
      <c r="H465" s="2607">
        <f>C465/D465</f>
        <v>8</v>
      </c>
      <c r="I465" s="646" t="s">
        <v>322</v>
      </c>
      <c r="J465" s="673"/>
      <c r="K465" s="2651"/>
    </row>
    <row r="466" spans="1:11" hidden="1" outlineLevel="2" x14ac:dyDescent="0.15">
      <c r="A466" s="633" t="str">
        <f t="shared" ref="A466:A474" si="99">CONCATENATE(B466," ",C466," core (",H466," chip) ",E466," MHz")</f>
        <v>Itanium 24 core (24 chip) 1600 MHz</v>
      </c>
      <c r="B466" s="2032" t="s">
        <v>322</v>
      </c>
      <c r="C466" s="2033">
        <v>24</v>
      </c>
      <c r="D466" s="51">
        <v>1</v>
      </c>
      <c r="E466" s="639">
        <v>1600</v>
      </c>
      <c r="F466" s="2011">
        <v>195.23809523809524</v>
      </c>
      <c r="G466" s="2015">
        <f t="shared" ref="G466:G474" si="100">F466/C466</f>
        <v>8.1349206349206344</v>
      </c>
      <c r="H466" s="2607">
        <f t="shared" ref="H466:H474" si="101">C466/D466</f>
        <v>24</v>
      </c>
      <c r="I466" s="646" t="s">
        <v>322</v>
      </c>
      <c r="J466" s="673"/>
      <c r="K466" s="2651"/>
    </row>
    <row r="467" spans="1:11" hidden="1" outlineLevel="2" x14ac:dyDescent="0.15">
      <c r="A467" s="633" t="str">
        <f t="shared" si="99"/>
        <v>Itanium 8 core (8 chip) 1600 MHz</v>
      </c>
      <c r="B467" s="2032" t="s">
        <v>322</v>
      </c>
      <c r="C467" s="2033">
        <v>8</v>
      </c>
      <c r="D467" s="51">
        <v>1</v>
      </c>
      <c r="E467" s="639">
        <v>1600</v>
      </c>
      <c r="F467" s="2011">
        <v>63.80952380952381</v>
      </c>
      <c r="G467" s="2015">
        <f t="shared" si="100"/>
        <v>7.9761904761904763</v>
      </c>
      <c r="H467" s="2607">
        <f t="shared" si="101"/>
        <v>8</v>
      </c>
      <c r="I467" s="646" t="s">
        <v>322</v>
      </c>
      <c r="J467" s="673"/>
      <c r="K467" s="2651"/>
    </row>
    <row r="468" spans="1:11" hidden="1" outlineLevel="2" x14ac:dyDescent="0.15">
      <c r="A468" s="633" t="str">
        <f t="shared" si="99"/>
        <v>Itanium 12 core (12 chip) 1600 MHz</v>
      </c>
      <c r="B468" s="2032" t="s">
        <v>322</v>
      </c>
      <c r="C468" s="2033">
        <v>12</v>
      </c>
      <c r="D468" s="51">
        <v>1</v>
      </c>
      <c r="E468" s="639">
        <v>1600</v>
      </c>
      <c r="F468" s="2011">
        <v>95.238095238095241</v>
      </c>
      <c r="G468" s="2015">
        <f t="shared" si="100"/>
        <v>7.9365079365079367</v>
      </c>
      <c r="H468" s="2607">
        <f t="shared" si="101"/>
        <v>12</v>
      </c>
      <c r="I468" s="646" t="s">
        <v>322</v>
      </c>
      <c r="J468" s="673"/>
      <c r="K468" s="2651"/>
    </row>
    <row r="469" spans="1:11" hidden="1" outlineLevel="2" x14ac:dyDescent="0.15">
      <c r="A469" s="633" t="str">
        <f t="shared" si="99"/>
        <v>Itanium 16 core (16 chip) 1600 MHz</v>
      </c>
      <c r="B469" s="2032" t="s">
        <v>322</v>
      </c>
      <c r="C469" s="2033">
        <v>16</v>
      </c>
      <c r="D469" s="51">
        <v>1</v>
      </c>
      <c r="E469" s="639">
        <v>1600</v>
      </c>
      <c r="F469" s="2011">
        <v>126.66666666666666</v>
      </c>
      <c r="G469" s="2015">
        <f t="shared" si="100"/>
        <v>7.9166666666666661</v>
      </c>
      <c r="H469" s="2607">
        <f t="shared" si="101"/>
        <v>16</v>
      </c>
      <c r="I469" s="646" t="s">
        <v>322</v>
      </c>
      <c r="J469" s="673"/>
      <c r="K469" s="2651"/>
    </row>
    <row r="470" spans="1:11" hidden="1" outlineLevel="2" x14ac:dyDescent="0.15">
      <c r="A470" s="633" t="str">
        <f t="shared" si="99"/>
        <v>Itanium 3 core (3 chip) 1600 MHz</v>
      </c>
      <c r="B470" s="2032" t="s">
        <v>322</v>
      </c>
      <c r="C470" s="2033">
        <v>3</v>
      </c>
      <c r="D470" s="51">
        <v>1</v>
      </c>
      <c r="E470" s="639">
        <v>1600</v>
      </c>
      <c r="F470" s="2011">
        <v>16.904761904761905</v>
      </c>
      <c r="G470" s="2015">
        <f t="shared" si="100"/>
        <v>5.6349206349206353</v>
      </c>
      <c r="H470" s="2607">
        <f t="shared" si="101"/>
        <v>3</v>
      </c>
      <c r="I470" s="646" t="s">
        <v>322</v>
      </c>
      <c r="J470" s="673"/>
      <c r="K470" s="2651"/>
    </row>
    <row r="471" spans="1:11" hidden="1" outlineLevel="2" x14ac:dyDescent="0.15">
      <c r="A471" s="633" t="str">
        <f t="shared" si="99"/>
        <v>Itanium 12 core (12 chip) 1600 MHz</v>
      </c>
      <c r="B471" s="2032" t="s">
        <v>322</v>
      </c>
      <c r="C471" s="2033">
        <f>(C469+C472)/2</f>
        <v>12</v>
      </c>
      <c r="D471" s="51">
        <v>1</v>
      </c>
      <c r="E471" s="639">
        <v>1600</v>
      </c>
      <c r="F471" s="2011">
        <v>79.523809523809518</v>
      </c>
      <c r="G471" s="2015">
        <f t="shared" si="100"/>
        <v>6.6269841269841265</v>
      </c>
      <c r="H471" s="2607">
        <f t="shared" si="101"/>
        <v>12</v>
      </c>
      <c r="I471" s="646" t="s">
        <v>322</v>
      </c>
      <c r="J471" s="673"/>
      <c r="K471" s="2651"/>
    </row>
    <row r="472" spans="1:11" hidden="1" outlineLevel="2" x14ac:dyDescent="0.15">
      <c r="A472" s="633" t="str">
        <f t="shared" si="99"/>
        <v>PA-8801 8 core (4 chip) 1000 MHz</v>
      </c>
      <c r="B472" s="2034" t="s">
        <v>444</v>
      </c>
      <c r="C472" s="2035">
        <v>8</v>
      </c>
      <c r="D472" s="51">
        <v>2</v>
      </c>
      <c r="E472" s="639">
        <v>1000</v>
      </c>
      <c r="F472" s="2011">
        <v>34.857142857142854</v>
      </c>
      <c r="G472" s="2015">
        <f t="shared" si="100"/>
        <v>4.3571428571428568</v>
      </c>
      <c r="H472" s="2607">
        <f t="shared" si="101"/>
        <v>4</v>
      </c>
      <c r="I472" s="646" t="s">
        <v>323</v>
      </c>
      <c r="J472" s="673"/>
      <c r="K472" s="2651"/>
    </row>
    <row r="473" spans="1:11" hidden="1" outlineLevel="2" x14ac:dyDescent="0.15">
      <c r="A473" s="633" t="str">
        <f t="shared" si="99"/>
        <v>PA-8802 16 core (8 chip) 1000 MHz</v>
      </c>
      <c r="B473" s="2034" t="s">
        <v>445</v>
      </c>
      <c r="C473" s="2035">
        <v>16</v>
      </c>
      <c r="D473" s="51">
        <v>2</v>
      </c>
      <c r="E473" s="639">
        <v>1000</v>
      </c>
      <c r="F473" s="2011">
        <v>67.142857142857139</v>
      </c>
      <c r="G473" s="2015">
        <f t="shared" si="100"/>
        <v>4.1964285714285712</v>
      </c>
      <c r="H473" s="2607">
        <f t="shared" si="101"/>
        <v>8</v>
      </c>
      <c r="I473" s="646" t="s">
        <v>323</v>
      </c>
      <c r="J473" s="673"/>
      <c r="K473" s="2651"/>
    </row>
    <row r="474" spans="1:11" hidden="1" outlineLevel="2" x14ac:dyDescent="0.15">
      <c r="A474" s="633" t="str">
        <f t="shared" si="99"/>
        <v>PA-8800 4 core (4 chip) 875 MHz</v>
      </c>
      <c r="B474" s="2034" t="s">
        <v>443</v>
      </c>
      <c r="C474" s="2035">
        <v>4</v>
      </c>
      <c r="D474" s="51">
        <v>1</v>
      </c>
      <c r="E474" s="639">
        <v>875</v>
      </c>
      <c r="F474" s="2011">
        <v>12.857142857142856</v>
      </c>
      <c r="G474" s="2015">
        <f t="shared" si="100"/>
        <v>3.214285714285714</v>
      </c>
      <c r="H474" s="2607">
        <f t="shared" si="101"/>
        <v>4</v>
      </c>
      <c r="I474" s="646" t="s">
        <v>323</v>
      </c>
      <c r="J474" s="673"/>
      <c r="K474" s="2651"/>
    </row>
    <row r="475" spans="1:11" outlineLevel="1" collapsed="1" x14ac:dyDescent="0.15">
      <c r="A475" s="627" t="s">
        <v>459</v>
      </c>
      <c r="B475" s="662" t="str">
        <f>A475</f>
        <v xml:space="preserve"> ==== IBM AIX Candidates ======</v>
      </c>
      <c r="C475" s="657"/>
      <c r="D475" s="2027"/>
      <c r="E475" s="2028"/>
      <c r="F475" s="2013"/>
      <c r="G475" s="2018"/>
      <c r="H475" s="2605"/>
      <c r="I475" s="644"/>
      <c r="J475" s="673"/>
      <c r="K475" s="2651"/>
    </row>
    <row r="476" spans="1:11" outlineLevel="1" x14ac:dyDescent="0.15">
      <c r="A476" s="628" t="s">
        <v>158</v>
      </c>
      <c r="B476" s="659" t="str">
        <f>A476</f>
        <v xml:space="preserve"> ==== 2010 Server Platforms ====</v>
      </c>
      <c r="C476" s="656"/>
      <c r="D476" s="2022"/>
      <c r="E476" s="2023"/>
      <c r="F476" s="2010"/>
      <c r="G476" s="2017"/>
      <c r="H476" s="2606"/>
      <c r="I476" s="645"/>
      <c r="J476" s="673"/>
      <c r="K476" s="2651"/>
    </row>
    <row r="477" spans="1:11" hidden="1" outlineLevel="2" x14ac:dyDescent="0.15">
      <c r="A477" s="634" t="str">
        <f>CONCATENATE(B477," ",C477," core (",H477," chip) ",E477," MHz")</f>
        <v>IBM p7 32 core (8 chip) 4140 MHz</v>
      </c>
      <c r="B477" s="2036" t="s">
        <v>191</v>
      </c>
      <c r="C477" s="2037">
        <v>32</v>
      </c>
      <c r="D477" s="51">
        <v>4</v>
      </c>
      <c r="E477" s="639">
        <v>4140</v>
      </c>
      <c r="F477" s="2011">
        <v>1310</v>
      </c>
      <c r="G477" s="2015">
        <f>F477/C477</f>
        <v>40.9375</v>
      </c>
      <c r="H477" s="2607">
        <f>C477/D477</f>
        <v>8</v>
      </c>
      <c r="I477" s="646" t="s">
        <v>324</v>
      </c>
      <c r="J477" s="673"/>
      <c r="K477" s="2651"/>
    </row>
    <row r="478" spans="1:11" hidden="1" outlineLevel="2" x14ac:dyDescent="0.15">
      <c r="A478" s="634" t="str">
        <f>CONCATENATE(B478," ",C478," core (",H478," chip) ",E478," MHz")</f>
        <v>IBM p7 64 core (8 chip) 3860 MHz</v>
      </c>
      <c r="B478" s="2036" t="s">
        <v>191</v>
      </c>
      <c r="C478" s="2037">
        <v>64</v>
      </c>
      <c r="D478" s="51">
        <v>8</v>
      </c>
      <c r="E478" s="639">
        <v>3860</v>
      </c>
      <c r="F478" s="2011">
        <v>2340</v>
      </c>
      <c r="G478" s="2015">
        <f>F478/C478</f>
        <v>36.5625</v>
      </c>
      <c r="H478" s="2607">
        <f>C478/D478</f>
        <v>8</v>
      </c>
      <c r="I478" s="646" t="s">
        <v>324</v>
      </c>
      <c r="J478" s="673"/>
      <c r="K478" s="2651"/>
    </row>
    <row r="479" spans="1:11" hidden="1" outlineLevel="2" x14ac:dyDescent="0.15">
      <c r="A479" s="634" t="str">
        <f>CONCATENATE(B479," ",C479," core (",H479," chip) ",E479," MHz")</f>
        <v>IBM p7 16 core (2 chip) 3000 MHz</v>
      </c>
      <c r="B479" s="2036" t="s">
        <v>191</v>
      </c>
      <c r="C479" s="2037">
        <v>16</v>
      </c>
      <c r="D479" s="55">
        <v>8</v>
      </c>
      <c r="E479" s="639">
        <v>3000</v>
      </c>
      <c r="F479" s="2011">
        <v>586</v>
      </c>
      <c r="G479" s="2015">
        <f>F479/C479</f>
        <v>36.625</v>
      </c>
      <c r="H479" s="2607">
        <f>C479/D479</f>
        <v>2</v>
      </c>
      <c r="I479" s="646" t="s">
        <v>324</v>
      </c>
      <c r="J479" s="673"/>
      <c r="K479" s="2651"/>
    </row>
    <row r="480" spans="1:11" hidden="1" outlineLevel="2" x14ac:dyDescent="0.15">
      <c r="A480" s="634" t="str">
        <f>CONCATENATE(B480," ",C480," core (",H480," chip) ",E480," MHz")</f>
        <v>IBM p7 64 core (8 chip) 3860 MHz</v>
      </c>
      <c r="B480" s="2036" t="s">
        <v>191</v>
      </c>
      <c r="C480" s="2037">
        <v>64</v>
      </c>
      <c r="D480" s="55">
        <v>8</v>
      </c>
      <c r="E480" s="639">
        <v>3860</v>
      </c>
      <c r="F480" s="2011">
        <v>2299</v>
      </c>
      <c r="G480" s="2015">
        <f>F480/C480</f>
        <v>35.921875</v>
      </c>
      <c r="H480" s="2607">
        <f>C480/D480</f>
        <v>8</v>
      </c>
      <c r="I480" s="646" t="s">
        <v>324</v>
      </c>
      <c r="J480" s="673"/>
      <c r="K480" s="2651"/>
    </row>
    <row r="481" spans="1:19" hidden="1" outlineLevel="2" x14ac:dyDescent="0.15">
      <c r="A481" s="634" t="str">
        <f t="shared" ref="A481:A491" si="102">CONCATENATE(B481," ",C481," core (",H481," chip) ",E481," MHz")</f>
        <v>IBM p575 8 core (8 chip) 2200 MHz</v>
      </c>
      <c r="B481" s="2036" t="s">
        <v>448</v>
      </c>
      <c r="C481" s="2037">
        <v>8</v>
      </c>
      <c r="D481" s="51">
        <v>1</v>
      </c>
      <c r="E481" s="639">
        <v>2200</v>
      </c>
      <c r="F481" s="2011">
        <v>95.238095238095241</v>
      </c>
      <c r="G481" s="2015">
        <f t="shared" ref="G481:G491" si="103">F481/C481</f>
        <v>11.904761904761905</v>
      </c>
      <c r="H481" s="2607">
        <f t="shared" ref="H481:H491" si="104">C481/D481</f>
        <v>8</v>
      </c>
      <c r="I481" s="646" t="s">
        <v>324</v>
      </c>
      <c r="J481" s="673"/>
      <c r="K481" s="2651"/>
    </row>
    <row r="482" spans="1:19" hidden="1" outlineLevel="2" x14ac:dyDescent="0.15">
      <c r="A482" s="634" t="str">
        <f t="shared" si="102"/>
        <v>IBM p595 64 core (32 chip) 2300 MHz</v>
      </c>
      <c r="B482" s="2036" t="s">
        <v>449</v>
      </c>
      <c r="C482" s="2037">
        <v>64</v>
      </c>
      <c r="D482" s="51">
        <v>2</v>
      </c>
      <c r="E482" s="639">
        <v>2300</v>
      </c>
      <c r="F482" s="2011">
        <v>720.47619047619048</v>
      </c>
      <c r="G482" s="2015">
        <f t="shared" si="103"/>
        <v>11.257440476190476</v>
      </c>
      <c r="H482" s="2607">
        <f t="shared" si="104"/>
        <v>32</v>
      </c>
      <c r="I482" s="646" t="s">
        <v>324</v>
      </c>
      <c r="J482" s="673"/>
      <c r="K482" s="2651"/>
    </row>
    <row r="483" spans="1:19" hidden="1" outlineLevel="2" x14ac:dyDescent="0.15">
      <c r="A483" s="634" t="str">
        <f t="shared" si="102"/>
        <v>IBM p550 4 core (2 chip) 2100 MHz</v>
      </c>
      <c r="B483" s="2036" t="s">
        <v>446</v>
      </c>
      <c r="C483" s="2037">
        <v>4</v>
      </c>
      <c r="D483" s="51">
        <v>2</v>
      </c>
      <c r="E483" s="639">
        <v>2100</v>
      </c>
      <c r="F483" s="2011">
        <v>42.857142857142854</v>
      </c>
      <c r="G483" s="2015">
        <f t="shared" si="103"/>
        <v>10.714285714285714</v>
      </c>
      <c r="H483" s="2607">
        <f t="shared" si="104"/>
        <v>2</v>
      </c>
      <c r="I483" s="646" t="s">
        <v>324</v>
      </c>
      <c r="J483" s="673"/>
      <c r="K483" s="2651"/>
    </row>
    <row r="484" spans="1:19" hidden="1" outlineLevel="2" x14ac:dyDescent="0.15">
      <c r="A484" s="634" t="str">
        <f t="shared" si="102"/>
        <v>IBM p570 4 core (2 chip) 1900 MHz</v>
      </c>
      <c r="B484" s="2036" t="s">
        <v>447</v>
      </c>
      <c r="C484" s="2037">
        <v>4</v>
      </c>
      <c r="D484" s="51">
        <v>2</v>
      </c>
      <c r="E484" s="639">
        <v>1900</v>
      </c>
      <c r="F484" s="2011">
        <v>36.333333333333329</v>
      </c>
      <c r="G484" s="2015">
        <f t="shared" si="103"/>
        <v>9.0833333333333321</v>
      </c>
      <c r="H484" s="2607">
        <f t="shared" si="104"/>
        <v>2</v>
      </c>
      <c r="I484" s="646" t="s">
        <v>324</v>
      </c>
      <c r="J484" s="673"/>
      <c r="K484" s="2651"/>
    </row>
    <row r="485" spans="1:19" hidden="1" outlineLevel="2" x14ac:dyDescent="0.15">
      <c r="A485" s="634" t="str">
        <f t="shared" si="102"/>
        <v>IBM p570 8 core (4 chip) 1900 MHz</v>
      </c>
      <c r="B485" s="2036" t="s">
        <v>447</v>
      </c>
      <c r="C485" s="2037">
        <v>8</v>
      </c>
      <c r="D485" s="55">
        <v>2</v>
      </c>
      <c r="E485" s="639">
        <v>1900</v>
      </c>
      <c r="F485" s="2011">
        <v>70.904761904761898</v>
      </c>
      <c r="G485" s="2015">
        <f t="shared" si="103"/>
        <v>8.8630952380952372</v>
      </c>
      <c r="H485" s="2607">
        <f t="shared" si="104"/>
        <v>4</v>
      </c>
      <c r="I485" s="646" t="s">
        <v>324</v>
      </c>
      <c r="J485" s="673"/>
      <c r="K485" s="2651"/>
    </row>
    <row r="486" spans="1:19" hidden="1" outlineLevel="2" x14ac:dyDescent="0.15">
      <c r="A486" s="634" t="str">
        <f t="shared" si="102"/>
        <v>IBM p570 16 core (8 chip) 1900 MHz</v>
      </c>
      <c r="B486" s="2036" t="s">
        <v>447</v>
      </c>
      <c r="C486" s="2037">
        <v>16</v>
      </c>
      <c r="D486" s="55">
        <v>2</v>
      </c>
      <c r="E486" s="639">
        <v>1900</v>
      </c>
      <c r="F486" s="2011">
        <v>140</v>
      </c>
      <c r="G486" s="2015">
        <f t="shared" si="103"/>
        <v>8.75</v>
      </c>
      <c r="H486" s="2607">
        <f t="shared" si="104"/>
        <v>8</v>
      </c>
      <c r="I486" s="646" t="s">
        <v>324</v>
      </c>
      <c r="J486" s="673"/>
      <c r="K486" s="2651"/>
    </row>
    <row r="487" spans="1:19" hidden="1" outlineLevel="2" x14ac:dyDescent="0.15">
      <c r="A487" s="634" t="str">
        <f t="shared" si="102"/>
        <v>IBM p570 64 core (32 chip) 1900 MHz</v>
      </c>
      <c r="B487" s="2036" t="s">
        <v>447</v>
      </c>
      <c r="C487" s="2037">
        <v>64</v>
      </c>
      <c r="D487" s="51">
        <v>2</v>
      </c>
      <c r="E487" s="639">
        <v>1900</v>
      </c>
      <c r="F487" s="2011">
        <v>546.19047619047615</v>
      </c>
      <c r="G487" s="2015">
        <f t="shared" si="103"/>
        <v>8.5342261904761898</v>
      </c>
      <c r="H487" s="2607">
        <f t="shared" si="104"/>
        <v>32</v>
      </c>
      <c r="I487" s="646" t="s">
        <v>324</v>
      </c>
      <c r="J487" s="673"/>
      <c r="K487" s="2651"/>
    </row>
    <row r="488" spans="1:19" hidden="1" outlineLevel="2" x14ac:dyDescent="0.15">
      <c r="A488" s="634" t="str">
        <f t="shared" si="102"/>
        <v>IBM p570 56 core (28 chip) 1900 MHz</v>
      </c>
      <c r="B488" s="2036" t="s">
        <v>447</v>
      </c>
      <c r="C488" s="2037">
        <v>56</v>
      </c>
      <c r="D488" s="55">
        <v>2</v>
      </c>
      <c r="E488" s="639">
        <v>1900</v>
      </c>
      <c r="F488" s="2011">
        <v>475.59523809523807</v>
      </c>
      <c r="G488" s="2015">
        <f t="shared" si="103"/>
        <v>8.4927721088435373</v>
      </c>
      <c r="H488" s="2607">
        <f t="shared" si="104"/>
        <v>28</v>
      </c>
      <c r="I488" s="646" t="s">
        <v>324</v>
      </c>
      <c r="J488" s="673"/>
      <c r="K488" s="2651"/>
    </row>
    <row r="489" spans="1:19" hidden="1" outlineLevel="2" x14ac:dyDescent="0.15">
      <c r="A489" s="634" t="str">
        <f t="shared" si="102"/>
        <v>IBM p570 48 core (24 chip) 1900 MHz</v>
      </c>
      <c r="B489" s="2036" t="s">
        <v>447</v>
      </c>
      <c r="C489" s="2037">
        <v>48</v>
      </c>
      <c r="D489" s="55">
        <v>2</v>
      </c>
      <c r="E489" s="639">
        <v>1900</v>
      </c>
      <c r="F489" s="2011">
        <v>405</v>
      </c>
      <c r="G489" s="2015">
        <f t="shared" si="103"/>
        <v>8.4375</v>
      </c>
      <c r="H489" s="2607">
        <f t="shared" si="104"/>
        <v>24</v>
      </c>
      <c r="I489" s="646" t="s">
        <v>324</v>
      </c>
      <c r="J489" s="673"/>
      <c r="K489" s="2651"/>
    </row>
    <row r="490" spans="1:19" hidden="1" outlineLevel="2" x14ac:dyDescent="0.15">
      <c r="A490" s="634" t="str">
        <f t="shared" si="102"/>
        <v>IBM p570 40 core (20 chip) 1900 MHz</v>
      </c>
      <c r="B490" s="2036" t="s">
        <v>447</v>
      </c>
      <c r="C490" s="2037">
        <v>40</v>
      </c>
      <c r="D490" s="51">
        <v>2</v>
      </c>
      <c r="E490" s="639">
        <v>1900</v>
      </c>
      <c r="F490" s="2011">
        <v>334.40476190476187</v>
      </c>
      <c r="G490" s="2015">
        <f t="shared" si="103"/>
        <v>8.3601190476190474</v>
      </c>
      <c r="H490" s="2607">
        <f t="shared" si="104"/>
        <v>20</v>
      </c>
      <c r="I490" s="646" t="s">
        <v>324</v>
      </c>
      <c r="J490" s="673"/>
      <c r="K490" s="2651"/>
    </row>
    <row r="491" spans="1:19" hidden="1" outlineLevel="2" x14ac:dyDescent="0.15">
      <c r="A491" s="634" t="str">
        <f t="shared" si="102"/>
        <v>IBM p570 32 core (16 chip) 1900 MHz</v>
      </c>
      <c r="B491" s="2036" t="s">
        <v>447</v>
      </c>
      <c r="C491" s="2037">
        <v>32</v>
      </c>
      <c r="D491" s="51">
        <v>2</v>
      </c>
      <c r="E491" s="639">
        <v>1900</v>
      </c>
      <c r="F491" s="2011">
        <v>263.8095238095238</v>
      </c>
      <c r="G491" s="2015">
        <f t="shared" si="103"/>
        <v>8.2440476190476186</v>
      </c>
      <c r="H491" s="2607">
        <f t="shared" si="104"/>
        <v>16</v>
      </c>
      <c r="I491" s="646" t="s">
        <v>324</v>
      </c>
      <c r="J491" s="673"/>
      <c r="K491" s="2651"/>
    </row>
    <row r="492" spans="1:19" outlineLevel="1" collapsed="1" x14ac:dyDescent="0.15">
      <c r="A492" s="636"/>
      <c r="B492" s="2040"/>
      <c r="C492" s="2041"/>
      <c r="D492" s="641"/>
      <c r="E492" s="2042"/>
      <c r="F492" s="882"/>
      <c r="G492" s="2019"/>
      <c r="H492" s="2608"/>
      <c r="I492" s="649"/>
      <c r="J492" s="2646"/>
      <c r="K492" s="2651"/>
    </row>
    <row r="493" spans="1:19" x14ac:dyDescent="0.15">
      <c r="A493" s="627" t="s">
        <v>1475</v>
      </c>
      <c r="B493" s="662" t="str">
        <f>A493</f>
        <v xml:space="preserve"> ==== SADS Class Platforms ======</v>
      </c>
      <c r="C493" s="2354"/>
      <c r="D493" s="2355"/>
      <c r="E493" s="2356"/>
      <c r="F493" s="2357"/>
      <c r="G493" s="2358"/>
      <c r="H493" s="2657"/>
      <c r="I493" s="644"/>
      <c r="J493" s="2839"/>
    </row>
    <row r="494" spans="1:19" hidden="1" outlineLevel="1" x14ac:dyDescent="0.15">
      <c r="A494" s="3041" t="s">
        <v>1235</v>
      </c>
      <c r="B494" s="3042" t="str">
        <f>A494</f>
        <v xml:space="preserve"> ==== SADS Exercise 1 Server Candidates ======</v>
      </c>
      <c r="C494" s="3043"/>
      <c r="D494" s="3044"/>
      <c r="E494" s="3045"/>
      <c r="F494" s="3046"/>
      <c r="G494" s="3047"/>
      <c r="H494" s="3048"/>
      <c r="I494" s="3049"/>
      <c r="J494" s="3049"/>
    </row>
    <row r="495" spans="1:19" hidden="1" outlineLevel="1" x14ac:dyDescent="0.15">
      <c r="A495" s="630" t="str">
        <f>CONCATENATE(B495," ",C495," core (",H495," chip) ",E495," MHz")&amp;IF(ISBLANK(F495),"**","")</f>
        <v>HP Xeon E3-1270v5 4 core (1 chip) 3600 MHz</v>
      </c>
      <c r="B495" s="661" t="s">
        <v>1430</v>
      </c>
      <c r="C495" s="2024">
        <v>4</v>
      </c>
      <c r="D495" s="52">
        <v>4</v>
      </c>
      <c r="E495" s="639">
        <v>3600</v>
      </c>
      <c r="F495" s="2192">
        <v>258</v>
      </c>
      <c r="G495" s="2193">
        <f>F495/C495</f>
        <v>64.5</v>
      </c>
      <c r="H495" s="2603">
        <f>C495/D495</f>
        <v>1</v>
      </c>
      <c r="I495" s="646" t="s">
        <v>335</v>
      </c>
      <c r="J495" s="2048">
        <v>80</v>
      </c>
      <c r="K495" s="2658"/>
      <c r="L495" s="1149"/>
      <c r="M495" s="1149"/>
      <c r="N495" s="1149"/>
      <c r="O495" s="1149"/>
      <c r="P495" s="2196"/>
      <c r="Q495" s="2196"/>
      <c r="R495" s="2196"/>
      <c r="S495" s="1149"/>
    </row>
    <row r="496" spans="1:19" hidden="1" outlineLevel="1" x14ac:dyDescent="0.15">
      <c r="A496" s="630" t="str">
        <f>CONCATENATE(B496," ",C496," core (",H496," chip) ",E496," MHz")&amp;IF(ISBLANK(F496),"**","")</f>
        <v>Dell Xeon E5-2637v4 4 core (1 chip) 3500 MHz</v>
      </c>
      <c r="B496" s="661" t="s">
        <v>1431</v>
      </c>
      <c r="C496" s="2024">
        <v>4</v>
      </c>
      <c r="D496" s="52">
        <v>4</v>
      </c>
      <c r="E496" s="639">
        <v>3500</v>
      </c>
      <c r="F496" s="2192">
        <v>240</v>
      </c>
      <c r="G496" s="2193">
        <f>F496/C496</f>
        <v>60</v>
      </c>
      <c r="H496" s="2603">
        <f>C496/D496</f>
        <v>1</v>
      </c>
      <c r="I496" s="646" t="s">
        <v>335</v>
      </c>
      <c r="J496" s="2048"/>
      <c r="K496" s="2658"/>
      <c r="L496" s="1149"/>
      <c r="M496" s="1149"/>
      <c r="N496" s="1149"/>
      <c r="O496" s="1149"/>
      <c r="P496" s="2196"/>
      <c r="Q496" s="2196"/>
      <c r="R496" s="2196"/>
      <c r="S496" s="1149"/>
    </row>
    <row r="497" spans="1:19" hidden="1" outlineLevel="1" x14ac:dyDescent="0.15">
      <c r="A497" s="630" t="str">
        <f>CONCATENATE(B497," ",C497," core (",H497," chip) ",E497," MHz")&amp;IF(ISBLANK(F497),"**","")</f>
        <v>IBM Intel E3-1280v5 4 core (1 chip) 3700 MHz</v>
      </c>
      <c r="B497" s="661" t="s">
        <v>1432</v>
      </c>
      <c r="C497" s="2024">
        <v>4</v>
      </c>
      <c r="D497" s="52">
        <v>4</v>
      </c>
      <c r="E497" s="639">
        <v>3700</v>
      </c>
      <c r="F497" s="2192">
        <v>252</v>
      </c>
      <c r="G497" s="2193">
        <f>F497/C497</f>
        <v>63</v>
      </c>
      <c r="H497" s="2603">
        <f>C497/D497</f>
        <v>1</v>
      </c>
      <c r="I497" s="646" t="s">
        <v>335</v>
      </c>
      <c r="J497" s="2048"/>
      <c r="K497" s="2658"/>
      <c r="L497" s="1149"/>
      <c r="M497" s="1149"/>
      <c r="N497" s="1149"/>
      <c r="O497" s="1149"/>
      <c r="P497" s="2196"/>
      <c r="Q497" s="2196"/>
      <c r="R497" s="2196"/>
      <c r="S497" s="1149"/>
    </row>
    <row r="498" spans="1:19" hidden="1" outlineLevel="1" x14ac:dyDescent="0.15">
      <c r="A498" s="630" t="str">
        <f>CONCATENATE(B498," ",C498," core (",H498," chip) ",E498," MHz")</f>
        <v>2011 Xeon E3-1280 4 core (1 chip) 3500 MHz</v>
      </c>
      <c r="B498" s="660" t="s">
        <v>1232</v>
      </c>
      <c r="C498" s="2024">
        <v>4</v>
      </c>
      <c r="D498" s="52">
        <v>4</v>
      </c>
      <c r="E498" s="639">
        <v>3500</v>
      </c>
      <c r="F498" s="2011">
        <v>160</v>
      </c>
      <c r="G498" s="2015">
        <f>F498/C498</f>
        <v>40</v>
      </c>
      <c r="H498" s="2603">
        <f>C498/D498</f>
        <v>1</v>
      </c>
      <c r="I498" s="646" t="s">
        <v>335</v>
      </c>
      <c r="J498" s="673">
        <v>95</v>
      </c>
    </row>
    <row r="499" spans="1:19" hidden="1" outlineLevel="1" x14ac:dyDescent="0.15">
      <c r="A499" s="3041" t="s">
        <v>1236</v>
      </c>
      <c r="B499" s="3042" t="str">
        <f>A499</f>
        <v xml:space="preserve"> ==== SADS Exercise 8 Best Buy ======</v>
      </c>
      <c r="C499" s="3043"/>
      <c r="D499" s="3044"/>
      <c r="E499" s="3045"/>
      <c r="F499" s="3046"/>
      <c r="G499" s="3047"/>
      <c r="H499" s="3050"/>
      <c r="I499" s="3049"/>
      <c r="J499" s="3051"/>
      <c r="K499" s="2651"/>
    </row>
    <row r="500" spans="1:19" hidden="1" outlineLevel="1" x14ac:dyDescent="0.15">
      <c r="A500" s="630" t="str">
        <f>CONCATENATE(B500," ",C500," core (",H500," chip) ",E500," MHz")&amp;IF(ISBLANK(F500),"**","")</f>
        <v>BB_Xeon E5-2637v4 4 core (1 chip) 3500 MHz</v>
      </c>
      <c r="B500" s="661" t="s">
        <v>1433</v>
      </c>
      <c r="C500" s="2024">
        <v>4</v>
      </c>
      <c r="D500" s="52">
        <v>4</v>
      </c>
      <c r="E500" s="639">
        <v>3500</v>
      </c>
      <c r="F500" s="2192">
        <v>240</v>
      </c>
      <c r="G500" s="2193">
        <f>F500/C500</f>
        <v>60</v>
      </c>
      <c r="H500" s="2603">
        <f>C500/D500</f>
        <v>1</v>
      </c>
      <c r="I500" s="646" t="s">
        <v>335</v>
      </c>
      <c r="J500" s="2048">
        <v>135</v>
      </c>
      <c r="K500" s="2647" t="s">
        <v>1423</v>
      </c>
      <c r="L500" s="1149"/>
      <c r="M500" s="1149"/>
      <c r="N500" s="1149"/>
      <c r="O500" s="1149"/>
      <c r="P500" s="2196"/>
      <c r="Q500" s="2196"/>
      <c r="R500" s="2196"/>
      <c r="S500" s="1149"/>
    </row>
    <row r="501" spans="1:19" hidden="1" outlineLevel="1" x14ac:dyDescent="0.15">
      <c r="A501" s="630" t="str">
        <f>CONCATENATE(B501," ",C501," core (",H501," chip) ",E501," MHz")&amp;IF(ISBLANK(F501),"**","")</f>
        <v>BB_Xeon E5-2637v4 8 core (2 chip) 3500 MHz</v>
      </c>
      <c r="B501" s="661" t="s">
        <v>1433</v>
      </c>
      <c r="C501" s="2024">
        <v>8</v>
      </c>
      <c r="D501" s="52">
        <v>4</v>
      </c>
      <c r="E501" s="639">
        <v>3500</v>
      </c>
      <c r="F501" s="2192">
        <v>479</v>
      </c>
      <c r="G501" s="2193">
        <f>F501/C501</f>
        <v>59.875</v>
      </c>
      <c r="H501" s="2603">
        <f>C501/D501</f>
        <v>2</v>
      </c>
      <c r="I501" s="646" t="s">
        <v>335</v>
      </c>
      <c r="J501" s="2048">
        <v>135</v>
      </c>
      <c r="K501" s="2647" t="s">
        <v>1423</v>
      </c>
      <c r="L501" s="1149"/>
      <c r="M501" s="1149"/>
      <c r="N501" s="1149"/>
      <c r="O501" s="1149"/>
      <c r="P501" s="2196"/>
      <c r="Q501" s="2196"/>
      <c r="R501" s="2196"/>
      <c r="S501" s="1149"/>
    </row>
    <row r="502" spans="1:19" hidden="1" outlineLevel="1" x14ac:dyDescent="0.15">
      <c r="A502" s="630" t="str">
        <f>CONCATENATE(B502," ",C502," core (",H502," chip) ",E502," MHz")&amp;IF(ISBLANK(F502),"**","")</f>
        <v>BB_Xeon E5-2643v4 12 core (2 chip) 3400 MHz</v>
      </c>
      <c r="B502" s="661" t="s">
        <v>1434</v>
      </c>
      <c r="C502" s="2024">
        <v>12</v>
      </c>
      <c r="D502" s="52">
        <v>6</v>
      </c>
      <c r="E502" s="639">
        <v>3400</v>
      </c>
      <c r="F502" s="2192">
        <v>702</v>
      </c>
      <c r="G502" s="2193">
        <f>F502/C502</f>
        <v>58.5</v>
      </c>
      <c r="H502" s="2603">
        <f>C502/D502</f>
        <v>2</v>
      </c>
      <c r="I502" s="646" t="s">
        <v>335</v>
      </c>
      <c r="J502" s="2048">
        <v>135</v>
      </c>
      <c r="K502" s="2647" t="s">
        <v>1423</v>
      </c>
      <c r="L502" s="1149"/>
      <c r="M502" s="1149"/>
      <c r="N502" s="1149"/>
      <c r="O502" s="1149"/>
      <c r="P502" s="2196"/>
      <c r="Q502" s="2196"/>
      <c r="R502" s="2196"/>
      <c r="S502" s="1149"/>
    </row>
    <row r="503" spans="1:19" hidden="1" outlineLevel="1" x14ac:dyDescent="0.15">
      <c r="A503" s="630" t="str">
        <f>CONCATENATE(B503," ",C503," core (",H503," chip) ",E503," MHz")&amp;IF(ISBLANK(F503),"**","")</f>
        <v>BB_Xeon E5-2667v4 16 core (2 chip) 3200 MHz</v>
      </c>
      <c r="B503" s="661" t="s">
        <v>1435</v>
      </c>
      <c r="C503" s="2024">
        <v>16</v>
      </c>
      <c r="D503" s="52">
        <v>8</v>
      </c>
      <c r="E503" s="639">
        <v>3200</v>
      </c>
      <c r="F503" s="2192">
        <v>888</v>
      </c>
      <c r="G503" s="2193">
        <f>F503/C503</f>
        <v>55.5</v>
      </c>
      <c r="H503" s="2603">
        <f>C503/D503</f>
        <v>2</v>
      </c>
      <c r="I503" s="646" t="s">
        <v>335</v>
      </c>
      <c r="J503" s="2048">
        <v>135</v>
      </c>
      <c r="K503" s="2647" t="s">
        <v>1423</v>
      </c>
      <c r="L503" s="1149"/>
      <c r="M503" s="1149"/>
      <c r="N503" s="1149"/>
      <c r="O503" s="1149"/>
      <c r="Q503" s="2196"/>
      <c r="R503" s="2196"/>
      <c r="S503" s="1149"/>
    </row>
    <row r="504" spans="1:19" s="693" customFormat="1" hidden="1" outlineLevel="1" x14ac:dyDescent="0.15">
      <c r="A504" s="630" t="str">
        <f t="shared" ref="A504:A509" si="105">CONCATENATE(B504," ",C504," core (",H504," chip) ",E504," MHz")</f>
        <v>BB_Xeon E5-2689v4 20 core (2 chip) 3100 MHz</v>
      </c>
      <c r="B504" s="661" t="s">
        <v>1436</v>
      </c>
      <c r="C504" s="2025">
        <v>20</v>
      </c>
      <c r="D504" s="50">
        <v>10</v>
      </c>
      <c r="E504" s="639">
        <v>3100</v>
      </c>
      <c r="F504" s="2012">
        <v>1040</v>
      </c>
      <c r="G504" s="2015">
        <f>IF(F504=0,"",F504/C504)</f>
        <v>52</v>
      </c>
      <c r="H504" s="2603">
        <f>IF(C504=0,"",C504/D504)</f>
        <v>2</v>
      </c>
      <c r="I504" s="647" t="s">
        <v>335</v>
      </c>
      <c r="J504" s="2048">
        <v>165</v>
      </c>
      <c r="K504" s="2650" t="s">
        <v>1423</v>
      </c>
      <c r="L504" s="1304"/>
      <c r="M504" s="1304"/>
      <c r="N504" s="1304"/>
      <c r="O504" s="1304"/>
      <c r="P504" s="31"/>
    </row>
    <row r="505" spans="1:19" s="693" customFormat="1" hidden="1" outlineLevel="1" x14ac:dyDescent="0.15">
      <c r="A505" s="630" t="str">
        <f t="shared" si="105"/>
        <v>BB_Xeon E5-2687Wv4 24 core (2 chip) 3000 MHz</v>
      </c>
      <c r="B505" s="661" t="s">
        <v>1437</v>
      </c>
      <c r="C505" s="2025">
        <v>24</v>
      </c>
      <c r="D505" s="50">
        <v>12</v>
      </c>
      <c r="E505" s="639">
        <v>3000</v>
      </c>
      <c r="F505" s="2012">
        <v>1180</v>
      </c>
      <c r="G505" s="2015">
        <f>IF(F505=0,"",F505/C505)</f>
        <v>49.166666666666664</v>
      </c>
      <c r="H505" s="2603">
        <f>IF(C505=0,"",C505/D505)</f>
        <v>2</v>
      </c>
      <c r="I505" s="647" t="s">
        <v>335</v>
      </c>
      <c r="J505" s="2048">
        <v>160</v>
      </c>
      <c r="K505" s="2650" t="s">
        <v>1423</v>
      </c>
      <c r="L505" s="1891"/>
      <c r="M505" s="1891"/>
      <c r="N505" s="1891"/>
      <c r="O505" s="1891"/>
      <c r="P505" s="31"/>
    </row>
    <row r="506" spans="1:19" s="693" customFormat="1" hidden="1" outlineLevel="1" x14ac:dyDescent="0.15">
      <c r="A506" s="630" t="str">
        <f t="shared" si="105"/>
        <v>BB_Xeon E5-2690v4 28 core (2 chip) 2600 MHz</v>
      </c>
      <c r="B506" s="661" t="s">
        <v>1438</v>
      </c>
      <c r="C506" s="2025">
        <v>28</v>
      </c>
      <c r="D506" s="50">
        <v>14</v>
      </c>
      <c r="E506" s="639">
        <v>2600</v>
      </c>
      <c r="F506" s="2012">
        <v>1330</v>
      </c>
      <c r="G506" s="2015">
        <f>F506/C506</f>
        <v>47.5</v>
      </c>
      <c r="H506" s="2603">
        <f>C506/D506</f>
        <v>2</v>
      </c>
      <c r="I506" s="646" t="s">
        <v>335</v>
      </c>
      <c r="J506" s="2048">
        <v>135</v>
      </c>
      <c r="K506" s="2648" t="s">
        <v>1423</v>
      </c>
      <c r="P506" s="31"/>
    </row>
    <row r="507" spans="1:19" s="693" customFormat="1" hidden="1" outlineLevel="1" x14ac:dyDescent="0.15">
      <c r="A507" s="630" t="str">
        <f t="shared" si="105"/>
        <v>BB_Xeon E5-2697Av4 32 core (2 chip) 2600 MHz</v>
      </c>
      <c r="B507" s="661" t="s">
        <v>1439</v>
      </c>
      <c r="C507" s="2025">
        <v>32</v>
      </c>
      <c r="D507" s="50">
        <v>16</v>
      </c>
      <c r="E507" s="639">
        <v>2600</v>
      </c>
      <c r="F507" s="2012">
        <v>1420</v>
      </c>
      <c r="G507" s="2015">
        <f>IF(F507=0,"",F507/C507)</f>
        <v>44.375</v>
      </c>
      <c r="H507" s="2603">
        <f>IF(C507=0,"",C507/D507)</f>
        <v>2</v>
      </c>
      <c r="I507" s="647" t="s">
        <v>335</v>
      </c>
      <c r="J507" s="2048">
        <v>145</v>
      </c>
      <c r="K507" s="2650" t="s">
        <v>1423</v>
      </c>
      <c r="L507" s="1304"/>
      <c r="M507" s="1304"/>
      <c r="N507" s="1304"/>
      <c r="O507" s="1304"/>
      <c r="P507" s="31"/>
    </row>
    <row r="508" spans="1:19" s="693" customFormat="1" hidden="1" outlineLevel="1" x14ac:dyDescent="0.15">
      <c r="A508" s="630" t="str">
        <f t="shared" si="105"/>
        <v>BB_Xeon E5-2697v4 36 core (2 chip) 2300 MHz</v>
      </c>
      <c r="B508" s="661" t="s">
        <v>1440</v>
      </c>
      <c r="C508" s="2025">
        <v>36</v>
      </c>
      <c r="D508" s="50">
        <v>18</v>
      </c>
      <c r="E508" s="639">
        <v>2300</v>
      </c>
      <c r="F508" s="2012">
        <v>1510</v>
      </c>
      <c r="G508" s="2015">
        <f>IF(F508=0,"",F508/C508)</f>
        <v>41.944444444444443</v>
      </c>
      <c r="H508" s="2603">
        <f>IF(C508=0,"",C508/D508)</f>
        <v>2</v>
      </c>
      <c r="I508" s="647" t="s">
        <v>335</v>
      </c>
      <c r="J508" s="2048">
        <v>145</v>
      </c>
      <c r="K508" s="2650" t="s">
        <v>1423</v>
      </c>
      <c r="L508" s="1891"/>
      <c r="M508" s="1891"/>
      <c r="N508" s="1891"/>
      <c r="O508" s="1891"/>
      <c r="P508" s="31"/>
    </row>
    <row r="509" spans="1:19" s="693" customFormat="1" hidden="1" outlineLevel="1" x14ac:dyDescent="0.15">
      <c r="A509" s="630" t="str">
        <f t="shared" si="105"/>
        <v>BB_Xeon E5-2699v4 44 core (2 chip) 2200 MHz</v>
      </c>
      <c r="B509" s="661" t="s">
        <v>1441</v>
      </c>
      <c r="C509" s="2025">
        <v>44</v>
      </c>
      <c r="D509" s="50">
        <v>22</v>
      </c>
      <c r="E509" s="639">
        <v>2200</v>
      </c>
      <c r="F509" s="2012">
        <v>1810</v>
      </c>
      <c r="G509" s="2015">
        <f>F509/C509</f>
        <v>41.136363636363633</v>
      </c>
      <c r="H509" s="2603">
        <f>C509/D509</f>
        <v>2</v>
      </c>
      <c r="I509" s="646" t="s">
        <v>335</v>
      </c>
      <c r="J509" s="2048">
        <v>145</v>
      </c>
      <c r="K509" s="2650" t="s">
        <v>1423</v>
      </c>
      <c r="P509" s="31"/>
    </row>
    <row r="510" spans="1:19" hidden="1" outlineLevel="1" x14ac:dyDescent="0.15">
      <c r="A510" s="3041" t="s">
        <v>1237</v>
      </c>
      <c r="B510" s="3042" t="str">
        <f>A510</f>
        <v xml:space="preserve"> ==== SADS Exercise 8 Server History ======</v>
      </c>
      <c r="C510" s="3043"/>
      <c r="D510" s="3044"/>
      <c r="E510" s="3045"/>
      <c r="F510" s="3046"/>
      <c r="G510" s="3047"/>
      <c r="H510" s="3050"/>
      <c r="I510" s="3049"/>
      <c r="J510" s="3051"/>
      <c r="K510" s="2651"/>
    </row>
    <row r="511" spans="1:19" hidden="1" outlineLevel="1" x14ac:dyDescent="0.15">
      <c r="A511" s="630" t="str">
        <f>CONCATENATE(B511," ",C511," core (",H511," chip) ",E511," MHz")&amp;IF(ISBLANK(F511),"**","")</f>
        <v>2016 Xeon E5-2667v4 16 core (2 chip) 3200 MHz</v>
      </c>
      <c r="B511" s="661" t="s">
        <v>1402</v>
      </c>
      <c r="C511" s="2024">
        <v>16</v>
      </c>
      <c r="D511" s="52">
        <v>8</v>
      </c>
      <c r="E511" s="639">
        <v>3200</v>
      </c>
      <c r="F511" s="2192">
        <v>888</v>
      </c>
      <c r="G511" s="2193">
        <f>F511/C511</f>
        <v>55.5</v>
      </c>
      <c r="H511" s="2603">
        <f>C511/D511</f>
        <v>2</v>
      </c>
      <c r="I511" s="646" t="s">
        <v>335</v>
      </c>
      <c r="J511" s="2048">
        <v>135</v>
      </c>
      <c r="K511" s="2647" t="s">
        <v>1423</v>
      </c>
      <c r="L511" s="1149"/>
      <c r="M511" s="1149"/>
      <c r="N511" s="1149"/>
      <c r="O511" s="1149"/>
      <c r="Q511" s="2196"/>
      <c r="R511" s="2196"/>
      <c r="S511" s="1149"/>
    </row>
    <row r="512" spans="1:19" hidden="1" outlineLevel="1" x14ac:dyDescent="0.15">
      <c r="A512" s="630" t="str">
        <f>CONCATENATE(B512," ",C512," core (",H512," chip) ",E512," MHz")&amp;IF(ISBLANK(F512),"**","")</f>
        <v>2016 Xeon E5-2637v4 4 core (1 chip) 3500 MHz</v>
      </c>
      <c r="B512" s="661" t="s">
        <v>1405</v>
      </c>
      <c r="C512" s="2024">
        <v>4</v>
      </c>
      <c r="D512" s="52">
        <v>4</v>
      </c>
      <c r="E512" s="639">
        <v>3500</v>
      </c>
      <c r="F512" s="2192">
        <v>240</v>
      </c>
      <c r="G512" s="2193">
        <f>F512/C512</f>
        <v>60</v>
      </c>
      <c r="H512" s="2603">
        <f>C512/D512</f>
        <v>1</v>
      </c>
      <c r="I512" s="646" t="s">
        <v>335</v>
      </c>
      <c r="J512" s="2048">
        <v>135</v>
      </c>
      <c r="K512" s="2647" t="s">
        <v>1423</v>
      </c>
      <c r="L512" s="1149"/>
      <c r="M512" s="1149"/>
      <c r="N512" s="1149"/>
      <c r="O512" s="1149"/>
      <c r="P512" s="2196"/>
      <c r="Q512" s="2196"/>
      <c r="R512" s="2196"/>
      <c r="S512" s="1149"/>
    </row>
    <row r="513" spans="1:19" hidden="1" outlineLevel="1" x14ac:dyDescent="0.15">
      <c r="A513" s="630" t="str">
        <f>CONCATENATE(B513," ",C513," core (",H513," chip) ",E513," MHz")&amp;IF(ISBLANK(F513),"**","")</f>
        <v>2015 Xeon E5-2637v3 4 core (1 chip) 3500 MHz</v>
      </c>
      <c r="B513" s="661" t="s">
        <v>1228</v>
      </c>
      <c r="C513" s="2024">
        <v>4</v>
      </c>
      <c r="D513" s="52">
        <v>4</v>
      </c>
      <c r="E513" s="639">
        <v>3500</v>
      </c>
      <c r="F513" s="2192">
        <v>235</v>
      </c>
      <c r="G513" s="2193">
        <f>F513/C513</f>
        <v>58.75</v>
      </c>
      <c r="H513" s="2603">
        <f>C513/D513</f>
        <v>1</v>
      </c>
      <c r="I513" s="646" t="s">
        <v>335</v>
      </c>
      <c r="J513" s="2048">
        <v>135</v>
      </c>
      <c r="K513" s="2647">
        <v>42050</v>
      </c>
      <c r="L513" s="1149"/>
      <c r="M513" s="1149"/>
      <c r="N513" s="1149"/>
      <c r="O513" s="1149"/>
      <c r="P513" s="2196"/>
      <c r="Q513" s="2196"/>
      <c r="R513" s="2196"/>
      <c r="S513" s="1149"/>
    </row>
    <row r="514" spans="1:19" s="693" customFormat="1" hidden="1" outlineLevel="1" x14ac:dyDescent="0.15">
      <c r="A514" s="630" t="str">
        <f>CONCATENATE(B514," ",C514," core (",H514," chip) ",E514," MHz")</f>
        <v>2014 Xeon E5-2637v2 4 core (1 chip) 3500 MHz</v>
      </c>
      <c r="B514" s="661" t="s">
        <v>1229</v>
      </c>
      <c r="C514" s="2025">
        <v>4</v>
      </c>
      <c r="D514" s="50">
        <v>4</v>
      </c>
      <c r="E514" s="639">
        <v>3500</v>
      </c>
      <c r="F514" s="2012">
        <v>211</v>
      </c>
      <c r="G514" s="2015">
        <f>IF(F514=0,"",F514/C514)</f>
        <v>52.75</v>
      </c>
      <c r="H514" s="2603">
        <f>IF(C514=0,"",C514/D514)</f>
        <v>1</v>
      </c>
      <c r="I514" s="647" t="s">
        <v>335</v>
      </c>
      <c r="J514" s="2048">
        <v>130</v>
      </c>
      <c r="K514" s="2650"/>
      <c r="L514" s="1304"/>
      <c r="M514" s="1304"/>
      <c r="N514" s="1304"/>
      <c r="O514" s="1304"/>
      <c r="P514" s="1305"/>
    </row>
    <row r="515" spans="1:19" s="693" customFormat="1" hidden="1" outlineLevel="1" x14ac:dyDescent="0.15">
      <c r="A515" s="630" t="str">
        <f>CONCATENATE(B515," ",C515," core (",H515," chip) ",E515," MHz")</f>
        <v>2013 Xeon E3-1280V2 4 core (1 chip) 3600 MHz</v>
      </c>
      <c r="B515" s="661" t="s">
        <v>1230</v>
      </c>
      <c r="C515" s="2025">
        <v>4</v>
      </c>
      <c r="D515" s="50">
        <v>4</v>
      </c>
      <c r="E515" s="639">
        <v>3600</v>
      </c>
      <c r="F515" s="2012">
        <v>192</v>
      </c>
      <c r="G515" s="2015">
        <f>IF(F515=0,"",F515/C515)</f>
        <v>48</v>
      </c>
      <c r="H515" s="2603">
        <f>IF(C515=0,"",C515/D515)</f>
        <v>1</v>
      </c>
      <c r="I515" s="647" t="s">
        <v>335</v>
      </c>
      <c r="J515" s="2048">
        <v>69</v>
      </c>
      <c r="K515" s="2650"/>
      <c r="L515" s="1891"/>
      <c r="M515" s="1891"/>
      <c r="N515" s="1891"/>
      <c r="O515" s="1891"/>
      <c r="P515" s="1305"/>
    </row>
    <row r="516" spans="1:19" s="693" customFormat="1" hidden="1" outlineLevel="1" x14ac:dyDescent="0.15">
      <c r="A516" s="630" t="str">
        <f>CONCATENATE(B516," ",C516," core (",H516," chip) ",E516," MHz")</f>
        <v>2012 Xeon E5-2643 4 core (1 chip) 3300 MHz</v>
      </c>
      <c r="B516" s="661" t="s">
        <v>1231</v>
      </c>
      <c r="C516" s="2025">
        <v>4</v>
      </c>
      <c r="D516" s="50">
        <v>4</v>
      </c>
      <c r="E516" s="639">
        <v>3300</v>
      </c>
      <c r="F516" s="2012">
        <v>185</v>
      </c>
      <c r="G516" s="2015">
        <f>IF(F516=0,"",F516/C516)</f>
        <v>46.25</v>
      </c>
      <c r="H516" s="2603">
        <f>IF(C516=0,"",C516/D516)</f>
        <v>1</v>
      </c>
      <c r="I516" s="647" t="s">
        <v>335</v>
      </c>
      <c r="J516" s="2048">
        <v>130</v>
      </c>
      <c r="K516" s="2650"/>
      <c r="L516" s="1304"/>
      <c r="M516" s="1304"/>
      <c r="N516" s="1304"/>
      <c r="O516" s="1304"/>
      <c r="P516" s="1305"/>
    </row>
    <row r="517" spans="1:19" hidden="1" outlineLevel="1" x14ac:dyDescent="0.15">
      <c r="A517" s="630" t="str">
        <f>CONCATENATE(B517," ",C517," core (",H517," chip) ",E517," MHz")</f>
        <v>2011 Xeon E3-1280 4 core (1 chip) 3500 MHz</v>
      </c>
      <c r="B517" s="660" t="s">
        <v>1232</v>
      </c>
      <c r="C517" s="2024">
        <v>4</v>
      </c>
      <c r="D517" s="52">
        <v>4</v>
      </c>
      <c r="E517" s="639">
        <v>3500</v>
      </c>
      <c r="F517" s="2011">
        <v>160</v>
      </c>
      <c r="G517" s="2015">
        <f>F517/C517</f>
        <v>40</v>
      </c>
      <c r="H517" s="2603">
        <f>C517/D517</f>
        <v>1</v>
      </c>
      <c r="I517" s="646" t="s">
        <v>335</v>
      </c>
      <c r="J517" s="673">
        <v>95</v>
      </c>
      <c r="K517" s="2651"/>
    </row>
    <row r="518" spans="1:19" hidden="1" outlineLevel="1" x14ac:dyDescent="0.15">
      <c r="A518" s="630" t="str">
        <f>CONCATENATE(B518," ",C518," core (",H518," chip) ",E518," MHz")</f>
        <v>2010 Xeon X5677 4 core (1 chip) 3467 MHz</v>
      </c>
      <c r="B518" s="660" t="s">
        <v>1233</v>
      </c>
      <c r="C518" s="2024">
        <v>4</v>
      </c>
      <c r="D518" s="52">
        <v>4</v>
      </c>
      <c r="E518" s="639">
        <v>3467</v>
      </c>
      <c r="F518" s="2011">
        <v>141.5</v>
      </c>
      <c r="G518" s="2015">
        <f>F518/C518</f>
        <v>35.375</v>
      </c>
      <c r="H518" s="2603">
        <f>C518/D518</f>
        <v>1</v>
      </c>
      <c r="I518" s="646" t="s">
        <v>335</v>
      </c>
      <c r="J518" s="673">
        <v>130</v>
      </c>
      <c r="K518" s="2651"/>
    </row>
    <row r="519" spans="1:19" hidden="1" outlineLevel="1" x14ac:dyDescent="0.15">
      <c r="A519" s="3041" t="s">
        <v>1302</v>
      </c>
      <c r="B519" s="3042" t="str">
        <f>A519</f>
        <v xml:space="preserve"> ==== SADS Demo 10 Queue ======</v>
      </c>
      <c r="C519" s="3043"/>
      <c r="D519" s="3044"/>
      <c r="E519" s="3045"/>
      <c r="F519" s="3046"/>
      <c r="G519" s="3047"/>
      <c r="H519" s="3050"/>
      <c r="I519" s="3049"/>
      <c r="J519" s="3051"/>
      <c r="K519" s="2651"/>
    </row>
    <row r="520" spans="1:19" hidden="1" outlineLevel="1" x14ac:dyDescent="0.15">
      <c r="A520" s="630" t="str">
        <f>CONCATENATE(B520," ",C520," core (",H520," chip) ",E520," MHz")&amp;IF(ISBLANK(F520),"**","")</f>
        <v>Q8Host_Xeon E5-2667v4 8 core (1 chip) 3200 MHz</v>
      </c>
      <c r="B520" s="661" t="s">
        <v>1428</v>
      </c>
      <c r="C520" s="2024">
        <v>8</v>
      </c>
      <c r="D520" s="52">
        <v>8</v>
      </c>
      <c r="E520" s="639">
        <v>3200</v>
      </c>
      <c r="F520" s="2192">
        <v>444</v>
      </c>
      <c r="G520" s="2193">
        <f>F520/C520</f>
        <v>55.5</v>
      </c>
      <c r="H520" s="2603">
        <f>C520/D520</f>
        <v>1</v>
      </c>
      <c r="I520" s="646" t="s">
        <v>335</v>
      </c>
      <c r="J520" s="2048">
        <v>135</v>
      </c>
      <c r="K520" s="2647" t="s">
        <v>1423</v>
      </c>
      <c r="L520" s="1149"/>
      <c r="M520" s="1149"/>
      <c r="N520" s="1149"/>
      <c r="O520" s="1149"/>
      <c r="Q520" s="2196"/>
      <c r="R520" s="2196"/>
      <c r="S520" s="1149"/>
    </row>
    <row r="521" spans="1:19" hidden="1" outlineLevel="1" x14ac:dyDescent="0.15">
      <c r="A521" s="630" t="str">
        <f>CONCATENATE(B521," ",C521," core (",H521," chip) ",E521," MHz")&amp;IF(ISBLANK(F521),"**","")</f>
        <v>Q12Host_Xeon E5-2667v4 12 core (1.5 chip) 3200 MHz</v>
      </c>
      <c r="B521" s="661" t="s">
        <v>1427</v>
      </c>
      <c r="C521" s="2024">
        <v>12</v>
      </c>
      <c r="D521" s="52">
        <v>8</v>
      </c>
      <c r="E521" s="639">
        <v>3200</v>
      </c>
      <c r="F521" s="2192">
        <v>666</v>
      </c>
      <c r="G521" s="2193">
        <f>F521/C521</f>
        <v>55.5</v>
      </c>
      <c r="H521" s="2603">
        <f>C521/D521</f>
        <v>1.5</v>
      </c>
      <c r="I521" s="646" t="s">
        <v>335</v>
      </c>
      <c r="J521" s="2048">
        <v>135</v>
      </c>
      <c r="K521" s="2647" t="s">
        <v>1423</v>
      </c>
      <c r="L521" s="1149"/>
      <c r="M521" s="1149"/>
      <c r="N521" s="1149"/>
      <c r="O521" s="1149"/>
      <c r="Q521" s="2196"/>
      <c r="R521" s="2196"/>
      <c r="S521" s="1149"/>
    </row>
    <row r="522" spans="1:19" hidden="1" outlineLevel="1" x14ac:dyDescent="0.15">
      <c r="A522" s="630" t="str">
        <f>CONCATENATE(B522," ",C522," core (",H522," chip) ",E522," MHz")&amp;IF(ISBLANK(F522),"**","")</f>
        <v>Q16Host_Xeon E5-2667v4 16 core (2 chip) 3200 MHz</v>
      </c>
      <c r="B522" s="661" t="s">
        <v>1426</v>
      </c>
      <c r="C522" s="2024">
        <v>16</v>
      </c>
      <c r="D522" s="52">
        <v>8</v>
      </c>
      <c r="E522" s="639">
        <v>3200</v>
      </c>
      <c r="F522" s="2192">
        <v>888</v>
      </c>
      <c r="G522" s="2193">
        <f>F522/C522</f>
        <v>55.5</v>
      </c>
      <c r="H522" s="2603">
        <f>C522/D522</f>
        <v>2</v>
      </c>
      <c r="I522" s="646" t="s">
        <v>335</v>
      </c>
      <c r="J522" s="2048">
        <v>135</v>
      </c>
      <c r="K522" s="2647" t="s">
        <v>1423</v>
      </c>
      <c r="L522" s="1149"/>
      <c r="M522" s="1149"/>
      <c r="N522" s="1149"/>
      <c r="O522" s="1149"/>
      <c r="Q522" s="2196"/>
      <c r="R522" s="2196"/>
      <c r="S522" s="1149"/>
    </row>
    <row r="523" spans="1:19" collapsed="1" x14ac:dyDescent="0.15">
      <c r="A523" s="627" t="s">
        <v>417</v>
      </c>
      <c r="B523" s="662" t="str">
        <f>A523</f>
        <v xml:space="preserve"> ==== Performance Baselines ======</v>
      </c>
      <c r="C523" s="657"/>
      <c r="D523" s="2027"/>
      <c r="E523" s="2028"/>
      <c r="F523" s="2013"/>
      <c r="G523" s="2018"/>
      <c r="H523" s="2605"/>
      <c r="I523" s="644"/>
      <c r="J523" s="2645" t="s">
        <v>1224</v>
      </c>
      <c r="K523" s="2651"/>
    </row>
    <row r="524" spans="1:19" hidden="1" outlineLevel="1" x14ac:dyDescent="0.15">
      <c r="A524" s="635" t="str">
        <f t="shared" ref="A524:A537" si="106">CONCATENATE(B524," ",C524," core (",H524," chip) ",E524," MHz")</f>
        <v>Arc17 Baseline 4 core (1 chip) 3600 MHz</v>
      </c>
      <c r="B524" s="663" t="s">
        <v>1504</v>
      </c>
      <c r="C524" s="2038">
        <v>4</v>
      </c>
      <c r="D524" s="53">
        <v>4</v>
      </c>
      <c r="E524" s="639">
        <v>3600</v>
      </c>
      <c r="F524" s="2011">
        <f t="shared" ref="F524:F532" si="107">C524*G524</f>
        <v>256</v>
      </c>
      <c r="G524" s="2554">
        <v>64</v>
      </c>
      <c r="H524" s="2607">
        <f>C524/D524</f>
        <v>1</v>
      </c>
      <c r="I524" s="648" t="s">
        <v>335</v>
      </c>
      <c r="J524" s="2645"/>
      <c r="K524" s="2651"/>
    </row>
    <row r="525" spans="1:19" hidden="1" outlineLevel="1" x14ac:dyDescent="0.15">
      <c r="A525" s="635" t="str">
        <f t="shared" si="106"/>
        <v>Arc16 Baseline 4 core (1 chip) 3600 MHz</v>
      </c>
      <c r="B525" s="663" t="s">
        <v>1335</v>
      </c>
      <c r="C525" s="2038">
        <v>4</v>
      </c>
      <c r="D525" s="53">
        <v>4</v>
      </c>
      <c r="E525" s="639">
        <v>3600</v>
      </c>
      <c r="F525" s="2011">
        <f t="shared" si="107"/>
        <v>256</v>
      </c>
      <c r="G525" s="2874">
        <v>64</v>
      </c>
      <c r="H525" s="2607">
        <f>C525/D525</f>
        <v>1</v>
      </c>
      <c r="I525" s="648" t="s">
        <v>335</v>
      </c>
      <c r="J525" s="2645"/>
      <c r="K525" s="2651"/>
    </row>
    <row r="526" spans="1:19" hidden="1" outlineLevel="1" x14ac:dyDescent="0.15">
      <c r="A526" s="635" t="str">
        <f t="shared" si="106"/>
        <v>Arc15 Baseline 4 core (1 chip) 3500 MHz</v>
      </c>
      <c r="B526" s="663" t="s">
        <v>1115</v>
      </c>
      <c r="C526" s="2038">
        <v>4</v>
      </c>
      <c r="D526" s="53">
        <v>4</v>
      </c>
      <c r="E526" s="639">
        <v>3500</v>
      </c>
      <c r="F526" s="2011">
        <f t="shared" si="107"/>
        <v>232</v>
      </c>
      <c r="G526" s="2015">
        <v>58</v>
      </c>
      <c r="H526" s="2607">
        <f>C526/D526</f>
        <v>1</v>
      </c>
      <c r="I526" s="648" t="s">
        <v>335</v>
      </c>
      <c r="J526" s="2645">
        <f>G525/G526 -1</f>
        <v>0.10344827586206895</v>
      </c>
      <c r="K526" s="2651"/>
    </row>
    <row r="527" spans="1:19" hidden="1" outlineLevel="1" x14ac:dyDescent="0.15">
      <c r="A527" s="635" t="str">
        <f t="shared" si="106"/>
        <v>Arc14 Baseline 4 core (1 chip) 3600 MHz</v>
      </c>
      <c r="B527" s="663" t="s">
        <v>911</v>
      </c>
      <c r="C527" s="2038">
        <v>4</v>
      </c>
      <c r="D527" s="53">
        <v>4</v>
      </c>
      <c r="E527" s="639">
        <v>3600</v>
      </c>
      <c r="F527" s="2011">
        <f t="shared" si="107"/>
        <v>212</v>
      </c>
      <c r="G527" s="2015">
        <v>53</v>
      </c>
      <c r="H527" s="2607">
        <f>C527/D527</f>
        <v>1</v>
      </c>
      <c r="I527" s="648" t="s">
        <v>335</v>
      </c>
      <c r="J527" s="2645">
        <f>G526/G527 -1</f>
        <v>9.4339622641509413E-2</v>
      </c>
      <c r="K527" s="2651"/>
    </row>
    <row r="528" spans="1:19" hidden="1" outlineLevel="1" x14ac:dyDescent="0.15">
      <c r="A528" s="635" t="str">
        <f t="shared" si="106"/>
        <v>Arc13 Baseline 4 core (1 chip) 3600 MHz</v>
      </c>
      <c r="B528" s="663" t="s">
        <v>781</v>
      </c>
      <c r="C528" s="2038">
        <v>4</v>
      </c>
      <c r="D528" s="53">
        <v>4</v>
      </c>
      <c r="E528" s="639">
        <v>3600</v>
      </c>
      <c r="F528" s="2011">
        <f t="shared" si="107"/>
        <v>200</v>
      </c>
      <c r="G528" s="2015">
        <v>50</v>
      </c>
      <c r="H528" s="2607">
        <f t="shared" ref="H528:H537" si="108">C528/D528</f>
        <v>1</v>
      </c>
      <c r="I528" s="648" t="s">
        <v>335</v>
      </c>
      <c r="J528" s="2645">
        <f t="shared" ref="J528:J536" si="109">G527/G528 -1</f>
        <v>6.0000000000000053E-2</v>
      </c>
      <c r="K528" s="2651"/>
    </row>
    <row r="529" spans="1:11" hidden="1" outlineLevel="1" x14ac:dyDescent="0.15">
      <c r="A529" s="635" t="str">
        <f t="shared" si="106"/>
        <v>Arc12 Baseline 4 core (1 chip) 3600 MHz</v>
      </c>
      <c r="B529" s="663" t="s">
        <v>592</v>
      </c>
      <c r="C529" s="2038">
        <v>4</v>
      </c>
      <c r="D529" s="53">
        <v>4</v>
      </c>
      <c r="E529" s="639">
        <v>3600</v>
      </c>
      <c r="F529" s="2011">
        <f t="shared" si="107"/>
        <v>180</v>
      </c>
      <c r="G529" s="2015">
        <v>45</v>
      </c>
      <c r="H529" s="2607">
        <f t="shared" si="108"/>
        <v>1</v>
      </c>
      <c r="I529" s="648" t="s">
        <v>335</v>
      </c>
      <c r="J529" s="2645">
        <f t="shared" si="109"/>
        <v>0.11111111111111116</v>
      </c>
      <c r="K529" s="2651"/>
    </row>
    <row r="530" spans="1:11" hidden="1" outlineLevel="1" x14ac:dyDescent="0.15">
      <c r="A530" s="635" t="str">
        <f t="shared" si="106"/>
        <v>Arc11 Baseline 4 core (1 chip) 3600 MHz</v>
      </c>
      <c r="B530" s="663" t="s">
        <v>465</v>
      </c>
      <c r="C530" s="2038">
        <v>4</v>
      </c>
      <c r="D530" s="53">
        <v>4</v>
      </c>
      <c r="E530" s="639">
        <v>3600</v>
      </c>
      <c r="F530" s="2011">
        <f t="shared" si="107"/>
        <v>160</v>
      </c>
      <c r="G530" s="2015">
        <v>40</v>
      </c>
      <c r="H530" s="2607">
        <f t="shared" si="108"/>
        <v>1</v>
      </c>
      <c r="I530" s="648" t="s">
        <v>335</v>
      </c>
      <c r="J530" s="2645">
        <f t="shared" si="109"/>
        <v>0.125</v>
      </c>
      <c r="K530" s="2651"/>
    </row>
    <row r="531" spans="1:11" hidden="1" outlineLevel="1" x14ac:dyDescent="0.15">
      <c r="A531" s="635" t="str">
        <f t="shared" si="106"/>
        <v>Arc10 Baseline 4 core (1 chip) 3467 MHz</v>
      </c>
      <c r="B531" s="663" t="s">
        <v>136</v>
      </c>
      <c r="C531" s="2038">
        <v>4</v>
      </c>
      <c r="D531" s="53">
        <v>4</v>
      </c>
      <c r="E531" s="639">
        <v>3467</v>
      </c>
      <c r="F531" s="2011">
        <f t="shared" si="107"/>
        <v>140</v>
      </c>
      <c r="G531" s="2015">
        <v>35</v>
      </c>
      <c r="H531" s="2607">
        <f t="shared" si="108"/>
        <v>1</v>
      </c>
      <c r="I531" s="648" t="s">
        <v>335</v>
      </c>
      <c r="J531" s="2645">
        <f t="shared" si="109"/>
        <v>0.14285714285714279</v>
      </c>
      <c r="K531" s="2651"/>
    </row>
    <row r="532" spans="1:11" hidden="1" outlineLevel="1" x14ac:dyDescent="0.15">
      <c r="A532" s="635" t="str">
        <f t="shared" si="106"/>
        <v>Arc09 Baseline 4 core (1 chip) 2933 MHz</v>
      </c>
      <c r="B532" s="663" t="s">
        <v>8</v>
      </c>
      <c r="C532" s="2038">
        <v>4</v>
      </c>
      <c r="D532" s="53">
        <v>4</v>
      </c>
      <c r="E532" s="639">
        <v>2933</v>
      </c>
      <c r="F532" s="2011">
        <f t="shared" ca="1" si="107"/>
        <v>120</v>
      </c>
      <c r="G532" s="2015">
        <f t="shared" ref="G532:G537" ca="1" si="110">F532/C532</f>
        <v>30</v>
      </c>
      <c r="H532" s="2607">
        <f t="shared" si="108"/>
        <v>1</v>
      </c>
      <c r="I532" s="648" t="s">
        <v>335</v>
      </c>
      <c r="J532" s="2645">
        <f t="shared" ca="1" si="109"/>
        <v>0.16666666666666674</v>
      </c>
      <c r="K532" s="2651"/>
    </row>
    <row r="533" spans="1:11" hidden="1" outlineLevel="1" x14ac:dyDescent="0.15">
      <c r="A533" s="635" t="str">
        <f t="shared" si="106"/>
        <v>Arc08 Baseline 4 core (2 chip) 3300 MHz</v>
      </c>
      <c r="B533" s="663" t="s">
        <v>438</v>
      </c>
      <c r="C533" s="2038">
        <v>4</v>
      </c>
      <c r="D533" s="53">
        <v>2</v>
      </c>
      <c r="E533" s="639">
        <v>3300</v>
      </c>
      <c r="F533" s="2011">
        <v>70</v>
      </c>
      <c r="G533" s="2015">
        <f t="shared" si="110"/>
        <v>17.5</v>
      </c>
      <c r="H533" s="2607">
        <f t="shared" si="108"/>
        <v>2</v>
      </c>
      <c r="I533" s="648" t="s">
        <v>335</v>
      </c>
      <c r="J533" s="2645">
        <f t="shared" ca="1" si="109"/>
        <v>0.71428571428571419</v>
      </c>
      <c r="K533" s="2651"/>
    </row>
    <row r="534" spans="1:11" hidden="1" outlineLevel="1" x14ac:dyDescent="0.15">
      <c r="A534" s="635" t="str">
        <f t="shared" si="106"/>
        <v>Arc07 Baseline 4 core (2 chip) 3000 MHz</v>
      </c>
      <c r="B534" s="663" t="s">
        <v>439</v>
      </c>
      <c r="C534" s="2038">
        <v>4</v>
      </c>
      <c r="D534" s="53">
        <v>2</v>
      </c>
      <c r="E534" s="639">
        <v>3000</v>
      </c>
      <c r="F534" s="2011">
        <v>56</v>
      </c>
      <c r="G534" s="2015">
        <f t="shared" si="110"/>
        <v>14</v>
      </c>
      <c r="H534" s="2607">
        <f t="shared" si="108"/>
        <v>2</v>
      </c>
      <c r="I534" s="648" t="s">
        <v>335</v>
      </c>
      <c r="J534" s="2645">
        <f t="shared" si="109"/>
        <v>0.25</v>
      </c>
      <c r="K534" s="2651"/>
    </row>
    <row r="535" spans="1:11" hidden="1" outlineLevel="1" x14ac:dyDescent="0.15">
      <c r="A535" s="635" t="str">
        <f t="shared" si="106"/>
        <v>Arc06 Baseline 2 core (2 chip) 3800 MHz</v>
      </c>
      <c r="B535" s="663" t="s">
        <v>440</v>
      </c>
      <c r="C535" s="2038">
        <v>2</v>
      </c>
      <c r="D535" s="53">
        <v>1</v>
      </c>
      <c r="E535" s="639">
        <v>3800</v>
      </c>
      <c r="F535" s="2011">
        <v>20.952380952380953</v>
      </c>
      <c r="G535" s="2015">
        <f t="shared" si="110"/>
        <v>10.476190476190476</v>
      </c>
      <c r="H535" s="2607">
        <f t="shared" si="108"/>
        <v>2</v>
      </c>
      <c r="I535" s="648" t="s">
        <v>335</v>
      </c>
      <c r="J535" s="2645">
        <f t="shared" si="109"/>
        <v>0.33636363636363642</v>
      </c>
      <c r="K535" s="2651"/>
    </row>
    <row r="536" spans="1:11" hidden="1" outlineLevel="1" x14ac:dyDescent="0.15">
      <c r="A536" s="635" t="str">
        <f t="shared" si="106"/>
        <v>Arc04/05 Baseline 2 core (2 chip) 3200 MHz</v>
      </c>
      <c r="B536" s="663" t="s">
        <v>441</v>
      </c>
      <c r="C536" s="2039">
        <v>2</v>
      </c>
      <c r="D536" s="54">
        <v>1</v>
      </c>
      <c r="E536" s="639">
        <v>3200</v>
      </c>
      <c r="F536" s="2011">
        <v>17.142857142857142</v>
      </c>
      <c r="G536" s="2015">
        <f t="shared" si="110"/>
        <v>8.5714285714285712</v>
      </c>
      <c r="H536" s="2607">
        <f t="shared" si="108"/>
        <v>2</v>
      </c>
      <c r="I536" s="648" t="s">
        <v>335</v>
      </c>
      <c r="J536" s="2645">
        <f t="shared" si="109"/>
        <v>0.22222222222222232</v>
      </c>
      <c r="K536" s="2651"/>
    </row>
    <row r="537" spans="1:11" hidden="1" outlineLevel="1" x14ac:dyDescent="0.15">
      <c r="A537" s="635" t="str">
        <f t="shared" si="106"/>
        <v>Arc03 Baseline 2 core (2 chip) 2000 MHz</v>
      </c>
      <c r="B537" s="663" t="s">
        <v>442</v>
      </c>
      <c r="C537" s="2039">
        <v>2</v>
      </c>
      <c r="D537" s="54">
        <v>1</v>
      </c>
      <c r="E537" s="639">
        <v>2000</v>
      </c>
      <c r="F537" s="2011">
        <v>8.5714285714285712</v>
      </c>
      <c r="G537" s="2015">
        <f t="shared" si="110"/>
        <v>4.2857142857142856</v>
      </c>
      <c r="H537" s="2607">
        <f t="shared" si="108"/>
        <v>2</v>
      </c>
      <c r="I537" s="648" t="s">
        <v>335</v>
      </c>
      <c r="J537" s="2645"/>
      <c r="K537" s="2651"/>
    </row>
    <row r="538" spans="1:11" collapsed="1" x14ac:dyDescent="0.15">
      <c r="A538" s="627" t="s">
        <v>1574</v>
      </c>
      <c r="B538" s="662" t="s">
        <v>162</v>
      </c>
      <c r="C538" s="2026" t="s">
        <v>164</v>
      </c>
      <c r="D538" s="2027"/>
      <c r="E538" s="640"/>
      <c r="F538" s="2013"/>
      <c r="G538" s="2018"/>
      <c r="H538" s="2605"/>
      <c r="I538" s="644"/>
      <c r="J538" s="674" t="s">
        <v>165</v>
      </c>
      <c r="K538" s="2648"/>
    </row>
    <row r="539" spans="1:11" x14ac:dyDescent="0.15">
      <c r="A539" s="636"/>
      <c r="B539" s="2040"/>
      <c r="C539" s="2041"/>
      <c r="D539" s="641"/>
      <c r="E539" s="2042"/>
      <c r="F539" s="882"/>
      <c r="G539" s="2019"/>
      <c r="H539" s="2608"/>
      <c r="I539" s="649"/>
      <c r="J539" s="2646"/>
      <c r="K539" s="2651"/>
    </row>
    <row r="540" spans="1:11" x14ac:dyDescent="0.15">
      <c r="A540" s="2842"/>
      <c r="B540" s="2842"/>
      <c r="C540" s="2842"/>
      <c r="D540" s="2842"/>
      <c r="E540" s="2842"/>
      <c r="F540" s="2842"/>
      <c r="G540" s="2842"/>
      <c r="H540" s="2843"/>
      <c r="I540" s="2842"/>
    </row>
    <row r="541" spans="1:11" ht="16" x14ac:dyDescent="0.2">
      <c r="A541" s="832" t="s">
        <v>224</v>
      </c>
      <c r="B541" s="1886" t="s">
        <v>235</v>
      </c>
      <c r="C541" s="1884" t="s">
        <v>75</v>
      </c>
      <c r="D541" s="839"/>
      <c r="E541" s="839"/>
      <c r="F541" s="869" t="s">
        <v>236</v>
      </c>
      <c r="G541" s="843"/>
      <c r="H541" s="2610">
        <f>IF(OR(E543=E546,H543&gt;F545),1,H543/F545)</f>
        <v>1</v>
      </c>
      <c r="I541" s="1368" t="s">
        <v>708</v>
      </c>
    </row>
    <row r="542" spans="1:11" x14ac:dyDescent="0.15">
      <c r="A542" s="838" t="s">
        <v>225</v>
      </c>
      <c r="B542" s="835" t="s">
        <v>328</v>
      </c>
      <c r="C542" s="836" t="s">
        <v>316</v>
      </c>
      <c r="D542" s="837" t="s">
        <v>223</v>
      </c>
      <c r="E542" s="837" t="s">
        <v>314</v>
      </c>
      <c r="F542" s="3298" t="s">
        <v>520</v>
      </c>
      <c r="G542" s="3299"/>
      <c r="H542" s="2611" t="s">
        <v>484</v>
      </c>
      <c r="I542" s="1369" t="s">
        <v>709</v>
      </c>
    </row>
    <row r="543" spans="1:11" ht="15" x14ac:dyDescent="0.15">
      <c r="A543" s="1309" t="s">
        <v>1384</v>
      </c>
      <c r="B543" s="1885" t="str">
        <f>B546&amp;" ("&amp;TEXT(VLOOKUP(A543,HWRange,7,FALSE),"0.0")&amp;")"</f>
        <v>258 (64.5)</v>
      </c>
      <c r="C543" s="1052">
        <f xml:space="preserve"> H545*B546/(C545)</f>
        <v>0.8716216216216216</v>
      </c>
      <c r="D543" s="1053">
        <f>VLOOKUP(A543,HWRange,7,FALSE)/(D545)</f>
        <v>0.8716216216216216</v>
      </c>
      <c r="E543" s="834" t="s">
        <v>408</v>
      </c>
      <c r="F543" s="3300">
        <v>2</v>
      </c>
      <c r="G543" s="3301"/>
      <c r="H543" s="2612">
        <v>2</v>
      </c>
      <c r="I543" s="871" t="s">
        <v>412</v>
      </c>
    </row>
    <row r="544" spans="1:11" x14ac:dyDescent="0.15">
      <c r="A544" s="840"/>
      <c r="B544" s="841"/>
      <c r="C544" s="841"/>
      <c r="D544" s="841"/>
      <c r="E544" s="841"/>
      <c r="F544" s="841"/>
      <c r="G544" s="841"/>
      <c r="H544" s="2613"/>
      <c r="I544" s="1306"/>
    </row>
    <row r="545" spans="1:31" x14ac:dyDescent="0.15">
      <c r="A545" s="863"/>
      <c r="B545" s="869" t="s">
        <v>163</v>
      </c>
      <c r="C545" s="1042">
        <f>+D545*4</f>
        <v>296</v>
      </c>
      <c r="D545" s="1043">
        <f>Workflow!K3</f>
        <v>74</v>
      </c>
      <c r="E545" s="869" t="s">
        <v>489</v>
      </c>
      <c r="F545" s="1046">
        <f>VLOOKUP(A543,HWRange,3,FALSE)/F543</f>
        <v>2</v>
      </c>
      <c r="G545" s="869" t="s">
        <v>234</v>
      </c>
      <c r="H545" s="2633">
        <f>IF(E543=Calculator!H158,1,G546)</f>
        <v>1</v>
      </c>
      <c r="I545" s="2632">
        <f>Calculator!N36</f>
        <v>1.35</v>
      </c>
    </row>
    <row r="546" spans="1:31" x14ac:dyDescent="0.15">
      <c r="A546" s="840"/>
      <c r="B546" s="1051">
        <f>VLOOKUP(A543,HWRange,6,FALSE)</f>
        <v>258</v>
      </c>
      <c r="C546" s="841"/>
      <c r="D546" s="1038"/>
      <c r="E546" s="841" t="s">
        <v>408</v>
      </c>
      <c r="F546" s="841"/>
      <c r="G546" s="2634">
        <f>IF(VLOOKUP(A543,HWRange,3,FALSE)/( F543*H543)&lt;I545,1/I545, F543*H543/VLOOKUP(A543,HWRange,3,FALSE))</f>
        <v>0.7407407407407407</v>
      </c>
      <c r="H546" s="2614" t="s">
        <v>382</v>
      </c>
      <c r="I546" s="1307" t="s">
        <v>300</v>
      </c>
      <c r="K546" s="1378"/>
      <c r="V546" s="2983" t="s">
        <v>556</v>
      </c>
      <c r="W546" s="2983"/>
      <c r="X546" s="2983"/>
      <c r="Y546" s="2983" t="s">
        <v>560</v>
      </c>
      <c r="Z546" s="2983"/>
      <c r="AA546" s="2979"/>
      <c r="AB546" s="2249"/>
      <c r="AC546" s="2249"/>
      <c r="AD546" s="2249"/>
      <c r="AE546" s="2249"/>
    </row>
    <row r="547" spans="1:31" x14ac:dyDescent="0.15">
      <c r="A547" s="863" t="s">
        <v>1421</v>
      </c>
      <c r="B547" s="1298" t="s">
        <v>280</v>
      </c>
      <c r="C547" s="1298" t="s">
        <v>542</v>
      </c>
      <c r="D547" s="1298" t="s">
        <v>559</v>
      </c>
      <c r="E547" s="1299" t="str">
        <f>Test!G2&amp;"  Baseline"</f>
        <v>Arc18  Baseline</v>
      </c>
      <c r="F547" s="1300"/>
      <c r="G547" s="1042" t="s">
        <v>564</v>
      </c>
      <c r="H547" s="2615" t="s">
        <v>351</v>
      </c>
      <c r="I547" s="1234" t="s">
        <v>556</v>
      </c>
      <c r="K547" s="1378"/>
      <c r="V547" s="2984" t="s">
        <v>561</v>
      </c>
      <c r="W547" s="2985" t="s">
        <v>234</v>
      </c>
      <c r="X547" s="2985" t="s">
        <v>1120</v>
      </c>
      <c r="Y547" s="2986" t="s">
        <v>542</v>
      </c>
      <c r="Z547" s="2986" t="s">
        <v>559</v>
      </c>
      <c r="AA547" s="2980" t="s">
        <v>1120</v>
      </c>
      <c r="AB547" s="2249" t="s">
        <v>1122</v>
      </c>
      <c r="AC547" s="2249" t="s">
        <v>1123</v>
      </c>
      <c r="AD547" s="2249" t="s">
        <v>1124</v>
      </c>
      <c r="AE547" s="2249" t="s">
        <v>1125</v>
      </c>
    </row>
    <row r="548" spans="1:31" hidden="1" x14ac:dyDescent="0.15">
      <c r="A548" s="2844" t="s">
        <v>1477</v>
      </c>
      <c r="B548" s="581"/>
      <c r="C548" s="581"/>
      <c r="D548" s="581"/>
      <c r="E548" s="582"/>
      <c r="F548" s="829"/>
      <c r="G548" s="1038"/>
      <c r="H548" s="2616"/>
      <c r="I548" s="1234"/>
      <c r="K548" s="1378"/>
      <c r="V548" s="2984"/>
      <c r="W548" s="2985"/>
      <c r="X548" s="2985"/>
      <c r="Y548" s="2986"/>
      <c r="Z548" s="2986"/>
      <c r="AA548" s="2981"/>
      <c r="AB548" s="2249"/>
      <c r="AC548" s="2249"/>
      <c r="AD548" s="2249"/>
      <c r="AE548" s="2249"/>
    </row>
    <row r="549" spans="1:31" x14ac:dyDescent="0.15">
      <c r="A549" s="862" t="s">
        <v>1362</v>
      </c>
      <c r="B549" s="833" t="str">
        <f>IF(ISERROR(FIND("Hvy",A549)),"select Hvy workflow",AB549&amp;AC549&amp;" "&amp;V549)</f>
        <v>AGD Citrix ArcMap 2D V 100%Dyn 19x10 ICA DB</v>
      </c>
      <c r="C549" s="830">
        <f>IF($C$541=$F$555,ROUND($C$543*E549,-2),$C$543*E549/(60*IF($G$541&gt;0,$G$541,H549)))</f>
        <v>27800</v>
      </c>
      <c r="D549" s="830">
        <f>C549*2</f>
        <v>55600</v>
      </c>
      <c r="E549" s="831">
        <f>0.8*3600*4/G549</f>
        <v>31865.216464331348</v>
      </c>
      <c r="F549" s="831">
        <f>2*E549</f>
        <v>63730.432928662696</v>
      </c>
      <c r="G549" s="1044">
        <f>(VLOOKUP(A549,wfRange,Workflow!P$1,FALSE)-VLOOKUP(A549,wfRange,Workflow!D$1,FALSE))*W549*0.6666</f>
        <v>0.36152272848656242</v>
      </c>
      <c r="H549" s="2617">
        <f>VLOOKUP(A549,wfRange,13,FALSE)</f>
        <v>10</v>
      </c>
      <c r="I549" s="1235" t="s">
        <v>1055</v>
      </c>
      <c r="K549" s="1378"/>
      <c r="V549" s="2987" t="str">
        <f>IF(ISERROR(FIND("_",I549)),I549,LEFT(I549,FIND("_",I549)-1))</f>
        <v>DB</v>
      </c>
      <c r="W549" s="2988">
        <f>VLOOKUP(I549,DataArray,4,FALSE)</f>
        <v>1</v>
      </c>
      <c r="X549" s="2989">
        <f>G549/D$543</f>
        <v>0.41477026213962198</v>
      </c>
      <c r="Y549" s="2990">
        <f>Z549*2</f>
        <v>0.27651350809308134</v>
      </c>
      <c r="Z549" s="2990">
        <f>X549/3</f>
        <v>0.13825675404654067</v>
      </c>
      <c r="AA549" s="2982">
        <f>ROUND(D549/3,0)</f>
        <v>18533</v>
      </c>
      <c r="AB549" s="2249" t="str">
        <f>LEFT(A549,FIND("Hvy",A549)-1)</f>
        <v xml:space="preserve">AGD Citrix ArcMap 2D V </v>
      </c>
      <c r="AC549" s="2249" t="str">
        <f>RIGHT(A549,AE549-AD549)</f>
        <v>100%Dyn 19x10 ICA</v>
      </c>
      <c r="AD549" s="2249">
        <f>FIND("Hvy",A549)+3</f>
        <v>27</v>
      </c>
      <c r="AE549" s="2249">
        <f>LEN(A549)</f>
        <v>44</v>
      </c>
    </row>
    <row r="550" spans="1:31" x14ac:dyDescent="0.15">
      <c r="A550" s="862" t="s">
        <v>1372</v>
      </c>
      <c r="B550" s="833" t="str">
        <f>IF(ISERROR(FIND("Hvy",A550)),"select Hvy workflow",AB550&amp;AC550&amp;" "&amp;V550)</f>
        <v>AGS REST 2D V 100%Dyn 13x7 PNG24 DB</v>
      </c>
      <c r="C550" s="830">
        <f>IF($C$541=$F$555,ROUND($C$543*E550,-2),$C$543*E550/(60*IF($G$541&gt;0,$G$541,H550)))</f>
        <v>75000</v>
      </c>
      <c r="D550" s="830">
        <f>C550*2</f>
        <v>150000</v>
      </c>
      <c r="E550" s="831">
        <f>0.8*3600*4/G550</f>
        <v>86031.678106288775</v>
      </c>
      <c r="F550" s="831">
        <f>2*E550</f>
        <v>172063.35621257755</v>
      </c>
      <c r="G550" s="1044">
        <f>(VLOOKUP(A550,wfRange,Workflow!P$1,FALSE)-VLOOKUP(A550,wfRange,Workflow!D$1,FALSE))*W550*0.6666</f>
        <v>0.13390416476321071</v>
      </c>
      <c r="H550" s="2617">
        <f>VLOOKUP(A550,wfRange,13,FALSE)</f>
        <v>6</v>
      </c>
      <c r="I550" s="1235" t="s">
        <v>1055</v>
      </c>
      <c r="K550" s="1378"/>
      <c r="V550" s="2987" t="str">
        <f>IF(ISERROR(FIND("_",I550)),I550,LEFT(I550,FIND("_",I550)-1))</f>
        <v>DB</v>
      </c>
      <c r="W550" s="2988">
        <f>VLOOKUP(I550,DataArray,4,FALSE)</f>
        <v>1</v>
      </c>
      <c r="X550" s="2989">
        <f>G550/D$543</f>
        <v>0.15362648360430375</v>
      </c>
      <c r="Y550" s="2990">
        <f>Z550*2</f>
        <v>0.1024176557362025</v>
      </c>
      <c r="Z550" s="2990">
        <f>X550/3</f>
        <v>5.1208827868101249E-2</v>
      </c>
      <c r="AA550" s="2982">
        <f>ROUND(D550/3,0)</f>
        <v>50000</v>
      </c>
      <c r="AB550" s="2249" t="str">
        <f>LEFT(A550,FIND("Hvy",A550)-1)</f>
        <v xml:space="preserve">AGS REST 2D V </v>
      </c>
      <c r="AC550" s="2249" t="str">
        <f>RIGHT(A550,AE550-AD550)</f>
        <v>100%Dyn 13x7 PNG24</v>
      </c>
      <c r="AD550" s="2249">
        <f>FIND("Hvy",A550)+3</f>
        <v>18</v>
      </c>
      <c r="AE550" s="2249">
        <f>LEN(A550)</f>
        <v>36</v>
      </c>
    </row>
    <row r="551" spans="1:31" x14ac:dyDescent="0.15">
      <c r="A551" s="862" t="s">
        <v>1374</v>
      </c>
      <c r="B551" s="833" t="str">
        <f>IF(ISERROR(FIND("Hvy",A551)),"select Hvy workflow",AB551&amp;AC551&amp;" "&amp;V551)</f>
        <v>AGS REST 2D V 40%Dyn 13x7 PNG24 +$$ DB</v>
      </c>
      <c r="C551" s="830">
        <f>IF($C$541=$F$555,ROUND($C$543*E551,-2),$C$543*E551/(60*IF($G$541&gt;0,$G$541,H551)))</f>
        <v>178300</v>
      </c>
      <c r="D551" s="830">
        <f>C551*2</f>
        <v>356600</v>
      </c>
      <c r="E551" s="831">
        <f>0.8*3600*4/G551</f>
        <v>204512.93032218263</v>
      </c>
      <c r="F551" s="831">
        <f>2*E551</f>
        <v>409025.86064436525</v>
      </c>
      <c r="G551" s="1044">
        <f>(VLOOKUP(A551,wfRange,Workflow!P$1,FALSE)-VLOOKUP(A551,wfRange,Workflow!D$1,FALSE))*W551*0.6666</f>
        <v>5.6328956716095106E-2</v>
      </c>
      <c r="H551" s="2617">
        <f>VLOOKUP(A551,wfRange,13,FALSE)</f>
        <v>6</v>
      </c>
      <c r="I551" s="1235" t="s">
        <v>1055</v>
      </c>
      <c r="V551" s="2987" t="str">
        <f>IF(ISERROR(FIND("_",I551)),I551,LEFT(I551,FIND("_",I551)-1))</f>
        <v>DB</v>
      </c>
      <c r="W551" s="2988">
        <f>VLOOKUP(I551,DataArray,4,FALSE)</f>
        <v>1</v>
      </c>
      <c r="X551" s="2989">
        <f>G551/D$543</f>
        <v>6.4625469720791293E-2</v>
      </c>
      <c r="Y551" s="2990">
        <f>Z551*2</f>
        <v>4.3083646480527531E-2</v>
      </c>
      <c r="Z551" s="2990">
        <f>X551/3</f>
        <v>2.1541823240263765E-2</v>
      </c>
      <c r="AA551" s="2982">
        <f>ROUND(D551/3,0)</f>
        <v>118867</v>
      </c>
      <c r="AB551" s="2249" t="str">
        <f>LEFT(A551,FIND("Hvy",A551)-1)</f>
        <v xml:space="preserve">AGS REST 2D V </v>
      </c>
      <c r="AC551" s="2249" t="str">
        <f>RIGHT(A551,AE551-AD551)</f>
        <v>40%Dyn 13x7 PNG24 +$$</v>
      </c>
      <c r="AD551" s="2249">
        <f>FIND("Hvy",A551)+3</f>
        <v>18</v>
      </c>
      <c r="AE551" s="2249">
        <f>LEN(A551)</f>
        <v>39</v>
      </c>
    </row>
    <row r="552" spans="1:31" x14ac:dyDescent="0.15">
      <c r="A552" s="862" t="s">
        <v>1377</v>
      </c>
      <c r="B552" s="833" t="str">
        <f>IF(ISERROR(FIND("Hvy",A552)),"select Hvy workflow",AB552&amp;AC552&amp;" "&amp;V552)</f>
        <v>AGS WMS 2D V 100%Dyn 13x7 PNG24 DB</v>
      </c>
      <c r="C552" s="1050">
        <f>IF($C$541=$F$555,ROUND($C$543*E552,-2),$C$543*E552/(60*IF($G$541&gt;0,$G$541,H552)))</f>
        <v>49600</v>
      </c>
      <c r="D552" s="830">
        <f>C552*2</f>
        <v>99200</v>
      </c>
      <c r="E552" s="831">
        <f>0.8*3600*4/G552</f>
        <v>56865.101745530737</v>
      </c>
      <c r="F552" s="831">
        <f>2*E552</f>
        <v>113730.20349106147</v>
      </c>
      <c r="G552" s="1044">
        <f>(VLOOKUP(A552,wfRange,Workflow!P$1,FALSE)-VLOOKUP(A552,wfRange,Workflow!D$1,FALSE))*W552*0.6666</f>
        <v>0.2025847074283201</v>
      </c>
      <c r="H552" s="2617">
        <f>VLOOKUP(A552,wfRange,13,FALSE)</f>
        <v>6</v>
      </c>
      <c r="I552" s="1235" t="s">
        <v>1055</v>
      </c>
      <c r="V552" s="2987" t="str">
        <f>IF(ISERROR(FIND("_",I552)),I552,LEFT(I552,FIND("_",I552)-1))</f>
        <v>DB</v>
      </c>
      <c r="W552" s="2988">
        <f>VLOOKUP(I552,DataArray,4,FALSE)</f>
        <v>1</v>
      </c>
      <c r="X552" s="2989">
        <f>G552/D$543</f>
        <v>0.23242276511156107</v>
      </c>
      <c r="Y552" s="2990">
        <f>Z552*2</f>
        <v>0.15494851007437405</v>
      </c>
      <c r="Z552" s="2990">
        <f>X552/3</f>
        <v>7.7474255037187023E-2</v>
      </c>
      <c r="AA552" s="2982">
        <f>ROUND(D552/3,0)</f>
        <v>33067</v>
      </c>
      <c r="AB552" s="2249" t="str">
        <f>LEFT(A552,FIND("Hvy",A552)-1)</f>
        <v xml:space="preserve">AGS WMS 2D V </v>
      </c>
      <c r="AC552" s="2249" t="str">
        <f>RIGHT(A552,AE552-AD552)</f>
        <v>100%Dyn 13x7 PNG24</v>
      </c>
      <c r="AD552" s="2249">
        <f>FIND("Hvy",A552)+3</f>
        <v>17</v>
      </c>
      <c r="AE552" s="2249">
        <f>LEN(A552)</f>
        <v>35</v>
      </c>
    </row>
    <row r="553" spans="1:31" x14ac:dyDescent="0.15">
      <c r="A553" s="862" t="s">
        <v>1382</v>
      </c>
      <c r="B553" s="833" t="str">
        <f>IF(ISERROR(FIND("Hvy",A553)),"select Hvy workflow",AB553&amp;AC553&amp;" "&amp;V553)</f>
        <v>AGS Imagery 2D R 100%Dyn 19x10 JPEG TIFF</v>
      </c>
      <c r="C553" s="830">
        <f>IF($C$541=$F$555,ROUND($C$543*E553,-2),$C$543*E553/(60*IF($G$541&gt;0,$G$541,H553)))</f>
        <v>88300</v>
      </c>
      <c r="D553" s="830">
        <f>C553*2</f>
        <v>176600</v>
      </c>
      <c r="E553" s="831">
        <f>0.8*3600*4/G553</f>
        <v>101337.64946154585</v>
      </c>
      <c r="F553" s="831">
        <f>2*E553</f>
        <v>202675.2989230917</v>
      </c>
      <c r="G553" s="1044">
        <f>(VLOOKUP(A553,wfRange,Workflow!P$1,FALSE)-VLOOKUP(A553,wfRange,Workflow!D$1,FALSE))*W553*0.6666</f>
        <v>0.11367936853885133</v>
      </c>
      <c r="H553" s="2617">
        <f>VLOOKUP(A553,wfRange,13,FALSE)</f>
        <v>6</v>
      </c>
      <c r="I553" s="1235" t="s">
        <v>492</v>
      </c>
      <c r="V553" s="2987" t="str">
        <f>IF(ISERROR(FIND("_",I553)),I553,LEFT(I553,FIND("_",I553)-1))</f>
        <v>TIFF</v>
      </c>
      <c r="W553" s="2988">
        <f>VLOOKUP(I553,DataArray,4,FALSE)</f>
        <v>1</v>
      </c>
      <c r="X553" s="2989">
        <f>G553/D$543</f>
        <v>0.13042284142441857</v>
      </c>
      <c r="Y553" s="2990">
        <f>Z553*2</f>
        <v>8.6948560949612383E-2</v>
      </c>
      <c r="Z553" s="2990">
        <f>X553/3</f>
        <v>4.3474280474806191E-2</v>
      </c>
      <c r="AA553" s="2982">
        <f>ROUND(D553/3,0)</f>
        <v>58867</v>
      </c>
      <c r="AB553" s="2249" t="str">
        <f>LEFT(A553,FIND("Hvy",A553)-1)</f>
        <v xml:space="preserve">AGS Imagery 2D R </v>
      </c>
      <c r="AC553" s="2249" t="str">
        <f>RIGHT(A553,AE553-AD553)</f>
        <v>100%Dyn 19x10 JPEG</v>
      </c>
      <c r="AD553" s="2249">
        <f>FIND("Hvy",A553)+3</f>
        <v>21</v>
      </c>
      <c r="AE553" s="2249">
        <f>LEN(A553)</f>
        <v>39</v>
      </c>
    </row>
    <row r="554" spans="1:31" x14ac:dyDescent="0.15">
      <c r="A554" s="1220"/>
      <c r="B554" s="1221"/>
      <c r="C554" s="1222"/>
      <c r="D554" s="1222"/>
      <c r="E554" s="1223"/>
      <c r="F554" s="1223"/>
      <c r="G554" s="1224"/>
      <c r="H554" s="2618"/>
      <c r="I554" s="1236"/>
      <c r="V554" s="1219"/>
      <c r="W554" s="1219"/>
      <c r="X554" s="1219"/>
      <c r="Y554" s="1219"/>
      <c r="Z554" s="1219"/>
      <c r="AA554" s="2248"/>
      <c r="AB554" s="1219"/>
      <c r="AC554" s="1219"/>
      <c r="AD554" s="1219"/>
      <c r="AE554" s="1219"/>
    </row>
    <row r="555" spans="1:31" x14ac:dyDescent="0.15">
      <c r="A555" s="840"/>
      <c r="B555" s="841"/>
      <c r="C555" s="864" t="s">
        <v>232</v>
      </c>
      <c r="D555" s="841" t="s">
        <v>412</v>
      </c>
      <c r="E555" s="841"/>
      <c r="F555" s="841" t="s">
        <v>75</v>
      </c>
      <c r="G555" s="841"/>
      <c r="H555" s="2613"/>
      <c r="I555" s="1301"/>
    </row>
    <row r="556" spans="1:31" x14ac:dyDescent="0.15">
      <c r="A556" s="840" t="s">
        <v>1420</v>
      </c>
      <c r="B556" s="841"/>
      <c r="C556" s="841" t="s">
        <v>233</v>
      </c>
      <c r="D556" s="841" t="s">
        <v>413</v>
      </c>
      <c r="E556" s="1216"/>
      <c r="F556" s="841" t="s">
        <v>305</v>
      </c>
      <c r="G556" s="841"/>
      <c r="H556" s="2613"/>
      <c r="I556" s="1302"/>
    </row>
    <row r="557" spans="1:31" x14ac:dyDescent="0.15">
      <c r="A557" s="840"/>
      <c r="B557" s="841"/>
      <c r="C557" s="841"/>
      <c r="D557" s="841"/>
      <c r="E557" s="841"/>
      <c r="F557" s="841"/>
      <c r="G557" s="841"/>
      <c r="H557" s="2613"/>
      <c r="I557" s="1301"/>
    </row>
    <row r="558" spans="1:31" x14ac:dyDescent="0.15">
      <c r="A558" s="840" t="s">
        <v>812</v>
      </c>
      <c r="B558" s="841"/>
      <c r="C558" s="841"/>
      <c r="D558" s="841"/>
      <c r="E558" s="841"/>
      <c r="F558" s="841"/>
      <c r="G558" s="841"/>
      <c r="H558" s="2613"/>
      <c r="I558" s="1301"/>
    </row>
    <row r="559" spans="1:31" x14ac:dyDescent="0.15">
      <c r="A559" s="840"/>
      <c r="B559" s="841"/>
      <c r="C559" s="841"/>
      <c r="D559" s="841"/>
      <c r="E559" s="841"/>
      <c r="F559" s="841"/>
      <c r="G559" s="841"/>
      <c r="H559" s="2613"/>
      <c r="I559" s="1301"/>
    </row>
    <row r="560" spans="1:31" x14ac:dyDescent="0.15">
      <c r="A560" s="840"/>
      <c r="B560" s="841"/>
      <c r="C560" s="841"/>
      <c r="D560" s="841"/>
      <c r="E560" s="841"/>
      <c r="F560" s="841"/>
      <c r="G560" s="841"/>
      <c r="H560" s="2613"/>
      <c r="I560" s="1301"/>
    </row>
    <row r="561" spans="1:9" x14ac:dyDescent="0.15">
      <c r="A561" s="840"/>
      <c r="B561" s="841"/>
      <c r="C561" s="841"/>
      <c r="D561" s="841"/>
      <c r="E561" s="841"/>
      <c r="F561" s="841"/>
      <c r="G561" s="841"/>
      <c r="H561" s="2613"/>
      <c r="I561" s="1301"/>
    </row>
    <row r="562" spans="1:9" ht="16" x14ac:dyDescent="0.2">
      <c r="A562" s="865" t="s">
        <v>240</v>
      </c>
      <c r="B562" s="868" t="str">
        <f>IF(C541=F555,C555,C556)</f>
        <v>Transactions per hour</v>
      </c>
      <c r="C562" s="867"/>
      <c r="D562" s="867"/>
      <c r="E562" s="866"/>
      <c r="F562" s="866"/>
      <c r="G562" s="866"/>
      <c r="H562" s="2619"/>
      <c r="I562" s="1301"/>
    </row>
    <row r="563" spans="1:9" x14ac:dyDescent="0.15">
      <c r="A563" s="842"/>
      <c r="B563" s="864"/>
      <c r="C563" s="870"/>
      <c r="D563" s="870"/>
      <c r="E563" s="864"/>
      <c r="F563" s="864"/>
      <c r="G563" s="864"/>
      <c r="H563" s="2620"/>
      <c r="I563" s="1303"/>
    </row>
    <row r="564" spans="1:9" x14ac:dyDescent="0.15">
      <c r="A564" s="1149"/>
      <c r="B564" s="1149"/>
      <c r="H564" s="2621"/>
      <c r="I564" s="1149"/>
    </row>
    <row r="566" spans="1:9" hidden="1" outlineLevel="1" x14ac:dyDescent="0.15">
      <c r="A566" s="1217"/>
      <c r="B566" s="2927"/>
      <c r="C566" s="1217"/>
      <c r="D566" s="1217"/>
      <c r="E566" s="1217"/>
      <c r="F566" s="1217"/>
      <c r="G566" s="1217"/>
      <c r="H566" s="2928"/>
      <c r="I566" s="1217"/>
    </row>
    <row r="567" spans="1:9" hidden="1" outlineLevel="1" x14ac:dyDescent="0.15">
      <c r="B567" s="1148"/>
      <c r="I567" s="1217"/>
    </row>
    <row r="568" spans="1:9" hidden="1" outlineLevel="1" x14ac:dyDescent="0.15">
      <c r="B568" s="1148"/>
      <c r="I568" s="1217"/>
    </row>
    <row r="569" spans="1:9" hidden="1" outlineLevel="1" x14ac:dyDescent="0.15">
      <c r="B569" s="1148"/>
      <c r="I569" s="1217"/>
    </row>
    <row r="570" spans="1:9" hidden="1" outlineLevel="1" x14ac:dyDescent="0.15">
      <c r="B570" s="1148"/>
      <c r="I570" s="1217"/>
    </row>
    <row r="571" spans="1:9" hidden="1" outlineLevel="1" x14ac:dyDescent="0.15">
      <c r="B571" s="1148"/>
      <c r="I571" s="1217"/>
    </row>
    <row r="572" spans="1:9" hidden="1" outlineLevel="1" x14ac:dyDescent="0.15">
      <c r="I572" s="1217"/>
    </row>
    <row r="573" spans="1:9" hidden="1" outlineLevel="1" x14ac:dyDescent="0.15">
      <c r="I573" s="1217"/>
    </row>
    <row r="574" spans="1:9" hidden="1" outlineLevel="1" x14ac:dyDescent="0.15">
      <c r="I574" s="1217"/>
    </row>
    <row r="575" spans="1:9" hidden="1" outlineLevel="1" x14ac:dyDescent="0.15">
      <c r="I575" s="1217"/>
    </row>
    <row r="576" spans="1:9" hidden="1" outlineLevel="1" x14ac:dyDescent="0.15">
      <c r="I576" s="1217"/>
    </row>
    <row r="577" spans="1:21" hidden="1" outlineLevel="1" x14ac:dyDescent="0.15">
      <c r="I577" s="1217"/>
    </row>
    <row r="578" spans="1:21" hidden="1" outlineLevel="1" x14ac:dyDescent="0.15">
      <c r="I578" s="1217"/>
    </row>
    <row r="579" spans="1:21" hidden="1" outlineLevel="1" x14ac:dyDescent="0.15">
      <c r="I579" s="1217"/>
    </row>
    <row r="580" spans="1:21" hidden="1" outlineLevel="1" x14ac:dyDescent="0.15">
      <c r="I580" s="1217"/>
    </row>
    <row r="581" spans="1:21" hidden="1" outlineLevel="1" x14ac:dyDescent="0.15">
      <c r="I581" s="1217"/>
    </row>
    <row r="582" spans="1:21" ht="16" hidden="1" outlineLevel="1" x14ac:dyDescent="0.2">
      <c r="A582" s="1308"/>
      <c r="I582" s="1217"/>
    </row>
    <row r="583" spans="1:21" ht="14" hidden="1" outlineLevel="1" x14ac:dyDescent="0.15">
      <c r="A583" s="1310"/>
      <c r="I583" s="1217"/>
    </row>
    <row r="584" spans="1:21" ht="16" collapsed="1" x14ac:dyDescent="0.2">
      <c r="A584" s="2923" t="s">
        <v>819</v>
      </c>
      <c r="B584" s="2924"/>
      <c r="C584" s="2924"/>
      <c r="D584" s="2924"/>
      <c r="E584" s="2924"/>
      <c r="F584" s="2924"/>
      <c r="G584" s="2924"/>
      <c r="H584" s="2925"/>
      <c r="I584" s="2926"/>
    </row>
    <row r="585" spans="1:21" ht="14" x14ac:dyDescent="0.15">
      <c r="A585" s="2170"/>
    </row>
    <row r="586" spans="1:21" s="320" customFormat="1" hidden="1" x14ac:dyDescent="0.15">
      <c r="A586" s="2232" t="s">
        <v>1117</v>
      </c>
      <c r="B586" s="2233"/>
      <c r="C586" s="2234"/>
      <c r="D586" s="31"/>
      <c r="E586" s="31"/>
      <c r="F586" s="31"/>
      <c r="H586" s="2622"/>
      <c r="J586" s="2426"/>
      <c r="U586" s="2426"/>
    </row>
    <row r="587" spans="1:21" s="320" customFormat="1" hidden="1" x14ac:dyDescent="0.15">
      <c r="A587" s="2238" t="s">
        <v>1118</v>
      </c>
      <c r="B587" s="2239"/>
      <c r="C587" s="2240"/>
      <c r="D587" s="31"/>
      <c r="E587" s="31"/>
      <c r="F587" s="31"/>
      <c r="H587" s="2622"/>
      <c r="J587" s="2426"/>
      <c r="U587" s="2426"/>
    </row>
    <row r="589" spans="1:21" ht="14" x14ac:dyDescent="0.15">
      <c r="A589" s="2170"/>
    </row>
    <row r="590" spans="1:21" ht="14" x14ac:dyDescent="0.15">
      <c r="A590" s="2170"/>
    </row>
    <row r="591" spans="1:21" ht="16" x14ac:dyDescent="0.2">
      <c r="A591" s="1370"/>
    </row>
    <row r="592" spans="1:21" ht="14" x14ac:dyDescent="0.15">
      <c r="A592" s="2051"/>
    </row>
    <row r="594" spans="1:1" ht="18" x14ac:dyDescent="0.2">
      <c r="A594" s="2050"/>
    </row>
    <row r="595" spans="1:1" ht="14" x14ac:dyDescent="0.15">
      <c r="A595" s="2052"/>
    </row>
    <row r="596" spans="1:1" ht="14" x14ac:dyDescent="0.15">
      <c r="A596" s="2052"/>
    </row>
    <row r="597" spans="1:1" ht="14" x14ac:dyDescent="0.15">
      <c r="A597" s="2052"/>
    </row>
    <row r="598" spans="1:1" ht="14" x14ac:dyDescent="0.15">
      <c r="A598" s="2052"/>
    </row>
    <row r="599" spans="1:1" ht="18" x14ac:dyDescent="0.2">
      <c r="A599" s="2053"/>
    </row>
    <row r="600" spans="1:1" ht="14" x14ac:dyDescent="0.15">
      <c r="A600" s="2052"/>
    </row>
    <row r="601" spans="1:1" ht="14" x14ac:dyDescent="0.15">
      <c r="A601" s="2052"/>
    </row>
    <row r="602" spans="1:1" ht="14" x14ac:dyDescent="0.15">
      <c r="A602" s="2052"/>
    </row>
    <row r="603" spans="1:1" ht="14" x14ac:dyDescent="0.15">
      <c r="A603" s="2052"/>
    </row>
    <row r="624" spans="4:4" x14ac:dyDescent="0.15">
      <c r="D624" s="1045"/>
    </row>
    <row r="625" spans="1:7" x14ac:dyDescent="0.15">
      <c r="A625" s="31" t="s">
        <v>700</v>
      </c>
    </row>
    <row r="626" spans="1:7" hidden="1" outlineLevel="1" x14ac:dyDescent="0.15"/>
    <row r="627" spans="1:7" hidden="1" outlineLevel="1" x14ac:dyDescent="0.15">
      <c r="D627" s="3302" t="s">
        <v>509</v>
      </c>
      <c r="E627" s="3302"/>
      <c r="F627" s="3302" t="s">
        <v>508</v>
      </c>
      <c r="G627" s="3303"/>
    </row>
    <row r="628" spans="1:7" hidden="1" outlineLevel="1" x14ac:dyDescent="0.15">
      <c r="D628" s="1156" t="s">
        <v>75</v>
      </c>
      <c r="E628" s="1156" t="s">
        <v>510</v>
      </c>
      <c r="F628" s="1156" t="s">
        <v>119</v>
      </c>
      <c r="G628" s="1157" t="s">
        <v>507</v>
      </c>
    </row>
    <row r="629" spans="1:7" hidden="1" outlineLevel="1" x14ac:dyDescent="0.15">
      <c r="D629" s="1150">
        <v>5600</v>
      </c>
      <c r="E629" s="1151">
        <f t="shared" ref="E629:E634" si="111">+D629/3600</f>
        <v>1.5555555555555556</v>
      </c>
      <c r="F629" s="1150">
        <f>+F$630*D629/D$630</f>
        <v>17.23076923076923</v>
      </c>
      <c r="G629" s="651"/>
    </row>
    <row r="630" spans="1:7" hidden="1" outlineLevel="1" x14ac:dyDescent="0.15">
      <c r="D630" s="1150">
        <v>10400</v>
      </c>
      <c r="E630" s="1151">
        <f t="shared" si="111"/>
        <v>2.8888888888888888</v>
      </c>
      <c r="F630" s="1152">
        <v>32</v>
      </c>
      <c r="G630" s="651">
        <v>32</v>
      </c>
    </row>
    <row r="631" spans="1:7" hidden="1" outlineLevel="1" x14ac:dyDescent="0.15">
      <c r="D631" s="1150">
        <v>35600</v>
      </c>
      <c r="E631" s="1151">
        <f t="shared" si="111"/>
        <v>9.8888888888888893</v>
      </c>
      <c r="F631" s="1150">
        <f>+F$630*D631/D$630</f>
        <v>109.53846153846153</v>
      </c>
      <c r="G631" s="651">
        <v>99</v>
      </c>
    </row>
    <row r="632" spans="1:7" hidden="1" outlineLevel="1" x14ac:dyDescent="0.15">
      <c r="D632" s="1150">
        <v>33800</v>
      </c>
      <c r="E632" s="1151">
        <f t="shared" si="111"/>
        <v>9.3888888888888893</v>
      </c>
      <c r="F632" s="1150">
        <f>+F$630*D632/D$630</f>
        <v>104</v>
      </c>
      <c r="G632" s="651"/>
    </row>
    <row r="633" spans="1:7" hidden="1" outlineLevel="1" x14ac:dyDescent="0.15">
      <c r="D633" s="1150">
        <v>57800</v>
      </c>
      <c r="E633" s="1151">
        <f t="shared" si="111"/>
        <v>16.055555555555557</v>
      </c>
      <c r="F633" s="1150">
        <f>+F$630*D633/D$630</f>
        <v>177.84615384615384</v>
      </c>
      <c r="G633" s="651">
        <v>131</v>
      </c>
    </row>
    <row r="634" spans="1:7" hidden="1" outlineLevel="1" x14ac:dyDescent="0.15">
      <c r="D634" s="1153">
        <v>90000</v>
      </c>
      <c r="E634" s="1154">
        <f t="shared" si="111"/>
        <v>25</v>
      </c>
      <c r="F634" s="1153">
        <f>+F$630*D634/D$630</f>
        <v>276.92307692307691</v>
      </c>
      <c r="G634" s="1155">
        <v>170</v>
      </c>
    </row>
    <row r="635" spans="1:7" hidden="1" outlineLevel="1" x14ac:dyDescent="0.15"/>
    <row r="636" spans="1:7" hidden="1" outlineLevel="1" x14ac:dyDescent="0.15">
      <c r="C636" s="3096" t="s">
        <v>314</v>
      </c>
      <c r="D636" s="3304" t="s">
        <v>599</v>
      </c>
      <c r="E636" s="3305"/>
      <c r="F636" s="3096" t="s">
        <v>325</v>
      </c>
    </row>
    <row r="637" spans="1:7" hidden="1" outlineLevel="1" x14ac:dyDescent="0.15">
      <c r="C637" s="834" t="s">
        <v>408</v>
      </c>
      <c r="D637" s="3306">
        <v>2</v>
      </c>
      <c r="E637" s="3306"/>
      <c r="F637" s="1278">
        <v>1</v>
      </c>
    </row>
    <row r="638" spans="1:7" hidden="1" outlineLevel="1" x14ac:dyDescent="0.15">
      <c r="A638" s="838" t="s">
        <v>225</v>
      </c>
      <c r="B638" s="835" t="s">
        <v>328</v>
      </c>
      <c r="C638" s="836" t="s">
        <v>316</v>
      </c>
      <c r="D638" s="837" t="s">
        <v>542</v>
      </c>
      <c r="E638" s="837" t="s">
        <v>559</v>
      </c>
      <c r="F638" s="1276" t="s">
        <v>601</v>
      </c>
      <c r="G638" s="1277"/>
    </row>
    <row r="639" spans="1:7" ht="16" hidden="1" outlineLevel="1" x14ac:dyDescent="0.2">
      <c r="A639" s="1282"/>
      <c r="B639" s="1283"/>
      <c r="C639" s="1284"/>
      <c r="D639" s="1284"/>
      <c r="E639" s="1284"/>
      <c r="F639" s="1284"/>
      <c r="G639" s="1285"/>
    </row>
    <row r="640" spans="1:7" ht="16" hidden="1" outlineLevel="1" x14ac:dyDescent="0.2">
      <c r="A640" s="1280" t="s">
        <v>612</v>
      </c>
      <c r="B640" s="1290" t="str">
        <f>VLOOKUP(A640,HWRange,2,FALSE)&amp;" "&amp;VLOOKUP(A640,HWRange,3,FALSE)&amp;" core "&amp;VLOOKUP(A640,HWRange,8,FALSE)&amp;" chip "&amp;VLOOKUP(A640,HWRange,5,FALSE)&amp;" MHz "</f>
        <v xml:space="preserve">Xeon E5-2637 4 core 2 chip 3000 MHz </v>
      </c>
      <c r="C640" s="1281">
        <f t="shared" ref="C640:C655" si="112">VLOOKUP(A640,HWRange,6,FALSE)</f>
        <v>185</v>
      </c>
      <c r="D640" s="1291" t="e">
        <f>(C640/#REF!)*0.8*3600*4/#REF!</f>
        <v>#REF!</v>
      </c>
      <c r="E640" s="1292" t="e">
        <f>2*D640</f>
        <v>#REF!</v>
      </c>
      <c r="F640" s="1293">
        <f>VLOOKUP(A640,HWRange,7,FALSE)</f>
        <v>46.25</v>
      </c>
      <c r="G640" s="1294"/>
    </row>
    <row r="641" spans="1:7" ht="16" hidden="1" outlineLevel="1" x14ac:dyDescent="0.2">
      <c r="A641" s="1280" t="s">
        <v>623</v>
      </c>
      <c r="B641" s="1290" t="str">
        <f>VLOOKUP(A641,HWRange,2,FALSE)&amp;" "&amp;VLOOKUP(A641,HWRange,3,FALSE)&amp;" core "&amp;VLOOKUP(A641,HWRange,8,FALSE)&amp;" chip "&amp;VLOOKUP(A641,HWRange,5,FALSE)&amp;" MHz "</f>
        <v xml:space="preserve">Xeon E5-2643 8 core 2 chip 3300 MHz </v>
      </c>
      <c r="C641" s="1281">
        <f t="shared" si="112"/>
        <v>362</v>
      </c>
      <c r="D641" s="1291" t="e">
        <f>(C641/#REF!)*0.8*3600*4/#REF!</f>
        <v>#REF!</v>
      </c>
      <c r="E641" s="1292" t="e">
        <f>2*D641</f>
        <v>#REF!</v>
      </c>
      <c r="F641" s="1293">
        <f>VLOOKUP(A641,HWRange,7,FALSE)</f>
        <v>45.25</v>
      </c>
      <c r="G641" s="1294"/>
    </row>
    <row r="642" spans="1:7" ht="16" hidden="1" outlineLevel="1" x14ac:dyDescent="0.2">
      <c r="A642" s="1280" t="s">
        <v>613</v>
      </c>
      <c r="B642" s="1290" t="str">
        <f>VLOOKUP(A642,HWRange,2,FALSE)&amp;" "&amp;VLOOKUP(A642,HWRange,3,FALSE)&amp;" core "&amp;VLOOKUP(A642,HWRange,8,FALSE)&amp;" chip "&amp;VLOOKUP(A642,HWRange,5,FALSE)&amp;" MHz "</f>
        <v xml:space="preserve">Xeon E5-2680 16 core 2 chip 2700 MHz </v>
      </c>
      <c r="C642" s="1281">
        <f t="shared" si="112"/>
        <v>638</v>
      </c>
      <c r="D642" s="1291" t="e">
        <f>(C642/#REF!)*0.8*3600*4/#REF!</f>
        <v>#REF!</v>
      </c>
      <c r="E642" s="1292" t="e">
        <f>2*D642</f>
        <v>#REF!</v>
      </c>
      <c r="F642" s="1293">
        <f>VLOOKUP(A642,HWRange,7,FALSE)</f>
        <v>39.875</v>
      </c>
      <c r="G642" s="1294"/>
    </row>
    <row r="643" spans="1:7" ht="16" hidden="1" outlineLevel="1" x14ac:dyDescent="0.2">
      <c r="A643" s="1288" t="s">
        <v>600</v>
      </c>
      <c r="B643" s="1289" t="str">
        <f>A643</f>
        <v>January 2012</v>
      </c>
      <c r="C643" s="1286"/>
      <c r="D643" s="1286"/>
      <c r="E643" s="1286"/>
      <c r="F643" s="1286"/>
      <c r="G643" s="1287"/>
    </row>
    <row r="644" spans="1:7" ht="16" hidden="1" outlineLevel="1" x14ac:dyDescent="0.2">
      <c r="A644" s="1280" t="s">
        <v>485</v>
      </c>
      <c r="B644" s="1290" t="str">
        <f>VLOOKUP(A644,HWRange,2,FALSE)&amp;" "&amp;VLOOKUP(A644,HWRange,3,FALSE)&amp;" core "&amp;VLOOKUP(A644,HWRange,8,FALSE)&amp;" chip "&amp;VLOOKUP(A644,HWRange,5,FALSE)&amp;" MHz "</f>
        <v xml:space="preserve">Xeon E3-1280 4 core 1 chip 3500 MHz </v>
      </c>
      <c r="C644" s="1281">
        <f t="shared" si="112"/>
        <v>160</v>
      </c>
      <c r="D644" s="1291" t="e">
        <f>(C644/#REF!)*0.8*3600*4/#REF!</f>
        <v>#REF!</v>
      </c>
      <c r="E644" s="1292" t="e">
        <f>2*D644</f>
        <v>#REF!</v>
      </c>
      <c r="F644" s="1293">
        <f>VLOOKUP(A644,HWRange,7,FALSE)</f>
        <v>40</v>
      </c>
      <c r="G644" s="1294"/>
    </row>
    <row r="645" spans="1:7" ht="16" hidden="1" outlineLevel="1" x14ac:dyDescent="0.2">
      <c r="A645" s="1280" t="s">
        <v>621</v>
      </c>
      <c r="B645" s="1290" t="str">
        <f>VLOOKUP(A645,HWRange,2,FALSE)&amp;" "&amp;VLOOKUP(A645,HWRange,3,FALSE)&amp;" core "&amp;VLOOKUP(A645,HWRange,8,FALSE)&amp;" chip "&amp;VLOOKUP(A645,HWRange,5,FALSE)&amp;" MHz "</f>
        <v xml:space="preserve">Xeon X5687 8 core 2 chip 3600 MHz </v>
      </c>
      <c r="C645" s="1281">
        <f t="shared" si="112"/>
        <v>307</v>
      </c>
      <c r="D645" s="1291" t="e">
        <f>(C645/#REF!)*0.8*3600*4/#REF!</f>
        <v>#REF!</v>
      </c>
      <c r="E645" s="1292" t="e">
        <f>2*D645</f>
        <v>#REF!</v>
      </c>
      <c r="F645" s="1293">
        <f>VLOOKUP(A645,HWRange,7,FALSE)</f>
        <v>38.375</v>
      </c>
      <c r="G645" s="1294"/>
    </row>
    <row r="646" spans="1:7" ht="16" hidden="1" outlineLevel="1" x14ac:dyDescent="0.2">
      <c r="A646" s="1280" t="s">
        <v>622</v>
      </c>
      <c r="B646" s="1290" t="str">
        <f>VLOOKUP(A646,HWRange,2,FALSE)&amp;" "&amp;VLOOKUP(A646,HWRange,3,FALSE)&amp;" core "&amp;VLOOKUP(A646,HWRange,8,FALSE)&amp;" chip "&amp;VLOOKUP(A646,HWRange,5,FALSE)&amp;" MHz "</f>
        <v xml:space="preserve">Xeon E7-4870 40 core 4 chip 2400 MHz </v>
      </c>
      <c r="C646" s="1281">
        <f t="shared" si="112"/>
        <v>1100</v>
      </c>
      <c r="D646" s="1291" t="e">
        <f>(C646/#REF!)*0.8*3600*4/#REF!</f>
        <v>#REF!</v>
      </c>
      <c r="E646" s="1292" t="e">
        <f>2*D646</f>
        <v>#REF!</v>
      </c>
      <c r="F646" s="1293">
        <f>VLOOKUP(A646,HWRange,7,FALSE)</f>
        <v>27.5</v>
      </c>
      <c r="G646" s="1294"/>
    </row>
    <row r="647" spans="1:7" ht="16" hidden="1" outlineLevel="1" x14ac:dyDescent="0.2">
      <c r="A647" s="1288" t="s">
        <v>602</v>
      </c>
      <c r="B647" s="1289" t="str">
        <f>A647</f>
        <v>January 2011</v>
      </c>
      <c r="C647" s="1286"/>
      <c r="D647" s="1286"/>
      <c r="E647" s="1286"/>
      <c r="F647" s="1286"/>
      <c r="G647" s="1287"/>
    </row>
    <row r="648" spans="1:7" ht="16" hidden="1" outlineLevel="1" x14ac:dyDescent="0.2">
      <c r="A648" s="1280" t="s">
        <v>614</v>
      </c>
      <c r="B648" s="1290" t="str">
        <f>VLOOKUP(A648,HWRange,2,FALSE)&amp;" "&amp;VLOOKUP(A648,HWRange,3,FALSE)&amp;" core "&amp;VLOOKUP(A648,HWRange,8,FALSE)&amp;" chip "&amp;VLOOKUP(A648,HWRange,5,FALSE)&amp;" MHz "</f>
        <v xml:space="preserve">Xeon X5677 8 core 2 chip 3467 MHz </v>
      </c>
      <c r="C648" s="1281">
        <f t="shared" si="112"/>
        <v>283</v>
      </c>
      <c r="D648" s="1291" t="e">
        <f>(C648/#REF!)*0.8*3600*4/#REF!</f>
        <v>#REF!</v>
      </c>
      <c r="E648" s="1292" t="e">
        <f>2*D648</f>
        <v>#REF!</v>
      </c>
      <c r="F648" s="1293">
        <f>VLOOKUP(A648,HWRange,7,FALSE)</f>
        <v>35.375</v>
      </c>
      <c r="G648" s="1294"/>
    </row>
    <row r="649" spans="1:7" ht="16" hidden="1" outlineLevel="1" x14ac:dyDescent="0.2">
      <c r="A649" s="1280" t="s">
        <v>604</v>
      </c>
      <c r="B649" s="1290" t="str">
        <f>VLOOKUP(A649,HWRange,2,FALSE)&amp;" "&amp;VLOOKUP(A649,HWRange,3,FALSE)&amp;" core "&amp;VLOOKUP(A649,HWRange,8,FALSE)&amp;" chip "&amp;VLOOKUP(A649,HWRange,5,FALSE)&amp;" MHz "</f>
        <v xml:space="preserve">Xeon X5690 12 core 2 chip 3466 MHz </v>
      </c>
      <c r="C649" s="1281">
        <f t="shared" si="112"/>
        <v>386</v>
      </c>
      <c r="D649" s="1291" t="e">
        <f>(C649/#REF!)*0.8*3600*4/#REF!</f>
        <v>#REF!</v>
      </c>
      <c r="E649" s="1292" t="e">
        <f>2*D649</f>
        <v>#REF!</v>
      </c>
      <c r="F649" s="1293">
        <f>VLOOKUP(A649,HWRange,7,FALSE)</f>
        <v>32.166666666666664</v>
      </c>
      <c r="G649" s="1294"/>
    </row>
    <row r="650" spans="1:7" ht="16" hidden="1" outlineLevel="1" x14ac:dyDescent="0.2">
      <c r="A650" s="1288" t="s">
        <v>603</v>
      </c>
      <c r="B650" s="1289" t="str">
        <f>A650</f>
        <v>January 2010</v>
      </c>
      <c r="C650" s="1286"/>
      <c r="D650" s="1286"/>
      <c r="E650" s="1286"/>
      <c r="F650" s="1286"/>
      <c r="G650" s="1287"/>
    </row>
    <row r="651" spans="1:7" ht="16" hidden="1" outlineLevel="1" x14ac:dyDescent="0.2">
      <c r="A651" s="1280" t="s">
        <v>615</v>
      </c>
      <c r="B651" s="1290" t="e">
        <f>VLOOKUP(A651,HWRange,2,FALSE)&amp;" "&amp;VLOOKUP(A651,HWRange,3,FALSE)&amp;" core "&amp;VLOOKUP(A651,HWRange,8,FALSE)&amp;" chip "&amp;VLOOKUP(A651,HWRange,5,FALSE)&amp;" MHz "</f>
        <v>#N/A</v>
      </c>
      <c r="C651" s="1281" t="e">
        <f t="shared" si="112"/>
        <v>#N/A</v>
      </c>
      <c r="D651" s="1291" t="e">
        <f>(C651/#REF!)*0.8*3600*4/#REF!</f>
        <v>#N/A</v>
      </c>
      <c r="E651" s="1292" t="e">
        <f>2*D651</f>
        <v>#N/A</v>
      </c>
      <c r="F651" s="1293" t="e">
        <f>VLOOKUP(A651,HWRange,7,FALSE)</f>
        <v>#N/A</v>
      </c>
      <c r="G651" s="1294"/>
    </row>
    <row r="652" spans="1:7" ht="16" hidden="1" outlineLevel="1" x14ac:dyDescent="0.2">
      <c r="A652" s="1280" t="s">
        <v>616</v>
      </c>
      <c r="B652" s="1290" t="e">
        <f>VLOOKUP(A652,HWRange,2,FALSE)&amp;" "&amp;VLOOKUP(A652,HWRange,3,FALSE)&amp;" core "&amp;VLOOKUP(A652,HWRange,8,FALSE)&amp;" chip "&amp;VLOOKUP(A652,HWRange,5,FALSE)&amp;" MHz "</f>
        <v>#N/A</v>
      </c>
      <c r="C652" s="1281" t="e">
        <f t="shared" si="112"/>
        <v>#N/A</v>
      </c>
      <c r="D652" s="1291" t="e">
        <f>(C652/#REF!)*0.8*3600*4/#REF!</f>
        <v>#N/A</v>
      </c>
      <c r="E652" s="1292" t="e">
        <f>2*D652</f>
        <v>#N/A</v>
      </c>
      <c r="F652" s="1293" t="e">
        <f>VLOOKUP(A652,HWRange,7,FALSE)</f>
        <v>#N/A</v>
      </c>
      <c r="G652" s="1294"/>
    </row>
    <row r="653" spans="1:7" ht="16" hidden="1" outlineLevel="1" x14ac:dyDescent="0.2">
      <c r="A653" s="1288" t="s">
        <v>617</v>
      </c>
      <c r="B653" s="1289" t="str">
        <f>A653</f>
        <v>January 2009</v>
      </c>
      <c r="C653" s="1286"/>
      <c r="D653" s="1286"/>
      <c r="E653" s="1286"/>
      <c r="F653" s="1286"/>
      <c r="G653" s="1287"/>
    </row>
    <row r="654" spans="1:7" ht="16" hidden="1" outlineLevel="1" x14ac:dyDescent="0.2">
      <c r="A654" s="1280" t="s">
        <v>619</v>
      </c>
      <c r="B654" s="1290" t="e">
        <f>VLOOKUP(A654,HWRange,2,FALSE)&amp;" "&amp;VLOOKUP(A654,HWRange,3,FALSE)&amp;" core "&amp;VLOOKUP(A654,HWRange,8,FALSE)&amp;" chip "&amp;VLOOKUP(A654,HWRange,5,FALSE)&amp;" MHz "</f>
        <v>#N/A</v>
      </c>
      <c r="C654" s="1281" t="e">
        <f t="shared" si="112"/>
        <v>#N/A</v>
      </c>
      <c r="D654" s="1291" t="e">
        <f>(C654/#REF!)*0.8*3600*4/#REF!</f>
        <v>#N/A</v>
      </c>
      <c r="E654" s="1292" t="e">
        <f>2*D654</f>
        <v>#N/A</v>
      </c>
      <c r="F654" s="1293" t="e">
        <f>VLOOKUP(A654,HWRange,7,FALSE)</f>
        <v>#N/A</v>
      </c>
      <c r="G654" s="1294"/>
    </row>
    <row r="655" spans="1:7" ht="16" hidden="1" outlineLevel="1" x14ac:dyDescent="0.2">
      <c r="A655" s="1280" t="s">
        <v>620</v>
      </c>
      <c r="B655" s="1290" t="e">
        <f>VLOOKUP(A655,HWRange,2,FALSE)&amp;" "&amp;VLOOKUP(A655,HWRange,3,FALSE)&amp;" core "&amp;VLOOKUP(A655,HWRange,8,FALSE)&amp;" chip "&amp;VLOOKUP(A655,HWRange,5,FALSE)&amp;" MHz "</f>
        <v>#N/A</v>
      </c>
      <c r="C655" s="1281" t="e">
        <f t="shared" si="112"/>
        <v>#N/A</v>
      </c>
      <c r="D655" s="1291" t="e">
        <f>(C655/#REF!)*0.8*3600*4/#REF!</f>
        <v>#N/A</v>
      </c>
      <c r="E655" s="1292" t="e">
        <f>2*D655</f>
        <v>#N/A</v>
      </c>
      <c r="F655" s="1293" t="e">
        <f>VLOOKUP(A655,HWRange,7,FALSE)</f>
        <v>#N/A</v>
      </c>
      <c r="G655" s="1294"/>
    </row>
    <row r="656" spans="1:7" ht="16" hidden="1" outlineLevel="1" x14ac:dyDescent="0.2">
      <c r="A656" s="1288" t="s">
        <v>618</v>
      </c>
      <c r="B656" s="1289" t="str">
        <f>A656</f>
        <v>January 2008</v>
      </c>
      <c r="C656" s="1286"/>
      <c r="D656" s="1286"/>
      <c r="E656" s="1286"/>
      <c r="F656" s="1286"/>
      <c r="G656" s="1287"/>
    </row>
    <row r="657" spans="1:7" ht="16" hidden="1" outlineLevel="1" x14ac:dyDescent="0.2">
      <c r="A657" s="1282"/>
      <c r="B657" s="1283"/>
      <c r="C657" s="1284"/>
      <c r="D657" s="1284"/>
      <c r="E657" s="1284"/>
      <c r="F657" s="1284"/>
      <c r="G657" s="1284"/>
    </row>
    <row r="658" spans="1:7" ht="16" hidden="1" outlineLevel="1" x14ac:dyDescent="0.2">
      <c r="A658" s="1275" t="str">
        <f>IF(ISERROR(FIND("Med",A659)),"select MED workflow",LEFT(A659,FIND("Med",A659)-1))&amp;G659</f>
        <v>AGS102 REST MSD R 100%Dyn SDE</v>
      </c>
      <c r="B658" s="9"/>
      <c r="C658" s="1279" t="s">
        <v>408</v>
      </c>
      <c r="D658" s="25"/>
      <c r="E658" s="25"/>
      <c r="F658" s="25"/>
      <c r="G658" s="25"/>
    </row>
    <row r="659" spans="1:7" ht="16" hidden="1" outlineLevel="1" x14ac:dyDescent="0.2">
      <c r="A659" s="862" t="s">
        <v>789</v>
      </c>
      <c r="B659" s="9"/>
      <c r="C659" s="1235" t="s">
        <v>87</v>
      </c>
      <c r="D659" s="1044" t="e">
        <f>(VLOOKUP(A659,wfRange,14,FALSE)-VLOOKUP(A659,wfRange,4,FALSE))*F659</f>
        <v>#N/A</v>
      </c>
      <c r="E659" s="1038" t="e">
        <f>VLOOKUP(A659,wfRange,13,FALSE)</f>
        <v>#N/A</v>
      </c>
      <c r="F659" s="1218" t="e">
        <f>VLOOKUP(C659,DataArray,4,FALSE)</f>
        <v>#N/A</v>
      </c>
      <c r="G659" s="25" t="str">
        <f>IF(ISERROR(FIND("_",C659)),C659,LEFT(C659,FIND("_",C659)-1))</f>
        <v>SDE</v>
      </c>
    </row>
    <row r="660" spans="1:7" hidden="1" outlineLevel="1" x14ac:dyDescent="0.15"/>
    <row r="661" spans="1:7" hidden="1" outlineLevel="1" x14ac:dyDescent="0.15"/>
    <row r="662" spans="1:7" hidden="1" outlineLevel="1" x14ac:dyDescent="0.15"/>
    <row r="663" spans="1:7" hidden="1" outlineLevel="1" x14ac:dyDescent="0.15"/>
    <row r="664" spans="1:7" hidden="1" outlineLevel="1" x14ac:dyDescent="0.15"/>
    <row r="665" spans="1:7" hidden="1" outlineLevel="1" x14ac:dyDescent="0.15"/>
    <row r="666" spans="1:7" hidden="1" outlineLevel="1" x14ac:dyDescent="0.15"/>
    <row r="667" spans="1:7" hidden="1" outlineLevel="1" x14ac:dyDescent="0.15"/>
    <row r="668" spans="1:7" hidden="1" outlineLevel="1" x14ac:dyDescent="0.15"/>
    <row r="669" spans="1:7" hidden="1" outlineLevel="1" x14ac:dyDescent="0.15"/>
    <row r="670" spans="1:7" hidden="1" outlineLevel="1" x14ac:dyDescent="0.15"/>
    <row r="671" spans="1:7" collapsed="1" x14ac:dyDescent="0.15"/>
  </sheetData>
  <sheetProtection selectLockedCells="1"/>
  <mergeCells count="10">
    <mergeCell ref="D636:E636"/>
    <mergeCell ref="D637:E637"/>
    <mergeCell ref="A1:D1"/>
    <mergeCell ref="E1:G1"/>
    <mergeCell ref="H1:J1"/>
    <mergeCell ref="L1:P1"/>
    <mergeCell ref="F542:G542"/>
    <mergeCell ref="F543:G543"/>
    <mergeCell ref="D627:E627"/>
    <mergeCell ref="F627:G627"/>
  </mergeCells>
  <conditionalFormatting sqref="C5:C6">
    <cfRule type="expression" dxfId="1750" priority="45" stopIfTrue="1">
      <formula>IF(C5&lt;100,C5&gt;K5,"")</formula>
    </cfRule>
    <cfRule type="expression" dxfId="1749" priority="46" stopIfTrue="1">
      <formula>C5=K5</formula>
    </cfRule>
  </conditionalFormatting>
  <conditionalFormatting sqref="C637 E543">
    <cfRule type="expression" dxfId="1748" priority="44" stopIfTrue="1">
      <formula>IF(C543=$E$546,FALSE,TRUE)</formula>
    </cfRule>
  </conditionalFormatting>
  <conditionalFormatting sqref="F543">
    <cfRule type="expression" dxfId="1747" priority="43" stopIfTrue="1">
      <formula>IF(E543=$E$546,FALSE,TRUE)</formula>
    </cfRule>
  </conditionalFormatting>
  <conditionalFormatting sqref="G541">
    <cfRule type="expression" dxfId="1746" priority="42" stopIfTrue="1">
      <formula>$C$541="TPH"</formula>
    </cfRule>
  </conditionalFormatting>
  <conditionalFormatting sqref="F545">
    <cfRule type="expression" dxfId="1745" priority="41" stopIfTrue="1">
      <formula>IF(E543=$E$546,FALSE,TRUE)</formula>
    </cfRule>
  </conditionalFormatting>
  <conditionalFormatting sqref="H543">
    <cfRule type="expression" dxfId="1744" priority="39" stopIfTrue="1">
      <formula>$H$543&gt;$F$545</formula>
    </cfRule>
    <cfRule type="expression" dxfId="1743" priority="40" stopIfTrue="1">
      <formula>IF(E543=$E$546,FALSE,TRUE)</formula>
    </cfRule>
  </conditionalFormatting>
  <conditionalFormatting sqref="D637 F637">
    <cfRule type="expression" dxfId="1742" priority="47" stopIfTrue="1">
      <formula>IF($C$637=$E$546,FALSE,TRUE)</formula>
    </cfRule>
  </conditionalFormatting>
  <conditionalFormatting sqref="C519">
    <cfRule type="expression" dxfId="1741" priority="37" stopIfTrue="1">
      <formula>IF(#REF!&lt;100,#REF!&gt;#REF!,"")</formula>
    </cfRule>
    <cfRule type="expression" dxfId="1740" priority="38" stopIfTrue="1">
      <formula>#REF!=#REF!</formula>
    </cfRule>
  </conditionalFormatting>
  <conditionalFormatting sqref="C494">
    <cfRule type="expression" dxfId="1739" priority="35" stopIfTrue="1">
      <formula>IF(#REF!&lt;100,#REF!&gt;#REF!,"")</formula>
    </cfRule>
    <cfRule type="expression" dxfId="1738" priority="36" stopIfTrue="1">
      <formula>#REF!=#REF!</formula>
    </cfRule>
  </conditionalFormatting>
  <conditionalFormatting sqref="C499">
    <cfRule type="expression" dxfId="1737" priority="33" stopIfTrue="1">
      <formula>IF(#REF!&lt;100,#REF!&gt;#REF!,"")</formula>
    </cfRule>
    <cfRule type="expression" dxfId="1736" priority="34" stopIfTrue="1">
      <formula>#REF!=#REF!</formula>
    </cfRule>
  </conditionalFormatting>
  <conditionalFormatting sqref="C510">
    <cfRule type="expression" dxfId="1735" priority="31" stopIfTrue="1">
      <formula>IF(#REF!&lt;100,#REF!&gt;#REF!,"")</formula>
    </cfRule>
    <cfRule type="expression" dxfId="1734" priority="32" stopIfTrue="1">
      <formula>#REF!=#REF!</formula>
    </cfRule>
  </conditionalFormatting>
  <conditionalFormatting sqref="C493">
    <cfRule type="expression" dxfId="1733" priority="29" stopIfTrue="1">
      <formula>IF(#REF!&lt;100,#REF!&gt;#REF!,"")</formula>
    </cfRule>
    <cfRule type="expression" dxfId="1732" priority="30" stopIfTrue="1">
      <formula>#REF!=#REF!</formula>
    </cfRule>
  </conditionalFormatting>
  <conditionalFormatting sqref="J334:J343 J345:J354 J364:J365 J356:J358 J367:J377 J360:J362 J379:J388">
    <cfRule type="expression" dxfId="1731" priority="28">
      <formula>$M334*4&gt;$J334</formula>
    </cfRule>
  </conditionalFormatting>
  <conditionalFormatting sqref="J393:J403 J405:J409 J411:J421 J429:J435 J437:J442 J423:J427">
    <cfRule type="expression" dxfId="1730" priority="27">
      <formula>$M393*4&gt;$J393</formula>
    </cfRule>
  </conditionalFormatting>
  <conditionalFormatting sqref="R393:R442 R456">
    <cfRule type="expression" dxfId="1729" priority="26">
      <formula>R393&gt;J393</formula>
    </cfRule>
  </conditionalFormatting>
  <conditionalFormatting sqref="R334:R389">
    <cfRule type="expression" dxfId="1728" priority="25">
      <formula>R334&gt;J334</formula>
    </cfRule>
  </conditionalFormatting>
  <conditionalFormatting sqref="J445:J448">
    <cfRule type="expression" dxfId="1727" priority="24">
      <formula>$M445*4&gt;$J445</formula>
    </cfRule>
  </conditionalFormatting>
  <conditionalFormatting sqref="R445:R448">
    <cfRule type="expression" dxfId="1726" priority="23">
      <formula>R445&gt;J445</formula>
    </cfRule>
  </conditionalFormatting>
  <conditionalFormatting sqref="J450:J452 J455">
    <cfRule type="expression" dxfId="1725" priority="22">
      <formula>$M450*4&gt;$J450</formula>
    </cfRule>
  </conditionalFormatting>
  <conditionalFormatting sqref="R450:R452 R455">
    <cfRule type="expression" dxfId="1724" priority="21">
      <formula>R450&gt;J450</formula>
    </cfRule>
  </conditionalFormatting>
  <conditionalFormatting sqref="J453">
    <cfRule type="expression" dxfId="1723" priority="20">
      <formula>$M453*4&gt;$J453</formula>
    </cfRule>
  </conditionalFormatting>
  <conditionalFormatting sqref="R453">
    <cfRule type="expression" dxfId="1722" priority="19">
      <formula>R453&gt;J453</formula>
    </cfRule>
  </conditionalFormatting>
  <conditionalFormatting sqref="J454">
    <cfRule type="expression" dxfId="1721" priority="18">
      <formula>$M454*4&gt;$J454</formula>
    </cfRule>
  </conditionalFormatting>
  <conditionalFormatting sqref="R454">
    <cfRule type="expression" dxfId="1720" priority="17">
      <formula>R454&gt;J454</formula>
    </cfRule>
  </conditionalFormatting>
  <conditionalFormatting sqref="S334:S343">
    <cfRule type="expression" dxfId="1719" priority="16">
      <formula>S334&gt;J334</formula>
    </cfRule>
  </conditionalFormatting>
  <conditionalFormatting sqref="S345:S354">
    <cfRule type="expression" dxfId="1718" priority="15">
      <formula>S345&gt;J345</formula>
    </cfRule>
  </conditionalFormatting>
  <conditionalFormatting sqref="S356:S358">
    <cfRule type="expression" dxfId="1717" priority="14">
      <formula>S356&gt;J356</formula>
    </cfRule>
  </conditionalFormatting>
  <conditionalFormatting sqref="S360:S362">
    <cfRule type="expression" dxfId="1716" priority="13">
      <formula>S360&gt;J360</formula>
    </cfRule>
  </conditionalFormatting>
  <conditionalFormatting sqref="S364:S365">
    <cfRule type="expression" dxfId="1715" priority="12">
      <formula>S364&gt;J364</formula>
    </cfRule>
  </conditionalFormatting>
  <conditionalFormatting sqref="S367:S377">
    <cfRule type="expression" dxfId="1714" priority="11">
      <formula>S367&gt;J367</formula>
    </cfRule>
  </conditionalFormatting>
  <conditionalFormatting sqref="S379:S388">
    <cfRule type="expression" dxfId="1713" priority="10">
      <formula>S379&gt;J379</formula>
    </cfRule>
  </conditionalFormatting>
  <conditionalFormatting sqref="S393:S403">
    <cfRule type="expression" dxfId="1712" priority="9">
      <formula>S393&gt;J393</formula>
    </cfRule>
  </conditionalFormatting>
  <conditionalFormatting sqref="S405:S409">
    <cfRule type="expression" dxfId="1711" priority="8">
      <formula>S405&gt;J405</formula>
    </cfRule>
  </conditionalFormatting>
  <conditionalFormatting sqref="S411:S421">
    <cfRule type="expression" dxfId="1710" priority="7">
      <formula>S411&gt;J411</formula>
    </cfRule>
  </conditionalFormatting>
  <conditionalFormatting sqref="S423:S427">
    <cfRule type="expression" dxfId="1709" priority="6">
      <formula>S423&gt;J423</formula>
    </cfRule>
  </conditionalFormatting>
  <conditionalFormatting sqref="S429:S435">
    <cfRule type="expression" dxfId="1708" priority="5">
      <formula>S429&gt;J429</formula>
    </cfRule>
  </conditionalFormatting>
  <conditionalFormatting sqref="S437:S442">
    <cfRule type="expression" dxfId="1707" priority="4">
      <formula>S437&gt;J437</formula>
    </cfRule>
  </conditionalFormatting>
  <conditionalFormatting sqref="S445:S448">
    <cfRule type="expression" dxfId="1706" priority="3">
      <formula>S445&gt;J445</formula>
    </cfRule>
  </conditionalFormatting>
  <conditionalFormatting sqref="S450:S455">
    <cfRule type="expression" dxfId="1705" priority="2">
      <formula>S450&gt;J450</formula>
    </cfRule>
  </conditionalFormatting>
  <conditionalFormatting sqref="R70">
    <cfRule type="expression" dxfId="1704" priority="1">
      <formula>R70&gt;J70</formula>
    </cfRule>
  </conditionalFormatting>
  <dataValidations count="9">
    <dataValidation type="list" allowBlank="1" showInputMessage="1" showErrorMessage="1" sqref="B6">
      <formula1>$B$107:$B$539</formula1>
    </dataValidation>
    <dataValidation type="list" allowBlank="1" showInputMessage="1" showErrorMessage="1" sqref="A543 A640:A642 A648:A649 A654:A655 A644:A646 A651:A652">
      <formula1>IF($D$8=#REF!,hwFAVORITES,ServerCandidates)</formula1>
    </dataValidation>
    <dataValidation type="list" allowBlank="1" showInputMessage="1" showErrorMessage="1" sqref="C659">
      <formula1>IF(MID(A659,FIND(" ",A659),8)=" Imagery",ImageryDataList,MapDataList)</formula1>
    </dataValidation>
    <dataValidation type="list" allowBlank="1" showInputMessage="1" showErrorMessage="1" sqref="I543">
      <formula1>$D$555:$D$556</formula1>
    </dataValidation>
    <dataValidation type="list" allowBlank="1" showInputMessage="1" showErrorMessage="1" sqref="A3:A4">
      <formula1>HWList</formula1>
    </dataValidation>
    <dataValidation type="list" allowBlank="1" showInputMessage="1" showErrorMessage="1" sqref="C541">
      <formula1>$F$555:$F$556</formula1>
    </dataValidation>
    <dataValidation type="list" allowBlank="1" showInputMessage="1" showErrorMessage="1" sqref="A659 A549:A553">
      <formula1>wfList</formula1>
    </dataValidation>
    <dataValidation type="list" allowBlank="1" showInputMessage="1" showErrorMessage="1" sqref="C637 E543">
      <formula1>VAlist</formula1>
    </dataValidation>
    <dataValidation type="list" allowBlank="1" showInputMessage="1" showErrorMessage="1" sqref="I549:I553">
      <formula1>IF(MID(A549,FIND(" ",A549),8)=" Imagery",ImageryDataList,MapDataList)</formula1>
    </dataValidation>
  </dataValidations>
  <hyperlinks>
    <hyperlink ref="A8" r:id="rId1" location="SPEC_performance_benchmarks"/>
    <hyperlink ref="B8" r:id="rId2" location="SPEC_performance_benchmarks"/>
    <hyperlink ref="C331" r:id="rId3" location="instance-details" display="Amazon Site"/>
    <hyperlink ref="C10" r:id="rId4" display="SDSwikiCh7"/>
    <hyperlink ref="K8" r:id="rId5"/>
    <hyperlink ref="C390" r:id="rId6"/>
  </hyperlinks>
  <pageMargins left="0.75" right="0.75" top="1" bottom="1" header="0.5" footer="0.5"/>
  <pageSetup orientation="portrait" r:id="rId7"/>
  <headerFooter alignWithMargins="0"/>
  <drawing r:id="rId8"/>
  <legacy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4D4D4D"/>
  </sheetPr>
  <dimension ref="A1:AI62"/>
  <sheetViews>
    <sheetView workbookViewId="0">
      <selection activeCell="A8" sqref="A8:XFD8"/>
    </sheetView>
  </sheetViews>
  <sheetFormatPr baseColWidth="10" defaultColWidth="9.1640625" defaultRowHeight="13" outlineLevelRow="1" x14ac:dyDescent="0.15"/>
  <cols>
    <col min="1" max="1" width="42.6640625" style="31" customWidth="1"/>
    <col min="2" max="2" width="21.5" style="31" customWidth="1"/>
    <col min="3" max="3" width="12.6640625" style="31" customWidth="1"/>
    <col min="4" max="4" width="8.5" style="31" customWidth="1"/>
    <col min="5" max="5" width="9.33203125" style="31" customWidth="1"/>
    <col min="6" max="6" width="8.33203125" style="31" customWidth="1"/>
    <col min="7" max="7" width="7.5" style="31" bestFit="1" customWidth="1"/>
    <col min="8" max="8" width="7.6640625" style="2609" bestFit="1" customWidth="1"/>
    <col min="9" max="9" width="10.5" style="31" bestFit="1" customWidth="1"/>
    <col min="10" max="10" width="8.5" style="1378" customWidth="1"/>
    <col min="11" max="11" width="12.5" style="31" customWidth="1"/>
    <col min="12" max="15" width="10" style="31" customWidth="1"/>
    <col min="16" max="17" width="9.33203125" style="31" customWidth="1"/>
    <col min="18" max="18" width="10.83203125" style="31" customWidth="1"/>
    <col min="19" max="19" width="14" style="31" customWidth="1"/>
    <col min="20" max="20" width="10.83203125" style="31" customWidth="1"/>
    <col min="21" max="22" width="9.1640625" style="31" customWidth="1"/>
    <col min="23" max="31" width="9.1640625" style="31"/>
    <col min="32" max="32" width="30.83203125" style="31" customWidth="1"/>
    <col min="33" max="33" width="17.5" style="31" customWidth="1"/>
    <col min="34" max="35" width="9.1640625" style="31" customWidth="1"/>
    <col min="36" max="16384" width="9.1640625" style="31"/>
  </cols>
  <sheetData>
    <row r="1" spans="1:35" ht="16" x14ac:dyDescent="0.2">
      <c r="A1" s="832" t="s">
        <v>224</v>
      </c>
      <c r="B1" s="1886" t="s">
        <v>235</v>
      </c>
      <c r="C1" s="1884" t="s">
        <v>305</v>
      </c>
      <c r="D1" s="839"/>
      <c r="E1" s="839"/>
      <c r="F1" s="869" t="s">
        <v>236</v>
      </c>
      <c r="G1" s="843"/>
      <c r="H1" s="2610">
        <f>IF(OR(E3=E6,H3&gt;F5),1,H3/F5)</f>
        <v>1</v>
      </c>
      <c r="I1" s="1368" t="s">
        <v>708</v>
      </c>
    </row>
    <row r="2" spans="1:35" x14ac:dyDescent="0.15">
      <c r="A2" s="838" t="s">
        <v>225</v>
      </c>
      <c r="B2" s="835" t="s">
        <v>328</v>
      </c>
      <c r="C2" s="836" t="s">
        <v>316</v>
      </c>
      <c r="D2" s="837" t="s">
        <v>223</v>
      </c>
      <c r="E2" s="837" t="s">
        <v>314</v>
      </c>
      <c r="F2" s="3298" t="s">
        <v>520</v>
      </c>
      <c r="G2" s="3299"/>
      <c r="H2" s="2611" t="s">
        <v>484</v>
      </c>
      <c r="I2" s="1369" t="s">
        <v>709</v>
      </c>
    </row>
    <row r="3" spans="1:35" ht="15" x14ac:dyDescent="0.15">
      <c r="A3" s="1309" t="s">
        <v>1816</v>
      </c>
      <c r="B3" s="1885" t="str">
        <f>B6&amp;" ("&amp;TEXT(VLOOKUP(A3,HWRange,7,FALSE),"0.0")&amp;")"</f>
        <v>279 (69.8)</v>
      </c>
      <c r="C3" s="1052">
        <f xml:space="preserve"> H5*B6/(C5)</f>
        <v>0.94256756756756754</v>
      </c>
      <c r="D3" s="1053">
        <f>VLOOKUP(A3,HWRange,7,FALSE)/(D5)</f>
        <v>0.94256756756756754</v>
      </c>
      <c r="E3" s="834" t="s">
        <v>408</v>
      </c>
      <c r="F3" s="3300">
        <v>2</v>
      </c>
      <c r="G3" s="3301"/>
      <c r="H3" s="2612">
        <v>2</v>
      </c>
      <c r="I3" s="871" t="s">
        <v>412</v>
      </c>
    </row>
    <row r="4" spans="1:35" x14ac:dyDescent="0.15">
      <c r="A4" s="840"/>
      <c r="B4" s="841"/>
      <c r="C4" s="841"/>
      <c r="D4" s="841"/>
      <c r="E4" s="841"/>
      <c r="F4" s="841"/>
      <c r="G4" s="841"/>
      <c r="H4" s="2613"/>
      <c r="I4" s="1306"/>
    </row>
    <row r="5" spans="1:35" x14ac:dyDescent="0.15">
      <c r="A5" s="863"/>
      <c r="B5" s="869" t="s">
        <v>163</v>
      </c>
      <c r="C5" s="1042">
        <f>+D5*4</f>
        <v>296</v>
      </c>
      <c r="D5" s="1043">
        <f>Workflow!K3</f>
        <v>74</v>
      </c>
      <c r="E5" s="869" t="s">
        <v>489</v>
      </c>
      <c r="F5" s="1046">
        <f>VLOOKUP(A3,HWRange,3,FALSE)/F3</f>
        <v>2</v>
      </c>
      <c r="G5" s="869" t="s">
        <v>234</v>
      </c>
      <c r="H5" s="2633">
        <f>IF(E3=Calculator!H158,1,G6)</f>
        <v>1</v>
      </c>
      <c r="I5" s="2632">
        <f>Calculator!N36</f>
        <v>1.35</v>
      </c>
    </row>
    <row r="6" spans="1:35" x14ac:dyDescent="0.15">
      <c r="A6" s="840"/>
      <c r="B6" s="1051">
        <f>VLOOKUP(A3,HWRange,6,FALSE)</f>
        <v>279</v>
      </c>
      <c r="C6" s="841"/>
      <c r="D6" s="1038"/>
      <c r="E6" s="841" t="s">
        <v>408</v>
      </c>
      <c r="F6" s="841"/>
      <c r="G6" s="2634">
        <f>IF(VLOOKUP(A3,HWRange,3,FALSE)/( F3*H3)&lt;I5,1/I5, F3*H3/VLOOKUP(A3,HWRange,3,FALSE))</f>
        <v>0.7407407407407407</v>
      </c>
      <c r="H6" s="2614" t="s">
        <v>382</v>
      </c>
      <c r="I6" s="1307" t="s">
        <v>300</v>
      </c>
      <c r="K6" s="1378"/>
      <c r="W6" s="2983" t="s">
        <v>556</v>
      </c>
      <c r="X6" s="2983"/>
      <c r="Y6" s="3199"/>
      <c r="Z6" s="2983"/>
      <c r="AA6" s="2983" t="s">
        <v>1904</v>
      </c>
      <c r="AB6" s="2983"/>
      <c r="AC6" s="3221" t="s">
        <v>1867</v>
      </c>
      <c r="AD6" s="3221"/>
      <c r="AE6" s="3221"/>
      <c r="AF6" s="2249"/>
      <c r="AG6" s="2249"/>
      <c r="AH6" s="2249"/>
      <c r="AI6" s="2249"/>
    </row>
    <row r="7" spans="1:35" x14ac:dyDescent="0.15">
      <c r="A7" s="863" t="s">
        <v>1421</v>
      </c>
      <c r="B7" s="1298" t="s">
        <v>280</v>
      </c>
      <c r="C7" s="1298" t="s">
        <v>542</v>
      </c>
      <c r="D7" s="1298" t="s">
        <v>1120</v>
      </c>
      <c r="E7" s="1298" t="s">
        <v>1908</v>
      </c>
      <c r="F7" s="1300"/>
      <c r="G7" s="1042"/>
      <c r="H7" s="2615" t="s">
        <v>351</v>
      </c>
      <c r="I7" s="1234" t="s">
        <v>556</v>
      </c>
      <c r="K7" s="1378"/>
      <c r="W7" s="2984" t="s">
        <v>561</v>
      </c>
      <c r="X7" s="2985" t="s">
        <v>234</v>
      </c>
      <c r="Y7" s="3199" t="s">
        <v>1903</v>
      </c>
      <c r="Z7" s="2985" t="s">
        <v>542</v>
      </c>
      <c r="AA7" s="2985" t="s">
        <v>1120</v>
      </c>
      <c r="AB7" s="2985" t="s">
        <v>1889</v>
      </c>
      <c r="AC7" s="2980" t="s">
        <v>1907</v>
      </c>
      <c r="AD7" s="2980" t="s">
        <v>1120</v>
      </c>
      <c r="AE7" s="2980" t="s">
        <v>1908</v>
      </c>
      <c r="AF7" s="2249" t="s">
        <v>1122</v>
      </c>
      <c r="AG7" s="2249" t="s">
        <v>1123</v>
      </c>
      <c r="AH7" s="2249" t="s">
        <v>1124</v>
      </c>
      <c r="AI7" s="2249" t="s">
        <v>1125</v>
      </c>
    </row>
    <row r="8" spans="1:35" hidden="1" x14ac:dyDescent="0.15">
      <c r="A8" s="2844" t="s">
        <v>1477</v>
      </c>
      <c r="B8" s="581"/>
      <c r="C8" s="581"/>
      <c r="D8" s="581"/>
      <c r="E8" s="582"/>
      <c r="F8" s="829"/>
      <c r="G8" s="1038"/>
      <c r="H8" s="2616"/>
      <c r="I8" s="1234"/>
      <c r="K8" s="1378"/>
      <c r="W8" s="2984"/>
      <c r="X8" s="2985"/>
      <c r="Y8" s="3200"/>
      <c r="Z8" s="2985"/>
      <c r="AA8" s="2985"/>
      <c r="AB8" s="2985"/>
      <c r="AC8" s="2981"/>
      <c r="AD8" s="2981"/>
      <c r="AE8" s="2981"/>
      <c r="AF8" s="2249"/>
      <c r="AG8" s="2249"/>
      <c r="AH8" s="2249"/>
      <c r="AI8" s="2249"/>
    </row>
    <row r="9" spans="1:35" x14ac:dyDescent="0.15">
      <c r="A9" s="862" t="s">
        <v>1362</v>
      </c>
      <c r="B9" s="833" t="str">
        <f>IF(ISERROR(FIND("Hvy",A9)),"select Hvy workflow",AF9&amp;AG9&amp;" "&amp;W9)</f>
        <v>AGD Citrix ArcMap 2D V 100%Dyn 19x10 ICA DB</v>
      </c>
      <c r="C9" s="830">
        <f>IF($C$1=$F$15,ROUND($C$3*AC9,-2),$C$3*AC9/(60*IF($G$1&gt;0,$G$1,$H9)))</f>
        <v>50.103630398467658</v>
      </c>
      <c r="D9" s="830">
        <f t="shared" ref="D9:E9" si="0">IF($C$1=$F$15,ROUND($C$3*AD9,-2),$C$3*AD9/(60*IF($G$1&gt;0,$G$1,$H9)))</f>
        <v>33.36901784537946</v>
      </c>
      <c r="E9" s="830">
        <f t="shared" si="0"/>
        <v>25.051815199233829</v>
      </c>
      <c r="F9" s="831"/>
      <c r="G9" s="3193"/>
      <c r="H9" s="2617">
        <f>VLOOKUP(A9,wfRange,13,FALSE)</f>
        <v>10</v>
      </c>
      <c r="I9" s="1235" t="s">
        <v>1055</v>
      </c>
      <c r="K9" s="1378"/>
      <c r="W9" s="2987" t="str">
        <f>IF(ISERROR(FIND("_",I9)),I9,LEFT(I9,FIND("_",I9)-1))</f>
        <v>DB</v>
      </c>
      <c r="X9" s="2988">
        <f>VLOOKUP(I9,DataArray,4,FALSE)</f>
        <v>1</v>
      </c>
      <c r="Y9" s="3220">
        <f>VLOOKUP(A9,wfRange,Workflow!R$1,FALSE)</f>
        <v>0</v>
      </c>
      <c r="Z9" s="3222">
        <f>AA9*0.666</f>
        <v>0.36119732549062505</v>
      </c>
      <c r="AA9" s="2989">
        <f>VLOOKUP(A9,wfRange,Workflow!S$1,FALSE)*X9</f>
        <v>0.54233832656250003</v>
      </c>
      <c r="AB9" s="3222">
        <f>Z9*2</f>
        <v>0.72239465098125011</v>
      </c>
      <c r="AC9" s="2982">
        <f>0.8*3600*4/($Y9+Z9)</f>
        <v>31893.923866551453</v>
      </c>
      <c r="AD9" s="2982">
        <f t="shared" ref="AD9:AE13" si="1">0.8*3600*4/($Y9+AA9)</f>
        <v>21241.35329512327</v>
      </c>
      <c r="AE9" s="2982">
        <f t="shared" si="1"/>
        <v>15946.961933275727</v>
      </c>
      <c r="AF9" s="2249" t="str">
        <f>LEFT(A9,FIND("Hvy",A9)-1)</f>
        <v xml:space="preserve">AGD Citrix ArcMap 2D V </v>
      </c>
      <c r="AG9" s="2249" t="str">
        <f>RIGHT(A9,AI9-AH9)</f>
        <v>100%Dyn 19x10 ICA</v>
      </c>
      <c r="AH9" s="2249">
        <f>FIND("Hvy",A9)+3</f>
        <v>27</v>
      </c>
      <c r="AI9" s="2249">
        <f>LEN(A9)</f>
        <v>44</v>
      </c>
    </row>
    <row r="10" spans="1:35" x14ac:dyDescent="0.15">
      <c r="A10" s="862" t="s">
        <v>1372</v>
      </c>
      <c r="B10" s="833" t="str">
        <f>IF(ISERROR(FIND("Hvy",A10)),"select Hvy workflow",AF10&amp;AG10&amp;" "&amp;W10)</f>
        <v>AGS REST 2D V 100%Dyn 13x7 PNG24 DB</v>
      </c>
      <c r="C10" s="830">
        <f t="shared" ref="C10:C13" si="2">IF($C$1=$F$15,ROUND($C$3*AC10,-2),$C$3*AC10/(60*IF($G$1&gt;0,$G$1,$H10)))</f>
        <v>221.62651197616222</v>
      </c>
      <c r="D10" s="830">
        <f t="shared" ref="D10:D13" si="3">IF($C$1=$F$15,ROUND($C$3*AD10,-2),$C$3*AD10/(60*IF($G$1&gt;0,$G$1,$H10)))</f>
        <v>150.15288981378507</v>
      </c>
      <c r="E10" s="830">
        <f t="shared" ref="E10:E13" si="4">IF($C$1=$F$15,ROUND($C$3*AE10,-2),$C$3*AE10/(60*IF($G$1&gt;0,$G$1,$H10)))</f>
        <v>113.70354650109701</v>
      </c>
      <c r="F10" s="831"/>
      <c r="G10" s="3193"/>
      <c r="H10" s="2617">
        <f>VLOOKUP(A10,wfRange,13,FALSE)</f>
        <v>6</v>
      </c>
      <c r="I10" s="1235" t="s">
        <v>1055</v>
      </c>
      <c r="W10" s="2987" t="str">
        <f>IF(ISERROR(FIND("_",I10)),I10,LEFT(I10,FIND("_",I10)-1))</f>
        <v>DB</v>
      </c>
      <c r="X10" s="2988">
        <f>VLOOKUP(I10,DataArray,4,FALSE)</f>
        <v>1</v>
      </c>
      <c r="Y10" s="3220">
        <f>VLOOKUP(A10,wfRange,Workflow!R$1,FALSE)</f>
        <v>6.9189189189189189E-3</v>
      </c>
      <c r="Z10" s="3222">
        <f>AA10*0.666</f>
        <v>0.12917563896234374</v>
      </c>
      <c r="AA10" s="2989">
        <f>VLOOKUP(A10,wfRange,Workflow!S$1,FALSE)*X10</f>
        <v>0.19395741585937498</v>
      </c>
      <c r="AB10" s="3222">
        <f>Z10*2</f>
        <v>0.25835127792468748</v>
      </c>
      <c r="AC10" s="2982">
        <f t="shared" ref="AC10:AC13" si="5">0.8*3600*4/($Y10+Z10)</f>
        <v>84647.029090250348</v>
      </c>
      <c r="AD10" s="2982">
        <f>0.8*3600*4/($Y10+AA10)</f>
        <v>57348.716625652101</v>
      </c>
      <c r="AE10" s="2982">
        <f t="shared" si="1"/>
        <v>43427.41905074157</v>
      </c>
      <c r="AF10" s="2249" t="str">
        <f>LEFT(A10,FIND("Hvy",A10)-1)</f>
        <v xml:space="preserve">AGS REST 2D V </v>
      </c>
      <c r="AG10" s="2249" t="str">
        <f>RIGHT(A10,AI10-AH10)</f>
        <v>100%Dyn 13x7 PNG24</v>
      </c>
      <c r="AH10" s="2249">
        <f>FIND("Hvy",A10)+3</f>
        <v>18</v>
      </c>
      <c r="AI10" s="2249">
        <f>LEN(A10)</f>
        <v>36</v>
      </c>
    </row>
    <row r="11" spans="1:35" x14ac:dyDescent="0.15">
      <c r="A11" s="862" t="s">
        <v>1374</v>
      </c>
      <c r="B11" s="833" t="str">
        <f>IF(ISERROR(FIND("Hvy",A11)),"select Hvy workflow",AF11&amp;AG11&amp;" "&amp;W11)</f>
        <v>AGS REST 2D V 40%Dyn 13x7 PNG24 +$$ DB</v>
      </c>
      <c r="C11" s="830">
        <f t="shared" si="2"/>
        <v>514.80776811724559</v>
      </c>
      <c r="D11" s="830">
        <f t="shared" si="3"/>
        <v>356.94070100808909</v>
      </c>
      <c r="E11" s="830">
        <f t="shared" si="4"/>
        <v>273.5563038723493</v>
      </c>
      <c r="F11" s="831"/>
      <c r="G11" s="3193"/>
      <c r="H11" s="2617">
        <f>VLOOKUP(A11,wfRange,13,FALSE)</f>
        <v>6</v>
      </c>
      <c r="I11" s="1235" t="s">
        <v>1055</v>
      </c>
      <c r="W11" s="2987" t="str">
        <f>IF(ISERROR(FIND("_",I11)),I11,LEFT(I11,FIND("_",I11)-1))</f>
        <v>DB</v>
      </c>
      <c r="X11" s="2988">
        <f>VLOOKUP(I11,DataArray,4,FALSE)</f>
        <v>1</v>
      </c>
      <c r="Y11" s="3220">
        <f>VLOOKUP(A11,wfRange,Workflow!R$1,FALSE)</f>
        <v>6.9189189189189189E-3</v>
      </c>
      <c r="Z11" s="3222">
        <f>AA11*0.666</f>
        <v>5.1670255584937506E-2</v>
      </c>
      <c r="AA11" s="2989">
        <f>VLOOKUP(A11,wfRange,Workflow!S$1,FALSE)*X11</f>
        <v>7.7582966343750004E-2</v>
      </c>
      <c r="AB11" s="3222">
        <f>Z11*2</f>
        <v>0.10334051116987501</v>
      </c>
      <c r="AC11" s="2982">
        <f t="shared" si="5"/>
        <v>196623.35401639319</v>
      </c>
      <c r="AD11" s="2982">
        <f t="shared" si="1"/>
        <v>136328.31935276694</v>
      </c>
      <c r="AE11" s="2982">
        <f t="shared" si="1"/>
        <v>104480.8592854392</v>
      </c>
      <c r="AF11" s="2249" t="str">
        <f>LEFT(A11,FIND("Hvy",A11)-1)</f>
        <v xml:space="preserve">AGS REST 2D V </v>
      </c>
      <c r="AG11" s="2249" t="str">
        <f>RIGHT(A11,AI11-AH11)</f>
        <v>40%Dyn 13x7 PNG24 +$$</v>
      </c>
      <c r="AH11" s="2249">
        <f>FIND("Hvy",A11)+3</f>
        <v>18</v>
      </c>
      <c r="AI11" s="2249">
        <f>LEN(A11)</f>
        <v>39</v>
      </c>
    </row>
    <row r="12" spans="1:35" x14ac:dyDescent="0.15">
      <c r="A12" s="862" t="s">
        <v>1377</v>
      </c>
      <c r="B12" s="833" t="str">
        <f>IF(ISERROR(FIND("Hvy",A12)),"select Hvy workflow",AF12&amp;AG12&amp;" "&amp;W12)</f>
        <v>AGS WMS 2D V 100%Dyn 13x7 PNG24 DB</v>
      </c>
      <c r="C12" s="830">
        <f t="shared" si="2"/>
        <v>147.33856975834362</v>
      </c>
      <c r="D12" s="830">
        <f t="shared" si="3"/>
        <v>99.247853169822179</v>
      </c>
      <c r="E12" s="830">
        <f t="shared" si="4"/>
        <v>74.935625569681761</v>
      </c>
      <c r="F12" s="831"/>
      <c r="G12" s="3193"/>
      <c r="H12" s="2617">
        <f>VLOOKUP(A12,wfRange,13,FALSE)</f>
        <v>6</v>
      </c>
      <c r="I12" s="1235" t="s">
        <v>1055</v>
      </c>
      <c r="W12" s="2987" t="str">
        <f>IF(ISERROR(FIND("_",I12)),I12,LEFT(I12,FIND("_",I12)-1))</f>
        <v>DB</v>
      </c>
      <c r="X12" s="2988">
        <f>VLOOKUP(I12,DataArray,4,FALSE)</f>
        <v>1</v>
      </c>
      <c r="Y12" s="3220">
        <f>VLOOKUP(A12,wfRange,Workflow!R$1,FALSE)</f>
        <v>6.9189189189189189E-3</v>
      </c>
      <c r="Z12" s="3222">
        <f>AA12*0.666</f>
        <v>0.1977943629571875</v>
      </c>
      <c r="AA12" s="2989">
        <f>VLOOKUP(A12,wfRange,Workflow!S$1,FALSE)*X12</f>
        <v>0.29698853296875</v>
      </c>
      <c r="AB12" s="3222">
        <f>Z12*2</f>
        <v>0.39558872591437499</v>
      </c>
      <c r="AC12" s="2982">
        <f t="shared" si="5"/>
        <v>56273.827933509303</v>
      </c>
      <c r="AD12" s="2982">
        <f t="shared" si="1"/>
        <v>37906.276823570792</v>
      </c>
      <c r="AE12" s="2982">
        <f t="shared" si="1"/>
        <v>28620.574411130063</v>
      </c>
      <c r="AF12" s="2249" t="str">
        <f>LEFT(A12,FIND("Hvy",A12)-1)</f>
        <v xml:space="preserve">AGS WMS 2D V </v>
      </c>
      <c r="AG12" s="2249" t="str">
        <f>RIGHT(A12,AI12-AH12)</f>
        <v>100%Dyn 13x7 PNG24</v>
      </c>
      <c r="AH12" s="2249">
        <f>FIND("Hvy",A12)+3</f>
        <v>17</v>
      </c>
      <c r="AI12" s="2249">
        <f>LEN(A12)</f>
        <v>35</v>
      </c>
    </row>
    <row r="13" spans="1:35" x14ac:dyDescent="0.15">
      <c r="A13" s="862" t="s">
        <v>1382</v>
      </c>
      <c r="B13" s="833" t="str">
        <f>IF(ISERROR(FIND("Hvy",A13)),"select Hvy workflow",AF13&amp;AG13&amp;" "&amp;W13)</f>
        <v>AGS Imagery 2D R 100%Dyn 19x10 JPEG TIFF</v>
      </c>
      <c r="C13" s="830">
        <f t="shared" si="2"/>
        <v>287.28314433921003</v>
      </c>
      <c r="D13" s="830">
        <f t="shared" si="3"/>
        <v>195.63665935832199</v>
      </c>
      <c r="E13" s="830">
        <f t="shared" si="4"/>
        <v>148.53583353801761</v>
      </c>
      <c r="F13" s="831"/>
      <c r="G13" s="3193"/>
      <c r="H13" s="2617">
        <f>VLOOKUP(A13,wfRange,13,FALSE)</f>
        <v>6</v>
      </c>
      <c r="I13" s="1235" t="s">
        <v>492</v>
      </c>
      <c r="W13" s="2987" t="str">
        <f>IF(ISERROR(FIND("_",I13)),I13,LEFT(I13,FIND("_",I13)-1))</f>
        <v>TIFF</v>
      </c>
      <c r="X13" s="2988">
        <f>VLOOKUP(I13,DataArray,4,FALSE)</f>
        <v>1</v>
      </c>
      <c r="Y13" s="3220">
        <f>VLOOKUP(A13,wfRange,Workflow!R$1,FALSE)</f>
        <v>6.9189189189189189E-3</v>
      </c>
      <c r="Z13" s="3222">
        <f>AA13*0.666</f>
        <v>9.8072142187499989E-2</v>
      </c>
      <c r="AA13" s="2989">
        <f>VLOOKUP(A13,wfRange,Workflow!S$1,FALSE)*X13</f>
        <v>0.14725546874999998</v>
      </c>
      <c r="AB13" s="3222">
        <f>Z13*2</f>
        <v>0.19614428437499998</v>
      </c>
      <c r="AC13" s="2982">
        <f t="shared" si="5"/>
        <v>109723.62674116924</v>
      </c>
      <c r="AD13" s="2982">
        <f t="shared" si="1"/>
        <v>74720.582154920397</v>
      </c>
      <c r="AE13" s="2982">
        <f t="shared" si="1"/>
        <v>56731.105454520271</v>
      </c>
      <c r="AF13" s="2249" t="str">
        <f>LEFT(A13,FIND("Hvy",A13)-1)</f>
        <v xml:space="preserve">AGS Imagery 2D R </v>
      </c>
      <c r="AG13" s="2249" t="str">
        <f>RIGHT(A13,AI13-AH13)</f>
        <v>100%Dyn 19x10 JPEG</v>
      </c>
      <c r="AH13" s="2249">
        <f>FIND("Hvy",A13)+3</f>
        <v>21</v>
      </c>
      <c r="AI13" s="2249">
        <f>LEN(A13)</f>
        <v>39</v>
      </c>
    </row>
    <row r="14" spans="1:35" x14ac:dyDescent="0.15">
      <c r="A14" s="1220"/>
      <c r="B14" s="1221"/>
      <c r="C14" s="1222"/>
      <c r="D14" s="1222"/>
      <c r="E14" s="1223"/>
      <c r="F14" s="1223"/>
      <c r="G14" s="1224"/>
      <c r="H14" s="2618"/>
      <c r="I14" s="1236"/>
      <c r="W14" s="1219"/>
      <c r="X14" s="1219"/>
      <c r="Y14" s="1224"/>
      <c r="Z14" s="1219"/>
      <c r="AA14" s="1219"/>
      <c r="AB14" s="1219"/>
      <c r="AC14" s="2248"/>
      <c r="AD14" s="2248"/>
      <c r="AE14" s="2248"/>
      <c r="AF14" s="1219"/>
      <c r="AG14" s="1219"/>
      <c r="AH14" s="1219"/>
      <c r="AI14" s="1219"/>
    </row>
    <row r="15" spans="1:35" x14ac:dyDescent="0.15">
      <c r="A15" s="840"/>
      <c r="B15" s="841"/>
      <c r="C15" s="864" t="s">
        <v>232</v>
      </c>
      <c r="D15" s="841" t="s">
        <v>412</v>
      </c>
      <c r="E15" s="841"/>
      <c r="F15" s="841" t="s">
        <v>75</v>
      </c>
      <c r="G15" s="841"/>
      <c r="H15" s="2613"/>
      <c r="I15" s="1301"/>
    </row>
    <row r="16" spans="1:35" x14ac:dyDescent="0.15">
      <c r="A16" s="840" t="s">
        <v>1420</v>
      </c>
      <c r="B16" s="841"/>
      <c r="C16" s="841" t="s">
        <v>233</v>
      </c>
      <c r="D16" s="841" t="s">
        <v>413</v>
      </c>
      <c r="E16" s="1216"/>
      <c r="F16" s="841" t="s">
        <v>305</v>
      </c>
      <c r="G16" s="841"/>
      <c r="H16" s="2613"/>
      <c r="I16" s="1302"/>
    </row>
    <row r="17" spans="1:35" x14ac:dyDescent="0.15">
      <c r="A17" s="840"/>
      <c r="B17" s="841"/>
      <c r="C17" s="841"/>
      <c r="D17" s="841"/>
      <c r="E17" s="841"/>
      <c r="F17" s="841"/>
      <c r="G17" s="841"/>
      <c r="H17" s="2613"/>
      <c r="I17" s="1301"/>
    </row>
    <row r="18" spans="1:35" x14ac:dyDescent="0.15">
      <c r="A18" s="840" t="s">
        <v>812</v>
      </c>
      <c r="B18" s="841"/>
      <c r="C18" s="841"/>
      <c r="D18" s="841"/>
      <c r="E18" s="841"/>
      <c r="F18" s="841"/>
      <c r="G18" s="841"/>
      <c r="H18" s="2613"/>
      <c r="I18" s="1301"/>
    </row>
    <row r="19" spans="1:35" x14ac:dyDescent="0.15">
      <c r="A19" s="840"/>
      <c r="B19" s="841"/>
      <c r="C19" s="841"/>
      <c r="D19" s="841"/>
      <c r="E19" s="841"/>
      <c r="F19" s="841"/>
      <c r="G19" s="841"/>
      <c r="H19" s="2613"/>
      <c r="I19" s="1301"/>
    </row>
    <row r="20" spans="1:35" x14ac:dyDescent="0.15">
      <c r="A20" s="840"/>
      <c r="B20" s="841"/>
      <c r="C20" s="841"/>
      <c r="D20" s="841"/>
      <c r="E20" s="841"/>
      <c r="F20" s="841"/>
      <c r="G20" s="841"/>
      <c r="H20" s="2613"/>
      <c r="I20" s="1301"/>
    </row>
    <row r="21" spans="1:35" s="1378" customFormat="1" x14ac:dyDescent="0.15">
      <c r="A21" s="840"/>
      <c r="B21" s="841"/>
      <c r="C21" s="841"/>
      <c r="D21" s="841"/>
      <c r="E21" s="841"/>
      <c r="F21" s="841"/>
      <c r="G21" s="841"/>
      <c r="H21" s="2613"/>
      <c r="I21" s="130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spans="1:35" s="1378" customFormat="1" ht="16" x14ac:dyDescent="0.2">
      <c r="A22" s="865" t="s">
        <v>240</v>
      </c>
      <c r="B22" s="868" t="str">
        <f>IF(C1=F15,C15,C16)</f>
        <v>Peak concurrent users</v>
      </c>
      <c r="C22" s="867"/>
      <c r="D22" s="867"/>
      <c r="E22" s="866"/>
      <c r="F22" s="866"/>
      <c r="G22" s="866"/>
      <c r="H22" s="2619"/>
      <c r="I22" s="130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spans="1:35" s="1378" customFormat="1" x14ac:dyDescent="0.15">
      <c r="A23" s="842"/>
      <c r="B23" s="864"/>
      <c r="C23" s="870"/>
      <c r="D23" s="870"/>
      <c r="E23" s="864"/>
      <c r="F23" s="864"/>
      <c r="G23" s="864"/>
      <c r="H23" s="2620"/>
      <c r="I23" s="1303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spans="1:35" s="1378" customFormat="1" x14ac:dyDescent="0.15">
      <c r="A24" s="1149"/>
      <c r="B24" s="1149"/>
      <c r="C24" s="31"/>
      <c r="D24" s="31"/>
      <c r="E24" s="31"/>
      <c r="F24" s="31"/>
      <c r="G24" s="31"/>
      <c r="H24" s="2621"/>
      <c r="I24" s="1149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6" spans="1:35" s="1378" customFormat="1" hidden="1" outlineLevel="1" x14ac:dyDescent="0.15">
      <c r="A26" s="1217"/>
      <c r="B26" s="2927"/>
      <c r="C26" s="1217"/>
      <c r="D26" s="1217"/>
      <c r="E26" s="1217"/>
      <c r="F26" s="1217"/>
      <c r="G26" s="1217"/>
      <c r="H26" s="2928"/>
      <c r="I26" s="1217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spans="1:35" s="1378" customFormat="1" hidden="1" outlineLevel="1" x14ac:dyDescent="0.15">
      <c r="A27" s="31"/>
      <c r="B27" s="1148"/>
      <c r="C27" s="31"/>
      <c r="D27" s="31"/>
      <c r="E27" s="31"/>
      <c r="F27" s="31"/>
      <c r="G27" s="31"/>
      <c r="H27" s="2609"/>
      <c r="I27" s="1217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spans="1:35" s="1378" customFormat="1" hidden="1" outlineLevel="1" x14ac:dyDescent="0.15">
      <c r="A28" s="31"/>
      <c r="B28" s="1148"/>
      <c r="C28" s="31"/>
      <c r="D28" s="31"/>
      <c r="E28" s="31"/>
      <c r="F28" s="31"/>
      <c r="G28" s="31"/>
      <c r="H28" s="2609"/>
      <c r="I28" s="1217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spans="1:35" s="1378" customFormat="1" hidden="1" outlineLevel="1" x14ac:dyDescent="0.15">
      <c r="A29" s="31"/>
      <c r="B29" s="1148"/>
      <c r="C29" s="31"/>
      <c r="D29" s="31"/>
      <c r="E29" s="31"/>
      <c r="F29" s="31"/>
      <c r="G29" s="31"/>
      <c r="H29" s="2609"/>
      <c r="I29" s="1217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spans="1:35" s="1378" customFormat="1" hidden="1" outlineLevel="1" x14ac:dyDescent="0.15">
      <c r="A30" s="31"/>
      <c r="B30" s="1148"/>
      <c r="C30" s="31"/>
      <c r="D30" s="31"/>
      <c r="E30" s="31"/>
      <c r="F30" s="31"/>
      <c r="G30" s="31"/>
      <c r="H30" s="2609"/>
      <c r="I30" s="1217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spans="1:35" s="1378" customFormat="1" hidden="1" outlineLevel="1" x14ac:dyDescent="0.15">
      <c r="A31" s="31"/>
      <c r="B31" s="1148"/>
      <c r="C31" s="31"/>
      <c r="D31" s="31"/>
      <c r="E31" s="31"/>
      <c r="F31" s="31"/>
      <c r="G31" s="31"/>
      <c r="H31" s="2609"/>
      <c r="I31" s="1217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spans="1:35" s="1378" customFormat="1" hidden="1" outlineLevel="1" x14ac:dyDescent="0.15">
      <c r="A32" s="31"/>
      <c r="B32" s="31"/>
      <c r="C32" s="31"/>
      <c r="D32" s="31"/>
      <c r="E32" s="31"/>
      <c r="F32" s="31"/>
      <c r="G32" s="31"/>
      <c r="H32" s="2609"/>
      <c r="I32" s="1217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spans="1:35" s="1378" customFormat="1" hidden="1" outlineLevel="1" x14ac:dyDescent="0.15">
      <c r="A33" s="31"/>
      <c r="B33" s="31"/>
      <c r="C33" s="31"/>
      <c r="D33" s="31"/>
      <c r="E33" s="31"/>
      <c r="F33" s="31"/>
      <c r="G33" s="31"/>
      <c r="H33" s="2609"/>
      <c r="I33" s="1217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spans="1:35" s="1378" customFormat="1" hidden="1" outlineLevel="1" x14ac:dyDescent="0.15">
      <c r="A34" s="31"/>
      <c r="B34" s="31"/>
      <c r="C34" s="31"/>
      <c r="D34" s="31"/>
      <c r="E34" s="31"/>
      <c r="F34" s="31"/>
      <c r="G34" s="31"/>
      <c r="H34" s="2609"/>
      <c r="I34" s="1217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spans="1:35" s="1378" customFormat="1" hidden="1" outlineLevel="1" x14ac:dyDescent="0.15">
      <c r="A35" s="31"/>
      <c r="B35" s="31"/>
      <c r="C35" s="31"/>
      <c r="D35" s="31"/>
      <c r="E35" s="31"/>
      <c r="F35" s="31"/>
      <c r="G35" s="31"/>
      <c r="H35" s="2609"/>
      <c r="I35" s="1217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spans="1:35" s="1378" customFormat="1" hidden="1" outlineLevel="1" x14ac:dyDescent="0.15">
      <c r="A36" s="31"/>
      <c r="B36" s="31"/>
      <c r="C36" s="31"/>
      <c r="D36" s="31"/>
      <c r="E36" s="31"/>
      <c r="F36" s="31"/>
      <c r="G36" s="31"/>
      <c r="H36" s="2609"/>
      <c r="I36" s="1217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spans="1:35" hidden="1" outlineLevel="1" x14ac:dyDescent="0.15">
      <c r="I37" s="1217"/>
    </row>
    <row r="38" spans="1:35" hidden="1" outlineLevel="1" x14ac:dyDescent="0.15">
      <c r="I38" s="1217"/>
    </row>
    <row r="39" spans="1:35" hidden="1" outlineLevel="1" x14ac:dyDescent="0.15">
      <c r="I39" s="1217"/>
    </row>
    <row r="40" spans="1:35" hidden="1" outlineLevel="1" x14ac:dyDescent="0.15">
      <c r="I40" s="1217"/>
    </row>
    <row r="41" spans="1:35" hidden="1" outlineLevel="1" x14ac:dyDescent="0.15">
      <c r="I41" s="1217"/>
    </row>
    <row r="42" spans="1:35" ht="16" hidden="1" outlineLevel="1" x14ac:dyDescent="0.2">
      <c r="A42" s="1308"/>
      <c r="I42" s="1217"/>
    </row>
    <row r="43" spans="1:35" ht="14" hidden="1" outlineLevel="1" x14ac:dyDescent="0.15">
      <c r="A43" s="1310"/>
      <c r="I43" s="1217"/>
    </row>
    <row r="44" spans="1:35" ht="16" collapsed="1" x14ac:dyDescent="0.2">
      <c r="A44" s="2923" t="s">
        <v>819</v>
      </c>
      <c r="B44" s="2924"/>
      <c r="C44" s="2924"/>
      <c r="D44" s="2924"/>
      <c r="E44" s="2924"/>
      <c r="F44" s="2924"/>
      <c r="G44" s="2924"/>
      <c r="H44" s="2925"/>
      <c r="I44" s="2926"/>
    </row>
    <row r="45" spans="1:35" s="320" customFormat="1" hidden="1" x14ac:dyDescent="0.15">
      <c r="A45" s="2232" t="s">
        <v>1117</v>
      </c>
      <c r="B45" s="2233"/>
      <c r="C45" s="2234"/>
      <c r="D45" s="31"/>
      <c r="E45" s="31"/>
      <c r="F45" s="31"/>
      <c r="H45" s="2622"/>
      <c r="J45" s="2426"/>
      <c r="V45" s="2426"/>
    </row>
    <row r="46" spans="1:35" s="320" customFormat="1" hidden="1" x14ac:dyDescent="0.15">
      <c r="A46" s="2238" t="s">
        <v>1118</v>
      </c>
      <c r="B46" s="2239"/>
      <c r="C46" s="2240"/>
      <c r="D46" s="31"/>
      <c r="E46" s="31"/>
      <c r="F46" s="31"/>
      <c r="H46" s="2622"/>
      <c r="J46" s="2426"/>
      <c r="V46" s="2426"/>
    </row>
    <row r="48" spans="1:35" ht="14" x14ac:dyDescent="0.15">
      <c r="A48" s="2170"/>
    </row>
    <row r="49" spans="1:1" ht="14" x14ac:dyDescent="0.15">
      <c r="A49" s="2170"/>
    </row>
    <row r="50" spans="1:1" ht="16" x14ac:dyDescent="0.2">
      <c r="A50" s="1370"/>
    </row>
    <row r="51" spans="1:1" ht="14" x14ac:dyDescent="0.15">
      <c r="A51" s="2051"/>
    </row>
    <row r="53" spans="1:1" ht="18" x14ac:dyDescent="0.2">
      <c r="A53" s="2050"/>
    </row>
    <row r="54" spans="1:1" ht="14" x14ac:dyDescent="0.15">
      <c r="A54" s="2052"/>
    </row>
    <row r="55" spans="1:1" ht="14" x14ac:dyDescent="0.15">
      <c r="A55" s="2052"/>
    </row>
    <row r="56" spans="1:1" ht="14" x14ac:dyDescent="0.15">
      <c r="A56" s="2052"/>
    </row>
    <row r="57" spans="1:1" ht="14" x14ac:dyDescent="0.15">
      <c r="A57" s="2052"/>
    </row>
    <row r="58" spans="1:1" ht="18" x14ac:dyDescent="0.2">
      <c r="A58" s="2053"/>
    </row>
    <row r="59" spans="1:1" ht="14" x14ac:dyDescent="0.15">
      <c r="A59" s="2052"/>
    </row>
    <row r="60" spans="1:1" ht="14" x14ac:dyDescent="0.15">
      <c r="A60" s="2052"/>
    </row>
    <row r="61" spans="1:1" ht="14" x14ac:dyDescent="0.15">
      <c r="A61" s="2052"/>
    </row>
    <row r="62" spans="1:1" ht="14" x14ac:dyDescent="0.15">
      <c r="A62" s="2052"/>
    </row>
  </sheetData>
  <sheetProtection selectLockedCells="1"/>
  <mergeCells count="2">
    <mergeCell ref="F2:G2"/>
    <mergeCell ref="F3:G3"/>
  </mergeCells>
  <conditionalFormatting sqref="E3">
    <cfRule type="expression" dxfId="1703" priority="77" stopIfTrue="1">
      <formula>IF(E3=$E$6,FALSE,TRUE)</formula>
    </cfRule>
  </conditionalFormatting>
  <conditionalFormatting sqref="F3">
    <cfRule type="expression" dxfId="1702" priority="76" stopIfTrue="1">
      <formula>IF(E3=$E$6,FALSE,TRUE)</formula>
    </cfRule>
  </conditionalFormatting>
  <conditionalFormatting sqref="G1">
    <cfRule type="expression" dxfId="1701" priority="75" stopIfTrue="1">
      <formula>$C$1="TPH"</formula>
    </cfRule>
  </conditionalFormatting>
  <conditionalFormatting sqref="F5">
    <cfRule type="expression" dxfId="1700" priority="74" stopIfTrue="1">
      <formula>IF(E3=$E$6,FALSE,TRUE)</formula>
    </cfRule>
  </conditionalFormatting>
  <conditionalFormatting sqref="H3">
    <cfRule type="expression" dxfId="1699" priority="72" stopIfTrue="1">
      <formula>$H$3&gt;$F$5</formula>
    </cfRule>
    <cfRule type="expression" dxfId="1698" priority="73" stopIfTrue="1">
      <formula>IF(E3=$E$6,FALSE,TRUE)</formula>
    </cfRule>
  </conditionalFormatting>
  <dataValidations count="6">
    <dataValidation type="list" allowBlank="1" showInputMessage="1" showErrorMessage="1" sqref="A3">
      <formula1>ServerCandidates</formula1>
    </dataValidation>
    <dataValidation type="list" allowBlank="1" showInputMessage="1" showErrorMessage="1" sqref="I3">
      <formula1>$D$15:$D$16</formula1>
    </dataValidation>
    <dataValidation type="list" allowBlank="1" showInputMessage="1" showErrorMessage="1" sqref="C1">
      <formula1>$F$15:$F$16</formula1>
    </dataValidation>
    <dataValidation type="list" allowBlank="1" showInputMessage="1" showErrorMessage="1" sqref="A9:A13">
      <formula1>wfList</formula1>
    </dataValidation>
    <dataValidation type="list" allowBlank="1" showInputMessage="1" showErrorMessage="1" sqref="E3">
      <formula1>VAlist</formula1>
    </dataValidation>
    <dataValidation type="list" allowBlank="1" showInputMessage="1" showErrorMessage="1" sqref="I9:I13">
      <formula1>IF(MID(A9,FIND(" ",A9),8)=" Imagery",ImageryDataList,MapDataList)</formula1>
    </dataValidation>
  </dataValidations>
  <hyperlinks>
    <hyperlink ref="C461" r:id="rId1" display="Microsoft Azure site"/>
    <hyperlink ref="C2" r:id="rId2" display="SDSwikiCh7"/>
    <hyperlink ref="C365" r:id="rId3" location="instance-details" display="Amazon Site"/>
  </hyperlinks>
  <pageMargins left="0.75" right="0.75" top="1" bottom="1" header="0.5" footer="0.5"/>
  <pageSetup orientation="portrait" r:id="rId4"/>
  <headerFooter alignWithMargins="0"/>
  <drawing r:id="rId5"/>
  <legacy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>
    <tabColor rgb="FF0000FF"/>
    <pageSetUpPr fitToPage="1"/>
  </sheetPr>
  <dimension ref="A1:BH210"/>
  <sheetViews>
    <sheetView showZeros="0" zoomScale="115" zoomScaleNormal="115" zoomScalePageLayoutView="115" workbookViewId="0">
      <selection activeCell="E3" sqref="E3:F3"/>
    </sheetView>
  </sheetViews>
  <sheetFormatPr baseColWidth="10" defaultColWidth="9.1640625" defaultRowHeight="13" outlineLevelRow="1" outlineLevelCol="1" x14ac:dyDescent="0.15"/>
  <cols>
    <col min="1" max="9" width="11.6640625" style="320" customWidth="1"/>
    <col min="10" max="10" width="13.5" style="320" customWidth="1"/>
    <col min="11" max="11" width="11.6640625" style="320" customWidth="1"/>
    <col min="12" max="13" width="10.6640625" style="320" hidden="1" customWidth="1" outlineLevel="1"/>
    <col min="14" max="14" width="16.1640625" style="320" hidden="1" customWidth="1" outlineLevel="1"/>
    <col min="15" max="15" width="12" style="320" hidden="1" customWidth="1" outlineLevel="1"/>
    <col min="16" max="16" width="10.6640625" style="320" hidden="1" customWidth="1" outlineLevel="1"/>
    <col min="17" max="17" width="14.33203125" style="320" hidden="1" customWidth="1" outlineLevel="1"/>
    <col min="18" max="18" width="3" style="324" customWidth="1" collapsed="1"/>
    <col min="19" max="19" width="12.6640625" style="320" hidden="1" customWidth="1" outlineLevel="1"/>
    <col min="20" max="20" width="10.83203125" style="320" hidden="1" customWidth="1" outlineLevel="1"/>
    <col min="21" max="21" width="10.5" style="320" hidden="1" customWidth="1" outlineLevel="1"/>
    <col min="22" max="22" width="11.83203125" style="320" hidden="1" customWidth="1" outlineLevel="1"/>
    <col min="23" max="24" width="10.5" style="320" hidden="1" customWidth="1" outlineLevel="1"/>
    <col min="25" max="25" width="3.33203125" style="320" customWidth="1" collapsed="1"/>
    <col min="26" max="26" width="10" style="320" customWidth="1"/>
    <col min="27" max="27" width="10.83203125" style="320" customWidth="1"/>
    <col min="28" max="28" width="9.1640625" style="320" customWidth="1"/>
    <col min="29" max="29" width="10.5" style="320" customWidth="1"/>
    <col min="30" max="31" width="9.1640625" style="320" customWidth="1"/>
    <col min="32" max="32" width="10.6640625" style="2426" customWidth="1"/>
    <col min="33" max="33" width="10.1640625" style="2426" customWidth="1"/>
    <col min="34" max="39" width="9.1640625" style="320" customWidth="1"/>
    <col min="40" max="40" width="11.33203125" style="320" customWidth="1"/>
    <col min="41" max="53" width="9.1640625" style="320" customWidth="1"/>
    <col min="54" max="54" width="11.1640625" style="320" customWidth="1"/>
    <col min="55" max="55" width="9.1640625" style="320"/>
    <col min="56" max="56" width="10.1640625" style="320" customWidth="1"/>
    <col min="57" max="16384" width="9.1640625" style="320"/>
  </cols>
  <sheetData>
    <row r="1" spans="1:60" ht="14" customHeight="1" x14ac:dyDescent="0.15">
      <c r="A1" s="521" t="s">
        <v>17</v>
      </c>
      <c r="B1" s="522"/>
      <c r="C1" s="522"/>
      <c r="D1" s="522"/>
      <c r="E1" s="1147" t="s">
        <v>577</v>
      </c>
      <c r="F1" s="1145"/>
      <c r="G1" s="1145"/>
      <c r="H1" s="1145"/>
      <c r="I1" s="1146"/>
      <c r="J1" s="3348">
        <f>IF(T3&gt;0,T3&amp;" batch jobs",0)</f>
        <v>0</v>
      </c>
      <c r="K1" s="3349"/>
      <c r="L1" s="1238" t="s">
        <v>229</v>
      </c>
      <c r="M1" s="1065"/>
      <c r="N1" s="349" t="s">
        <v>541</v>
      </c>
      <c r="O1" s="2209">
        <f>IF(G3=B116,200/O3,200)</f>
        <v>200</v>
      </c>
      <c r="P1" s="423" t="str">
        <f>VLOOKUP(P6,WFbaseline,11,FALSE)</f>
        <v>SOC</v>
      </c>
      <c r="Q1" s="3065">
        <f ca="1">VLOOKUP(D9,HWRange,12,FALSE)*C9</f>
        <v>0</v>
      </c>
      <c r="R1" s="2212"/>
      <c r="S1" s="950"/>
      <c r="T1" s="325"/>
      <c r="U1" s="325"/>
      <c r="V1" s="2402"/>
      <c r="Y1" s="1856"/>
      <c r="AA1" s="3150"/>
      <c r="AE1" s="2426"/>
      <c r="BE1" s="3014" t="s">
        <v>1568</v>
      </c>
      <c r="BF1" s="3015">
        <f ca="1">IF(B10=B96,0,W27)</f>
        <v>3000</v>
      </c>
    </row>
    <row r="2" spans="1:60" ht="14" customHeight="1" x14ac:dyDescent="0.15">
      <c r="A2" s="583" t="s">
        <v>391</v>
      </c>
      <c r="B2" s="584"/>
      <c r="C2" s="584"/>
      <c r="D2" s="584"/>
      <c r="E2" s="2430" t="s">
        <v>1278</v>
      </c>
      <c r="F2" s="2339" t="s">
        <v>38</v>
      </c>
      <c r="G2" s="1237" t="s">
        <v>336</v>
      </c>
      <c r="H2" s="2216" t="s">
        <v>1044</v>
      </c>
      <c r="I2" s="2215" t="s">
        <v>833</v>
      </c>
      <c r="J2" s="2068" t="s">
        <v>946</v>
      </c>
      <c r="K2" s="2066"/>
      <c r="L2" s="857" t="s">
        <v>230</v>
      </c>
      <c r="M2" s="1066" t="s">
        <v>305</v>
      </c>
      <c r="N2" s="349" t="str">
        <f>LEFT(I3,2)</f>
        <v xml:space="preserve">V </v>
      </c>
      <c r="O2" s="349" t="s">
        <v>1051</v>
      </c>
      <c r="P2" s="349" t="str">
        <f>IF(P1=B98,C151,IF(C30=C131,IF(MID(P6,FIND(" ",P6),8)=" Imagery"," Imagery", "Desktop"),IF(MID(E30,FIND(" ",E30),8)=" Imagery"," Imagery", "Desktop")))</f>
        <v>Server</v>
      </c>
      <c r="Q2" s="3066">
        <f ca="1">VLOOKUP(D10,HWRange,12,FALSE)*C10</f>
        <v>0</v>
      </c>
      <c r="R2" s="2213"/>
      <c r="S2" s="2458"/>
      <c r="T2" s="2997">
        <f>S33*(1-H33)*(2-N36)</f>
        <v>0</v>
      </c>
      <c r="Y2" s="1857"/>
      <c r="AA2" s="3151"/>
      <c r="AE2" s="2426"/>
      <c r="AN2" s="593" t="s">
        <v>291</v>
      </c>
      <c r="AO2" s="397" t="str">
        <f>B11</f>
        <v>SDE GDB</v>
      </c>
      <c r="AP2" s="397" t="str">
        <f>IF(AO2="","",AO2&amp;"Q")</f>
        <v>SDE GDBQ</v>
      </c>
      <c r="AQ2" s="397" t="str">
        <f ca="1">B10</f>
        <v>SOC</v>
      </c>
      <c r="AR2" s="397" t="str">
        <f ca="1">IF(AQ2="","",AQ2&amp;"Q")</f>
        <v>SOCQ</v>
      </c>
      <c r="AS2" s="397" t="str">
        <f>B9</f>
        <v>Web</v>
      </c>
      <c r="AT2" s="397" t="str">
        <f>IF(AS2="","",AS2&amp;"Q")</f>
        <v>WebQ</v>
      </c>
      <c r="AU2" s="397" t="s">
        <v>37</v>
      </c>
      <c r="AV2" s="397" t="str">
        <f>IF(AU2="","",AU2&amp;"Q")</f>
        <v>Network Q</v>
      </c>
      <c r="AW2" s="397" t="str">
        <f>E12</f>
        <v>Latency</v>
      </c>
      <c r="AX2" s="594" t="s">
        <v>303</v>
      </c>
      <c r="AY2" s="397" t="s">
        <v>46</v>
      </c>
      <c r="AZ2" s="397" t="s">
        <v>314</v>
      </c>
      <c r="BA2" s="397" t="s">
        <v>222</v>
      </c>
      <c r="BB2" s="3009">
        <v>10000</v>
      </c>
      <c r="BC2" s="3010" t="s">
        <v>25</v>
      </c>
      <c r="BD2" s="3011" t="s">
        <v>1564</v>
      </c>
      <c r="BE2" s="3012" t="s">
        <v>1565</v>
      </c>
      <c r="BF2" s="3013" t="s">
        <v>1566</v>
      </c>
      <c r="BG2" s="3095" t="s">
        <v>1726</v>
      </c>
    </row>
    <row r="3" spans="1:60" ht="14" customHeight="1" thickBot="1" x14ac:dyDescent="0.2">
      <c r="A3" s="3320" t="str">
        <f>D80</f>
        <v>AGS REST 2D V Hvy 100%Dyn 13x7 PNG24</v>
      </c>
      <c r="B3" s="3321"/>
      <c r="C3" s="3321"/>
      <c r="D3" s="3321"/>
      <c r="E3" s="3326" t="s">
        <v>1264</v>
      </c>
      <c r="F3" s="3327"/>
      <c r="G3" s="2226" t="s">
        <v>1068</v>
      </c>
      <c r="H3" s="2221" t="s">
        <v>1045</v>
      </c>
      <c r="I3" s="2222" t="s">
        <v>840</v>
      </c>
      <c r="J3" s="2069">
        <v>4000</v>
      </c>
      <c r="K3" s="2067">
        <v>2000</v>
      </c>
      <c r="L3" s="1239">
        <v>500</v>
      </c>
      <c r="M3" s="1067">
        <f ca="1">IF(D6=0,0,L3/(60*B6))</f>
        <v>1.3888888888888888</v>
      </c>
      <c r="N3" s="2288">
        <v>2</v>
      </c>
      <c r="O3" s="1204">
        <f>IF(AND(G3=B116,LEFT(P6,3)=N91),N3,1)</f>
        <v>1</v>
      </c>
      <c r="P3" s="377"/>
      <c r="Q3" s="3067">
        <f>VLOOKUP(D11,HWRange,12,FALSE)*C11</f>
        <v>0</v>
      </c>
      <c r="R3" s="2213"/>
      <c r="S3" s="581"/>
      <c r="T3" s="2522"/>
      <c r="U3" s="2515" t="s">
        <v>1309</v>
      </c>
      <c r="V3" s="2516"/>
      <c r="W3" s="2517"/>
      <c r="X3" s="3120"/>
      <c r="Y3" s="1857"/>
      <c r="AA3" s="3151"/>
      <c r="AC3" s="2426"/>
      <c r="AH3" s="2426"/>
      <c r="AI3" s="2426"/>
      <c r="AN3" s="593" t="str">
        <f>F12</f>
        <v>Local Client</v>
      </c>
      <c r="AO3" s="595">
        <f ca="1">IF(BA3&gt;0,L11,0)*IF(C30=C132,1/VLOOKUP(E30,wfRange,14,FALSE),IF(OR(M91=B96,M91=B94),1/O3,1))</f>
        <v>3.0037669469086016E-2</v>
      </c>
      <c r="AP3" s="595">
        <f ca="1">IF(BA3&gt;0,M26,0)*IF(C30=C132,1/VLOOKUP(E30,wfRange,14,FALSE),IF(OR(M91=B96,M91=B94),1/O3,1))</f>
        <v>4.8697659917451095E-3</v>
      </c>
      <c r="AQ3" s="595">
        <f ca="1">IF(BA3&gt;0,L10,0)*IF(C30=C132,1/VLOOKUP(E30,wfRange,14,FALSE),IF(M91=B96,1/O3,1))</f>
        <v>0.17573794018817201</v>
      </c>
      <c r="AR3" s="595">
        <f ca="1">IF(BA3&gt;0,M22,0)*IF(C30=C132,1/VLOOKUP(E30,wfRange,14,FALSE),IF(M91=B96,1/O3,1))</f>
        <v>9.7189424613214295E-2</v>
      </c>
      <c r="AS3" s="595">
        <f ca="1">IF(BA3&gt;0,L9,0)</f>
        <v>7.340501792114696E-3</v>
      </c>
      <c r="AT3" s="595">
        <f ca="1">IF(BA3&gt;0,M18,0)</f>
        <v>3.4198717600273103E-4</v>
      </c>
      <c r="AU3" s="595">
        <f ca="1">IF(BA3&gt;0,L12,0)</f>
        <v>2.1000000000000001E-2</v>
      </c>
      <c r="AV3" s="595">
        <f ca="1">IF(D6&gt;0,IF(BA3&gt;0,M12,0),0)</f>
        <v>4.4730202936457705E-5</v>
      </c>
      <c r="AW3" s="397">
        <v>0</v>
      </c>
      <c r="AX3" s="596">
        <f ca="1">IF(BA3&gt;0,K15,0)*IF(C30=C132,1/VLOOKUP(E30,wfRange,14,FALSE),IF(M91=B94,1/O3,1))</f>
        <v>2.4874493927125509E-2</v>
      </c>
      <c r="AY3" s="595">
        <f ca="1">SUM(AO3:AX3)</f>
        <v>0.36143651336039684</v>
      </c>
      <c r="AZ3" s="745" t="str">
        <f>K21</f>
        <v>Physical</v>
      </c>
      <c r="BA3" s="397">
        <f ca="1">IF(AND(H12&lt;1,H$9&lt;1,H$10&lt;1,H$11&lt;1),1,-1)</f>
        <v>1</v>
      </c>
      <c r="BB3" s="2465">
        <f>G12</f>
        <v>100</v>
      </c>
      <c r="BC3" s="3027" t="str">
        <f ca="1">IF(Q1&gt;0,""," "&amp;VLOOKUP(I9,Memory,2,TRUE)&amp;" GB RAM")</f>
        <v xml:space="preserve"> 32 GB RAM</v>
      </c>
      <c r="BD3" s="3028" t="str">
        <f ca="1">IF(C9&gt;0,D9&amp;BC3,"")</f>
        <v>Xeon Gold 5122 4 core (1 chip) 3600 MHz 32 GB RAM</v>
      </c>
      <c r="BE3" s="3029">
        <f ca="1">IF(BH3="virtual",0,IF(C9=0,0,IF(Q1&gt;0,Q1,C9*VLOOKUP(BD3,HWPricing,6,FALSE))))</f>
        <v>9224.75</v>
      </c>
      <c r="BF3" s="3089"/>
      <c r="BG3" s="3092">
        <f>IF(OR(LEFT(D9,2)="AZ",LEFT(D9,2)="AM"),VLOOKUP(D9,HWRange,10,FALSE),1000)</f>
        <v>1000</v>
      </c>
      <c r="BH3" s="3092" t="str">
        <f>IF(K21=$H$158,"physical","virtual")</f>
        <v>physical</v>
      </c>
    </row>
    <row r="4" spans="1:60" ht="14" customHeight="1" thickTop="1" x14ac:dyDescent="0.2">
      <c r="A4" s="824">
        <f ca="1">C6*60/1000</f>
        <v>100</v>
      </c>
      <c r="B4" s="527">
        <f ca="1">ROUND(60/(K12+D6),1)</f>
        <v>17.8</v>
      </c>
      <c r="C4" s="523" t="s">
        <v>50</v>
      </c>
      <c r="D4" s="577"/>
      <c r="E4" s="2518"/>
      <c r="F4" s="2513"/>
      <c r="G4" s="2217"/>
      <c r="H4" s="2217"/>
      <c r="I4" s="2218"/>
      <c r="J4" s="402" t="str">
        <f>"Data Source"&amp;IF($K$5="+mapcache"," (+$$)","")</f>
        <v>Data Source</v>
      </c>
      <c r="K4" s="1242"/>
      <c r="L4" s="377" t="s">
        <v>546</v>
      </c>
      <c r="M4" s="377" t="s">
        <v>544</v>
      </c>
      <c r="N4" s="377" t="s">
        <v>545</v>
      </c>
      <c r="O4" s="377" t="s">
        <v>222</v>
      </c>
      <c r="P4" s="377"/>
      <c r="Q4" s="3068">
        <f ca="1">SUM(Q1:Q3)</f>
        <v>0</v>
      </c>
      <c r="R4" s="2213"/>
      <c r="S4" s="2459" t="s">
        <v>382</v>
      </c>
      <c r="T4" s="2461">
        <f ca="1">IFERROR(IF(P6=B93,S6,IF(T5=S6,S6,S6-SUM(T5+T6)/(5*T6))),S6)</f>
        <v>6</v>
      </c>
      <c r="W4" s="1755" t="str">
        <f>IF(OR(LEFT(D9,3)="AMI",LEFT(D9,3)="AZI"),LEFT(D9,3),"")</f>
        <v/>
      </c>
      <c r="X4" s="3121">
        <f>IF(LEFT($D9,3)=$W4,IF(K$21=$H$158,0,1),0)</f>
        <v>0</v>
      </c>
      <c r="Y4" s="1857"/>
      <c r="AA4" s="3152"/>
      <c r="AC4" s="2426"/>
      <c r="AE4" s="2426"/>
      <c r="AN4" s="593" t="str">
        <f>F13</f>
        <v>Remote site 1</v>
      </c>
      <c r="AO4" s="595">
        <f t="shared" ref="AO4:AT4" ca="1" si="0">IF($BA4&gt;0,AO3,0)</f>
        <v>3.0037669469086016E-2</v>
      </c>
      <c r="AP4" s="595">
        <f t="shared" ca="1" si="0"/>
        <v>4.8697659917451095E-3</v>
      </c>
      <c r="AQ4" s="595">
        <f t="shared" ca="1" si="0"/>
        <v>0.17573794018817201</v>
      </c>
      <c r="AR4" s="595">
        <f t="shared" ca="1" si="0"/>
        <v>9.7189424613214295E-2</v>
      </c>
      <c r="AS4" s="595">
        <f t="shared" ca="1" si="0"/>
        <v>7.340501792114696E-3</v>
      </c>
      <c r="AT4" s="595">
        <f t="shared" ca="1" si="0"/>
        <v>3.4198717600273103E-4</v>
      </c>
      <c r="AU4" s="595">
        <f ca="1">IF(BA4&gt;0,L13,0)</f>
        <v>2.4E-2</v>
      </c>
      <c r="AV4" s="595">
        <f ca="1">IF(BA4&gt;0,M13,0)</f>
        <v>5.6831832140646779E-4</v>
      </c>
      <c r="AW4" s="597">
        <f ca="1">IF(BA4&gt;0,N13,0)</f>
        <v>0.1</v>
      </c>
      <c r="AX4" s="595">
        <f ca="1">IF($BA4&gt;0,AX3,0)</f>
        <v>2.4874493927125509E-2</v>
      </c>
      <c r="AY4" s="595">
        <f ca="1">SUM(AO4:AX4)</f>
        <v>0.46496010147886691</v>
      </c>
      <c r="AZ4" s="745" t="str">
        <f>K25</f>
        <v>Physical</v>
      </c>
      <c r="BA4" s="397">
        <f ca="1">IF(D13&gt;0,IF(AND(H13&lt;1,H$9&lt;1,H$10&lt;1,H$11&lt;1),1,-1),-1)</f>
        <v>1</v>
      </c>
      <c r="BB4" s="2465">
        <f>G13</f>
        <v>90</v>
      </c>
      <c r="BC4" s="3027" t="str">
        <f ca="1">IF(Q2&gt;0,""," "&amp;VLOOKUP(I10,Memory,2,TRUE)&amp;" GB RAM")</f>
        <v xml:space="preserve"> 32 GB RAM</v>
      </c>
      <c r="BD4" s="3028" t="str">
        <f ca="1">IF(C10&gt;0,D10&amp;BC4,"")</f>
        <v>Xeon Gold 5122 4 core (1 chip) 3600 MHz 32 GB RAM</v>
      </c>
      <c r="BE4" s="3029">
        <f ca="1">IF(BH4="virtual",0,IF(C10=0,0,IF(Q2&gt;0,Q2,C10*VLOOKUP(BD4,HWPricing,6,FALSE))))</f>
        <v>18449.5</v>
      </c>
      <c r="BF4" s="3090">
        <f ca="1">$BF$1*S10</f>
        <v>24000</v>
      </c>
      <c r="BG4" s="3093">
        <f>IF(OR(LEFT(D10,2)="AZ",LEFT(D10,2)="AM"),VLOOKUP(D10,HWRange,10,FALSE),1000)</f>
        <v>1000</v>
      </c>
      <c r="BH4" s="3093" t="str">
        <f>IF(K25=$H$158,"physical","virtual")</f>
        <v>physical</v>
      </c>
    </row>
    <row r="5" spans="1:60" ht="14" customHeight="1" x14ac:dyDescent="0.15">
      <c r="A5" s="403" t="s">
        <v>114</v>
      </c>
      <c r="B5" s="738" t="s">
        <v>21</v>
      </c>
      <c r="C5" s="738" t="s">
        <v>52</v>
      </c>
      <c r="D5" s="738" t="s">
        <v>41</v>
      </c>
      <c r="E5" s="2331" t="s">
        <v>19</v>
      </c>
      <c r="F5" s="2332" t="s">
        <v>49</v>
      </c>
      <c r="G5" s="2332" t="s">
        <v>61</v>
      </c>
      <c r="H5" s="2332" t="s">
        <v>60</v>
      </c>
      <c r="I5" s="2219" t="s">
        <v>696</v>
      </c>
      <c r="J5" s="2666">
        <f ca="1">ROUND(I6*C6/60,2)</f>
        <v>59.17</v>
      </c>
      <c r="K5" s="374" t="s">
        <v>83</v>
      </c>
      <c r="L5" s="1240">
        <f>MATCH(G3,MapDocList,0)</f>
        <v>1</v>
      </c>
      <c r="M5" s="1165">
        <f>IF(P2=N1,MATCH(J6,ImageryDataList,0), MATCH(J6,MapDataList,0))</f>
        <v>1</v>
      </c>
      <c r="N5" s="1165">
        <f>IF(P2=N1,MATCH(A11,C137:C138,0),1)</f>
        <v>1</v>
      </c>
      <c r="O5" s="1165">
        <f>IF(C30=C131,SUM(L6:N6),4)</f>
        <v>3</v>
      </c>
      <c r="P5" s="377"/>
      <c r="Q5" s="625"/>
      <c r="R5" s="2213"/>
      <c r="S5" s="2460" t="s">
        <v>351</v>
      </c>
      <c r="T5" s="2461">
        <f ca="1">IF(P6=B93,S6,  IF(S6&lt;T6,S6,IF(ABS(T6-B6)&lt;0.01,T6,T6-(T6-B6)/2)))</f>
        <v>6</v>
      </c>
      <c r="W5" s="1755" t="str">
        <f>IF(OR(LEFT(D10,3)="AMI",LEFT(D10,3)="AZI"),LEFT(D10,3),"")</f>
        <v/>
      </c>
      <c r="X5" s="3121">
        <f>IF(LEFT($D10,3)=$W5,IF(K$25=$H$158,0,1),0)</f>
        <v>0</v>
      </c>
      <c r="Y5" s="1857"/>
      <c r="AA5" s="2672"/>
      <c r="AC5" s="2426"/>
      <c r="AE5" s="2426"/>
      <c r="AN5" s="593" t="str">
        <f>F14</f>
        <v>Remote site 2</v>
      </c>
      <c r="AO5" s="595">
        <f t="shared" ref="AO5:AT5" ca="1" si="1">IF($BA5&gt;0,AO3,0)</f>
        <v>3.0037669469086016E-2</v>
      </c>
      <c r="AP5" s="595">
        <f t="shared" ca="1" si="1"/>
        <v>4.8697659917451095E-3</v>
      </c>
      <c r="AQ5" s="595">
        <f t="shared" ca="1" si="1"/>
        <v>0.17573794018817201</v>
      </c>
      <c r="AR5" s="595">
        <f t="shared" ca="1" si="1"/>
        <v>9.7189424613214295E-2</v>
      </c>
      <c r="AS5" s="595">
        <f t="shared" ca="1" si="1"/>
        <v>7.340501792114696E-3</v>
      </c>
      <c r="AT5" s="595">
        <f t="shared" ca="1" si="1"/>
        <v>3.4198717600273103E-4</v>
      </c>
      <c r="AU5" s="595">
        <f ca="1">IF(BA5&gt;0,L14,0)</f>
        <v>0.23699999999999999</v>
      </c>
      <c r="AV5" s="595">
        <f ca="1">IF(BA5&gt;0,M14,0)</f>
        <v>5.6121434238888676E-3</v>
      </c>
      <c r="AW5" s="597">
        <f ca="1">IF(BA5&gt;0,N14,0)</f>
        <v>0</v>
      </c>
      <c r="AX5" s="595">
        <f ca="1">IF($BA5&gt;0,AX3,0)</f>
        <v>2.4874493927125509E-2</v>
      </c>
      <c r="AY5" s="595">
        <f ca="1">SUM(AO5:AX5)</f>
        <v>0.58300392658134925</v>
      </c>
      <c r="AZ5" s="745" t="str">
        <f>K29</f>
        <v>Physical</v>
      </c>
      <c r="BA5" s="397">
        <f ca="1">IF(D14&gt;0,IF(AND(H14&lt;1,H$9&lt;1,H$10&lt;1,H$11&lt;1),1,-1),-1)</f>
        <v>1</v>
      </c>
      <c r="BB5" s="2465">
        <f>G14</f>
        <v>9</v>
      </c>
      <c r="BC5" s="3027" t="str">
        <f>IF(Q3&gt;0,""," "&amp;VLOOKUP(I11,Memory,2,TRUE)&amp;" GB RAM")</f>
        <v xml:space="preserve"> 96 GB RAM</v>
      </c>
      <c r="BD5" s="3028" t="str">
        <f>IF(C11&gt;0,D11&amp;BC5,"")</f>
        <v>Xeon Gold 5122 4 core (1 chip) 3600 MHz 96 GB RAM</v>
      </c>
      <c r="BE5" s="3029">
        <f>IF(BH5="virtual",0,IF(C11=0,0,IF(Q3&gt;0,Q3,C11*VLOOKUP(BD5,HWPricing,6,FALSE))))</f>
        <v>10892.25</v>
      </c>
      <c r="BF5" s="3091"/>
      <c r="BG5" s="3094">
        <f>IF(OR(LEFT(D11,2)="AZ",LEFT(D11,2)="AM"),VLOOKUP(D11,HWRange,10,FALSE),1000)</f>
        <v>1000</v>
      </c>
      <c r="BH5" s="3094" t="str">
        <f>IF(K29=$H$158,"physical","virtual")</f>
        <v>physical</v>
      </c>
    </row>
    <row r="6" spans="1:60" ht="14" customHeight="1" thickBot="1" x14ac:dyDescent="0.2">
      <c r="A6" s="367">
        <v>100000</v>
      </c>
      <c r="B6" s="2457">
        <f ca="1">T4</f>
        <v>6</v>
      </c>
      <c r="C6" s="3130">
        <f ca="1">IF(D6=0,Q14,IF(A5=B162,A6/60,IF(OR(A5=B163,A6&lt;B159),A6*B6,A6/60)))+T$3*K10/N10</f>
        <v>1666.6666666666667</v>
      </c>
      <c r="D6" s="858">
        <v>3</v>
      </c>
      <c r="E6" s="2224" t="s">
        <v>66</v>
      </c>
      <c r="F6" s="2225">
        <v>0</v>
      </c>
      <c r="G6" s="1144" t="s">
        <v>382</v>
      </c>
      <c r="H6" s="2227" t="s">
        <v>382</v>
      </c>
      <c r="I6" s="2220">
        <f>ROUND(C75,2)</f>
        <v>2.13</v>
      </c>
      <c r="J6" s="3314" t="s">
        <v>1055</v>
      </c>
      <c r="K6" s="3315"/>
      <c r="L6" s="1241">
        <f>IF(ISERROR(L5),FALSE,1)</f>
        <v>1</v>
      </c>
      <c r="M6" s="1203">
        <f>IF(ISERROR(M5),FALSE,1)</f>
        <v>1</v>
      </c>
      <c r="N6" s="1204">
        <f>IF(ISERROR(N5),FALSE,1)</f>
        <v>1</v>
      </c>
      <c r="O6" s="1395">
        <f>IF(ISERROR(O5),FALSE,O5)</f>
        <v>3</v>
      </c>
      <c r="P6" s="3326" t="str">
        <f>IF(E3&gt;0,E3,K168)</f>
        <v>AGS REST</v>
      </c>
      <c r="Q6" s="3327"/>
      <c r="R6" s="2214"/>
      <c r="S6" s="2462">
        <f>IF(D6&gt;0,IF(C30=C131,IF(OR(VLOOKUP(P6,WFbaseline,L100,FALSE)=B98,VLOOKUP(P6,WFbaseline,L100,FALSE)=B99),6,10),VLOOKUP(E30,wfRange,13,FALSE)),0)</f>
        <v>6</v>
      </c>
      <c r="T6" s="2463">
        <f ca="1">IF(P6=B93,S6,60/(K12+D6))</f>
        <v>17.849511588728046</v>
      </c>
      <c r="U6" s="2498">
        <f ca="1">C6/60</f>
        <v>27.777777777777779</v>
      </c>
      <c r="W6" s="1755" t="str">
        <f>IF(OR(LEFT(D11,3)="AMI",LEFT(D11,3)="AZI"),LEFT(D11,3),"")</f>
        <v/>
      </c>
      <c r="X6" s="3121">
        <f>IF(LEFT($D11,3)=$W6,IF(K$29=$H$158,0,1),0)</f>
        <v>0</v>
      </c>
      <c r="Y6" s="1857"/>
      <c r="AA6" s="2672"/>
      <c r="AC6" s="2426"/>
      <c r="AE6" s="2426"/>
      <c r="BA6" s="397">
        <f>IF(OR(AP6&lt;0,AR6&lt;0,AT6&lt;0,AV6&lt;0),-1,1)</f>
        <v>1</v>
      </c>
      <c r="BB6" s="2465">
        <v>1000</v>
      </c>
      <c r="BC6" s="3030" t="str">
        <f>IF(C33&gt;0," "&amp;VLOOKUP(I33,Memory,2,TRUE)&amp;" GB RAM","")</f>
        <v/>
      </c>
      <c r="BD6" s="3031" t="str">
        <f>IF(C33&gt;0,D33&amp;BC6,"")</f>
        <v/>
      </c>
      <c r="BE6" s="3032" t="str">
        <f>IF(C33&gt;0,C33*VLOOKUP(BD6,HWPricing,6,FALSE)+HWPricing!I2*O34,"")</f>
        <v/>
      </c>
    </row>
    <row r="7" spans="1:60" ht="14" customHeight="1" x14ac:dyDescent="0.15">
      <c r="A7" s="321" t="s">
        <v>314</v>
      </c>
      <c r="B7" s="576">
        <f ca="1">IF(K9&gt;0,+INT(X$9/(G9*K9))+1,0)</f>
        <v>1</v>
      </c>
      <c r="C7" s="2427">
        <f ca="1">IF(K10&gt;0,+INT(X$10/(G10*K10))+1,0)</f>
        <v>2</v>
      </c>
      <c r="D7" s="474" t="str">
        <f ca="1">IF(O6&lt;3,"invalid workflow",A125)</f>
        <v>valid workflow</v>
      </c>
      <c r="E7" s="578"/>
      <c r="F7" s="579"/>
      <c r="G7" s="335" t="s">
        <v>314</v>
      </c>
      <c r="H7" s="348"/>
      <c r="I7" s="350" t="s">
        <v>25</v>
      </c>
      <c r="J7" s="335" t="s">
        <v>24</v>
      </c>
      <c r="K7" s="336"/>
      <c r="L7" s="375" t="s">
        <v>89</v>
      </c>
      <c r="M7" s="350" t="s">
        <v>26</v>
      </c>
      <c r="N7" s="375" t="s">
        <v>314</v>
      </c>
      <c r="O7" s="1391" t="s">
        <v>337</v>
      </c>
      <c r="P7" s="1392"/>
      <c r="Q7" s="1383" t="s">
        <v>134</v>
      </c>
      <c r="R7" s="3316" t="s">
        <v>90</v>
      </c>
      <c r="S7" s="517" t="s">
        <v>98</v>
      </c>
      <c r="T7" s="1372" t="s">
        <v>314</v>
      </c>
      <c r="U7" s="1373"/>
      <c r="V7" s="1372" t="s">
        <v>712</v>
      </c>
      <c r="W7" s="1850"/>
      <c r="X7" s="3131" t="s">
        <v>1776</v>
      </c>
      <c r="Y7" s="1857"/>
      <c r="AA7" s="2672"/>
      <c r="AC7" s="2426"/>
      <c r="AE7" s="2426"/>
      <c r="AO7" s="2683"/>
      <c r="AP7" s="2683"/>
      <c r="AQ7" s="2683"/>
      <c r="AR7" s="2683"/>
      <c r="AS7" s="2683"/>
      <c r="AT7" s="2683"/>
      <c r="AU7" s="2683"/>
      <c r="AV7" s="2683"/>
      <c r="AW7" s="2683"/>
      <c r="AX7" s="2683"/>
      <c r="AY7" s="2683"/>
      <c r="AZ7" s="2683"/>
      <c r="BB7" s="2465">
        <v>100</v>
      </c>
    </row>
    <row r="8" spans="1:60" ht="14" customHeight="1" x14ac:dyDescent="0.15">
      <c r="A8" s="321" t="s">
        <v>22</v>
      </c>
      <c r="B8" s="477" t="s">
        <v>27</v>
      </c>
      <c r="C8" s="477" t="s">
        <v>325</v>
      </c>
      <c r="D8" s="3116" t="s">
        <v>1735</v>
      </c>
      <c r="E8" s="472" t="s">
        <v>97</v>
      </c>
      <c r="F8" s="473"/>
      <c r="G8" s="321" t="s">
        <v>28</v>
      </c>
      <c r="H8" s="375" t="s">
        <v>347</v>
      </c>
      <c r="I8" s="350" t="s">
        <v>29</v>
      </c>
      <c r="J8" s="321" t="s">
        <v>12</v>
      </c>
      <c r="K8" s="350" t="s">
        <v>105</v>
      </c>
      <c r="L8" s="375" t="s">
        <v>30</v>
      </c>
      <c r="M8" s="350" t="s">
        <v>293</v>
      </c>
      <c r="N8" s="375" t="s">
        <v>32</v>
      </c>
      <c r="O8" s="1396" t="s">
        <v>339</v>
      </c>
      <c r="P8" s="1394" t="s">
        <v>433</v>
      </c>
      <c r="Q8" s="350" t="s">
        <v>860</v>
      </c>
      <c r="R8" s="3316"/>
      <c r="S8" s="477" t="s">
        <v>103</v>
      </c>
      <c r="T8" s="335" t="s">
        <v>31</v>
      </c>
      <c r="U8" s="336"/>
      <c r="V8" s="1377" t="s">
        <v>12</v>
      </c>
      <c r="W8" s="1851" t="s">
        <v>105</v>
      </c>
      <c r="X8" s="3132" t="s">
        <v>306</v>
      </c>
      <c r="Y8" s="1857"/>
      <c r="AA8" s="2426"/>
      <c r="AC8" s="2426"/>
      <c r="AE8" s="2426"/>
      <c r="AO8" s="325"/>
      <c r="AP8" s="325"/>
      <c r="AQ8" s="325"/>
      <c r="AR8" s="325"/>
      <c r="AS8" s="325"/>
      <c r="AT8" s="325"/>
      <c r="AU8" s="325"/>
      <c r="AV8" s="325"/>
      <c r="AW8" s="325"/>
      <c r="AX8" s="325"/>
      <c r="AY8" s="325"/>
      <c r="BB8" s="2465">
        <v>10</v>
      </c>
    </row>
    <row r="9" spans="1:60" ht="14" customHeight="1" x14ac:dyDescent="0.15">
      <c r="A9" s="440" t="s">
        <v>23</v>
      </c>
      <c r="B9" s="478" t="str">
        <f>IF(F75&gt;0,IF(A9=B128,"Web",""),"")</f>
        <v>Web</v>
      </c>
      <c r="C9" s="478">
        <f ca="1">IF(D21,D21,IF($A$10=B135,IF(B7=1,2,B7),B7))</f>
        <v>1</v>
      </c>
      <c r="D9" s="3328" t="str">
        <f>D10</f>
        <v>Xeon Gold 5122 4 core (1 chip) 3600 MHz</v>
      </c>
      <c r="E9" s="3329"/>
      <c r="F9" s="3330"/>
      <c r="G9" s="122">
        <v>0.8</v>
      </c>
      <c r="H9" s="401">
        <f ca="1">IF(K9&gt;0,X$9/(C9*K9),0)</f>
        <v>5.097570688968539E-2</v>
      </c>
      <c r="I9" s="337">
        <f>IF(Q9&gt;0,INT(2*Q9*J9),J151*N9)</f>
        <v>16</v>
      </c>
      <c r="J9" s="344">
        <f ca="1">IF(D6=0,0,G9*K9/B$6)</f>
        <v>4359.375</v>
      </c>
      <c r="K9" s="334">
        <f>IF(L9&gt;0,60*N9/L9,0)</f>
        <v>32695.312499999996</v>
      </c>
      <c r="L9" s="441">
        <f>IF(A9=B128,F75+G75,0)</f>
        <v>7.340501792114696E-3</v>
      </c>
      <c r="M9" s="351">
        <f ca="1">IF(S9=0,0,IF($D$6&gt;0,L9*H9/((1+H9*(N9-1))*(1-H9)),IF(A$6&lt;S9,0.0001,L9*(A$6-S9)/S9)))</f>
        <v>3.4198717600273103E-4</v>
      </c>
      <c r="N9" s="1387">
        <f>IF(K21=H158,VLOOKUP(D9,HWRange,3,FALSE),K20)</f>
        <v>4</v>
      </c>
      <c r="O9" s="1397" t="str">
        <f>VLOOKUP($D9,HWRange,2,FALSE)</f>
        <v>Xeon Gold 5122</v>
      </c>
      <c r="P9" s="1400">
        <f>VLOOKUP($D9,HWRange,5,FALSE)</f>
        <v>3600</v>
      </c>
      <c r="Q9" s="1399"/>
      <c r="R9" s="3316"/>
      <c r="S9" s="812">
        <f ca="1">N9*C9</f>
        <v>4</v>
      </c>
      <c r="T9" s="352">
        <f>IF($K$21=$H$158,VLOOKUP($D9,HWRange,7,FALSE),IF($K$20&gt;VLOOKUP($D9,HWRange,3,FALSE),VLOOKUP($D9,HWRange,7,FALSE)*VLOOKUP($D9,HWRange,3,FALSE)/$K$20,VLOOKUP($D9,HWRange,7,FALSE)))</f>
        <v>69.75</v>
      </c>
      <c r="U9" s="157">
        <f>IF($K$21=$H$158,VLOOKUP($D9,HWRange,6,FALSE),VLOOKUP($D9,HWRange,6,FALSE)*$K$20/VLOOKUP($D9,HWRange,3,FALSE))</f>
        <v>279</v>
      </c>
      <c r="V9" s="1371">
        <f ca="1">J9*C9</f>
        <v>4359.375</v>
      </c>
      <c r="W9" s="1852">
        <f ca="1">K9*C9</f>
        <v>32695.312499999996</v>
      </c>
      <c r="X9" s="3133">
        <f ca="1">C$6</f>
        <v>1666.6666666666667</v>
      </c>
      <c r="Y9" s="1857"/>
      <c r="AA9" s="2426"/>
      <c r="BB9" s="2465">
        <v>512</v>
      </c>
    </row>
    <row r="10" spans="1:60" ht="14" customHeight="1" x14ac:dyDescent="0.15">
      <c r="A10" s="374" t="s">
        <v>364</v>
      </c>
      <c r="B10" s="478" t="str">
        <f ca="1">IF(E82&gt;0,C127,IF(H75&gt;0,IF(A9=B130,IF($J$6=$C$163,"Web/SOC/DB","Web/SOC"),IF(A9=B129,"Web/SOC","SOC")),""))</f>
        <v>SOC</v>
      </c>
      <c r="C10" s="2514">
        <f ca="1">IF(D25,D25,IF(K25=H160,(C6-T3*K10/N10)/B6,IF($A$10=B135,IF(B10=C127,C7+1,IF(C7=1,2,C7)),C7)))</f>
        <v>2</v>
      </c>
      <c r="D10" s="3328" t="s">
        <v>1816</v>
      </c>
      <c r="E10" s="3329"/>
      <c r="F10" s="3330"/>
      <c r="G10" s="425">
        <v>0.8</v>
      </c>
      <c r="H10" s="401">
        <f ca="1">IF(K10&gt;0,X$10/(C10*K10),0)</f>
        <v>0.61020118120893063</v>
      </c>
      <c r="I10" s="337">
        <f ca="1">ROUND(IF(Q10&gt;0,INT(2*Q10*J10),IF(K25=H160,J160*(1+N10),IF(OR(B10=C127,B10=C99),4*G10*U10/13.4,J151*N10*IF(A9=B130,1.25,1)))),0)</f>
        <v>16</v>
      </c>
      <c r="J10" s="344">
        <f ca="1">IF(D6=0,0,G10*K10/B$6)</f>
        <v>182.08930846541099</v>
      </c>
      <c r="K10" s="334">
        <f ca="1">IF(L10&gt;0,60*N10/L10,0)</f>
        <v>1365.6698134905823</v>
      </c>
      <c r="L10" s="441">
        <f ca="1">(IF(A9=B130,SUM(E75:I75)+K75,IF(A9=B128,E75+H75,SUM(E75:H75))+IF(OR(AND(E75=0,H75=0),A11=B140,A11=C138),0,I75))+IF(N23=H165,N24,0))</f>
        <v>0.17573794018817201</v>
      </c>
      <c r="M10" s="351">
        <f ca="1">IF(S10=0,0,IF($D$6&gt;0,L10*H10/((1+H10*(N10-1))*(1-H10)),IF(A$6&lt;S10,0.0001,L10*(A$6-S10)/S10)))</f>
        <v>9.7189424613214295E-2</v>
      </c>
      <c r="N10" s="1387">
        <f>IF($K$25=$H$158,VLOOKUP($D10,HWRange,3,FALSE),$K$24)</f>
        <v>4</v>
      </c>
      <c r="O10" s="1397" t="str">
        <f>VLOOKUP($D10,HWRange,2,FALSE)</f>
        <v>Xeon Gold 5122</v>
      </c>
      <c r="P10" s="1400">
        <f>VLOOKUP($D10,HWRange,5,FALSE)</f>
        <v>3600</v>
      </c>
      <c r="Q10" s="1399"/>
      <c r="R10" s="3316"/>
      <c r="S10" s="812">
        <f ca="1">N10*C10</f>
        <v>8</v>
      </c>
      <c r="T10" s="352">
        <f>IF($K$25=$H$158,VLOOKUP($D10,HWRange,7,FALSE),IF($K$24&gt;VLOOKUP($D10,HWRange,3,FALSE),VLOOKUP($D10,HWRange,7,FALSE)*VLOOKUP($D10,HWRange,3,FALSE)/$K$24,VLOOKUP($D10,HWRange,7,FALSE)))</f>
        <v>69.75</v>
      </c>
      <c r="U10" s="157">
        <f>IF($K$25=$H$158,VLOOKUP($D10,HWRange,6,FALSE),VLOOKUP($D10,HWRange,6,FALSE)*$K$24/VLOOKUP($D10,HWRange,3,FALSE))</f>
        <v>279</v>
      </c>
      <c r="V10" s="1371">
        <f ca="1">J10*C10</f>
        <v>364.17861693082199</v>
      </c>
      <c r="W10" s="1852">
        <f ca="1">K10*C10</f>
        <v>2731.3396269811647</v>
      </c>
      <c r="X10" s="3133">
        <f ca="1">C$6</f>
        <v>1666.6666666666667</v>
      </c>
      <c r="Y10" s="1857"/>
      <c r="AA10" s="2426"/>
      <c r="BB10" s="2465">
        <v>256</v>
      </c>
    </row>
    <row r="11" spans="1:60" ht="14" customHeight="1" x14ac:dyDescent="0.15">
      <c r="A11" s="2845" t="s">
        <v>1446</v>
      </c>
      <c r="B11" s="479" t="str">
        <f>IF(K75&gt;0,"SDE GDB",IF(P2=N1,"MDS",""))</f>
        <v>SDE GDB</v>
      </c>
      <c r="C11" s="479">
        <f>IF(D29,D29,IF(K11&gt;0,1,0))</f>
        <v>1</v>
      </c>
      <c r="D11" s="3331" t="str">
        <f>D10</f>
        <v>Xeon Gold 5122 4 core (1 chip) 3600 MHz</v>
      </c>
      <c r="E11" s="3329"/>
      <c r="F11" s="3330"/>
      <c r="G11" s="426">
        <v>0.8</v>
      </c>
      <c r="H11" s="401">
        <f ca="1">IF(K11&gt;0,X$11/(C11*K11),0)</f>
        <v>0.20859492686865289</v>
      </c>
      <c r="I11" s="337">
        <f>ROUND(IF(Q11&gt;0,INT(2*Q11*J11),4*G11*U11/13.4),0)</f>
        <v>67</v>
      </c>
      <c r="J11" s="344">
        <f ca="1">IF(D6=0,0,G11*K11/B$6)</f>
        <v>1065.3289874213965</v>
      </c>
      <c r="K11" s="334">
        <f>IF(B11="",0,IF(L11&gt;0,60*N11/L11,0))</f>
        <v>7989.9674056604736</v>
      </c>
      <c r="L11" s="441">
        <f>IF(B11="",0,IF(A9=B130,0,K75)+IF(OR(A11=B140,A11=C138),I75,0))</f>
        <v>3.0037669469086016E-2</v>
      </c>
      <c r="M11" s="351">
        <f ca="1">IF(S11=0,0,IF($D$6&gt;0,L11*H11/((1+H11*(N11-1))*(1-H11)),IF(A$6&lt;S11,0.0001,L11*(A$6-S11)/S11)))</f>
        <v>4.8697659917451095E-3</v>
      </c>
      <c r="N11" s="1387">
        <f>IF($K$29=$H$158,VLOOKUP($D11,HWRange,3,FALSE),$K$28)</f>
        <v>4</v>
      </c>
      <c r="O11" s="1398" t="str">
        <f>VLOOKUP($D11,HWRange,2,FALSE)</f>
        <v>Xeon Gold 5122</v>
      </c>
      <c r="P11" s="1401">
        <f>VLOOKUP($D11,HWRange,5,FALSE)</f>
        <v>3600</v>
      </c>
      <c r="Q11" s="1399"/>
      <c r="R11" s="3316"/>
      <c r="S11" s="812">
        <f>N11*C11</f>
        <v>4</v>
      </c>
      <c r="T11" s="1374">
        <f>IF($K$29=$H$158,VLOOKUP($D11,HWRange,7,FALSE),IF($K$28&gt;VLOOKUP($D11,HWRange,3,FALSE),VLOOKUP($D11,HWRange,7,FALSE)*VLOOKUP($D11,HWRange,3,FALSE)/$K$28,VLOOKUP($D11,HWRange,7,FALSE)))</f>
        <v>69.75</v>
      </c>
      <c r="U11" s="1375">
        <f>IF($K$29=$H$158,VLOOKUP($D11,HWRange,6,FALSE),VLOOKUP($D11,HWRange,6,FALSE)*$K$28/VLOOKUP($D11,HWRange,3,FALSE))</f>
        <v>279</v>
      </c>
      <c r="V11" s="1376">
        <f ca="1">J11*C11</f>
        <v>1065.3289874213965</v>
      </c>
      <c r="W11" s="1853">
        <f>K11*C11</f>
        <v>7989.9674056604736</v>
      </c>
      <c r="X11" s="3130">
        <f ca="1">C$6</f>
        <v>1666.6666666666667</v>
      </c>
      <c r="Y11" s="1857"/>
      <c r="AA11" s="2426"/>
      <c r="BB11" s="2465">
        <v>90</v>
      </c>
    </row>
    <row r="12" spans="1:60" ht="14" customHeight="1" x14ac:dyDescent="0.15">
      <c r="A12" s="3332">
        <f ca="1">ROUND(I6*B6/60,3)</f>
        <v>0.21299999999999999</v>
      </c>
      <c r="B12" s="3333"/>
      <c r="C12" s="1070">
        <f ca="1">A12</f>
        <v>0.21299999999999999</v>
      </c>
      <c r="D12" s="2223">
        <v>1</v>
      </c>
      <c r="E12" s="378" t="s">
        <v>277</v>
      </c>
      <c r="F12" s="1071" t="s">
        <v>128</v>
      </c>
      <c r="G12" s="492">
        <v>100</v>
      </c>
      <c r="H12" s="1072">
        <f ca="1">A12/G12</f>
        <v>2.1299999999999999E-3</v>
      </c>
      <c r="I12" s="378" t="s">
        <v>342</v>
      </c>
      <c r="J12" s="1071" t="s">
        <v>122</v>
      </c>
      <c r="K12" s="1958">
        <f ca="1">IF(AND(D6=0,A6&gt;S10), AY3*A6/S10,IF(BA3&gt;0,AY3,"slow down"))</f>
        <v>0.36143651336039684</v>
      </c>
      <c r="L12" s="1073">
        <f>ROUND(I6/G12,3)</f>
        <v>2.1000000000000001E-2</v>
      </c>
      <c r="M12" s="1074">
        <f ca="1">L12*H12/((1+H12)*(1-H12))</f>
        <v>4.4730202936457705E-5</v>
      </c>
      <c r="N12" s="3318" t="s">
        <v>43</v>
      </c>
      <c r="O12" s="3319"/>
      <c r="P12" s="2667">
        <f>ROUND(C75,2)</f>
        <v>2.13</v>
      </c>
      <c r="Q12" s="1005">
        <f ca="1">Q14</f>
        <v>2728.6082873541836</v>
      </c>
      <c r="R12" s="3316"/>
      <c r="S12" s="1075" t="s">
        <v>228</v>
      </c>
      <c r="T12" s="2464" t="s">
        <v>351</v>
      </c>
      <c r="U12" s="3024" t="s">
        <v>1571</v>
      </c>
      <c r="V12" s="3025">
        <f>12*LN(U13*G13+U14*G14)^2+20</f>
        <v>273.38151724521117</v>
      </c>
      <c r="W12" s="3026" t="s">
        <v>1572</v>
      </c>
      <c r="X12" s="3026"/>
      <c r="Y12" s="1857"/>
      <c r="AA12" s="2426"/>
      <c r="BB12" s="2465">
        <v>45</v>
      </c>
    </row>
    <row r="13" spans="1:60" ht="14" customHeight="1" x14ac:dyDescent="0.15">
      <c r="A13" s="3324">
        <f ca="1">ROUND(I$6*T$13/60,3)</f>
        <v>0.21299999999999999</v>
      </c>
      <c r="B13" s="3325"/>
      <c r="C13" s="575">
        <f ca="1">ROUND(A13*D13+S13,3)</f>
        <v>2.13</v>
      </c>
      <c r="D13" s="379">
        <v>10</v>
      </c>
      <c r="E13" s="697">
        <v>10</v>
      </c>
      <c r="F13" s="400" t="s">
        <v>246</v>
      </c>
      <c r="G13" s="492">
        <v>90</v>
      </c>
      <c r="H13" s="322">
        <f ca="1">C13/G13</f>
        <v>2.3666666666666666E-2</v>
      </c>
      <c r="I13" s="380">
        <f ca="1">IF(C30=C131,IF($B$10="",O1*VLOOKUP($E$6,ComplexArray,2,FALSE)*B85,10),VLOOKUP(E30,wfRange,Workflow!B$1,FALSE))</f>
        <v>10</v>
      </c>
      <c r="J13" s="567" t="s">
        <v>122</v>
      </c>
      <c r="K13" s="568">
        <f ca="1">IF(OR(D$6=0,D13=0),0,IF(BA4&gt;0,AY4,"slow down"))</f>
        <v>0.46496010147886691</v>
      </c>
      <c r="L13" s="739">
        <f>ROUND(I$6/G13,3)</f>
        <v>2.4E-2</v>
      </c>
      <c r="M13" s="566">
        <f ca="1">L13*H13/((1+H13)*(1-H13))</f>
        <v>5.6831832140646779E-4</v>
      </c>
      <c r="N13" s="573">
        <f ca="1">I13*E13/1000</f>
        <v>0.1</v>
      </c>
      <c r="O13" s="421"/>
      <c r="P13" s="2398">
        <f ca="1">IF(L10=0,0,60*N10/L10)</f>
        <v>1365.6698134905823</v>
      </c>
      <c r="Q13" s="2393">
        <f ca="1">IF(L10=0,0,60*N10/(L9+L10+L11+L12))</f>
        <v>1025.1323521230604</v>
      </c>
      <c r="R13" s="3317"/>
      <c r="S13" s="3039"/>
      <c r="T13" s="2464">
        <f ca="1">IFERROR(IF(60/(AY4+D$6)&lt;B$6,60/(AY4+D$6),B$6),S6)</f>
        <v>6</v>
      </c>
      <c r="U13" s="3040">
        <v>1</v>
      </c>
      <c r="V13" s="3023">
        <f>12*LN(G13)^2+20</f>
        <v>262.97944483037321</v>
      </c>
      <c r="W13" s="3023">
        <f>U13*12*LN(G13)^2+20</f>
        <v>262.97944483037321</v>
      </c>
      <c r="X13" s="3123"/>
      <c r="Y13" s="1857"/>
      <c r="AA13" s="2426"/>
      <c r="BB13" s="2465">
        <v>24</v>
      </c>
    </row>
    <row r="14" spans="1:60" ht="14" customHeight="1" x14ac:dyDescent="0.15">
      <c r="A14" s="3322">
        <f ca="1">ROUND(I$6*T$14/60,3)</f>
        <v>0.21299999999999999</v>
      </c>
      <c r="B14" s="3323"/>
      <c r="C14" s="493">
        <f ca="1">ROUND(A14*D14+S14,3)</f>
        <v>0.21299999999999999</v>
      </c>
      <c r="D14" s="379">
        <v>1</v>
      </c>
      <c r="E14" s="697">
        <v>0</v>
      </c>
      <c r="F14" s="400" t="s">
        <v>247</v>
      </c>
      <c r="G14" s="492">
        <v>9</v>
      </c>
      <c r="H14" s="322">
        <f ca="1">C14/G14</f>
        <v>2.3666666666666666E-2</v>
      </c>
      <c r="I14" s="380">
        <f ca="1">I13</f>
        <v>10</v>
      </c>
      <c r="J14" s="567" t="s">
        <v>122</v>
      </c>
      <c r="K14" s="568">
        <f ca="1">IF(OR(D$6=0,D14=0),0,IF(BA5&gt;0,AY5,"slow down"))</f>
        <v>0.58300392658134925</v>
      </c>
      <c r="L14" s="739">
        <f>ROUND(I$6/G14,3)</f>
        <v>0.23699999999999999</v>
      </c>
      <c r="M14" s="566">
        <f ca="1">L14*H14/((1+H14)*(1-H14))</f>
        <v>5.6121434238888676E-3</v>
      </c>
      <c r="N14" s="574">
        <f ca="1">I14*E14/1000</f>
        <v>0</v>
      </c>
      <c r="O14" s="421"/>
      <c r="P14" s="2392"/>
      <c r="Q14" s="2404">
        <f ca="1">IF(K33=0,Q15,MIN(Q15,0.999*K33*C33))</f>
        <v>2728.6082873541836</v>
      </c>
      <c r="R14" s="3317"/>
      <c r="S14" s="3039"/>
      <c r="T14" s="2464">
        <f ca="1">IFERROR(IF(60/(AY5+D$6)&lt;B$6,60/(AY5+D$6),B$6),S6)</f>
        <v>6</v>
      </c>
      <c r="U14" s="3040">
        <v>1</v>
      </c>
      <c r="V14" s="3023">
        <f>12*LN(G14)^2+20</f>
        <v>77.933550119003939</v>
      </c>
      <c r="W14" s="3023">
        <f>U14*12*LN(G14)^2+20</f>
        <v>77.933550119003939</v>
      </c>
      <c r="X14" s="3123"/>
      <c r="Y14" s="1857"/>
      <c r="AA14" s="2426"/>
      <c r="BB14" s="2465">
        <v>18</v>
      </c>
    </row>
    <row r="15" spans="1:60" ht="14" customHeight="1" x14ac:dyDescent="0.15">
      <c r="A15" s="347"/>
      <c r="B15" s="356" t="s">
        <v>51</v>
      </c>
      <c r="C15" s="3331" t="s">
        <v>1419</v>
      </c>
      <c r="D15" s="3329"/>
      <c r="E15" s="3329"/>
      <c r="F15" s="3329"/>
      <c r="G15" s="495" t="s">
        <v>102</v>
      </c>
      <c r="H15" s="494">
        <f>N15</f>
        <v>61.75</v>
      </c>
      <c r="I15" s="353"/>
      <c r="J15" s="342" t="s">
        <v>1260</v>
      </c>
      <c r="K15" s="345">
        <f>IF(C30=C132,VLOOKUP(E30,wfRange,4,FALSE)*I101/H15,D75+IF(VLOOKUP(P6,WFbaseline,L100,FALSE)=B94,IF(A11=B139,I75,0)))</f>
        <v>2.4874493927125509E-2</v>
      </c>
      <c r="L15" s="2428" t="str">
        <f>J15</f>
        <v>Client load =</v>
      </c>
      <c r="M15" s="2370"/>
      <c r="N15" s="529">
        <f>VLOOKUP(C15,HWRange,7,FALSE)</f>
        <v>61.75</v>
      </c>
      <c r="O15" s="530">
        <f>VLOOKUP(C15,HWRange,6,FALSE)</f>
        <v>247</v>
      </c>
      <c r="P15" s="772">
        <f>VLOOKUP(C15,HWRange,3,FALSE)</f>
        <v>4</v>
      </c>
      <c r="Q15" s="2404">
        <f ca="1">IF(L10=0,0,IF(A6*L10/(L10+L11)&gt;S10,P13*C10*0.999,0.999*Q13*A6/N10))</f>
        <v>2728.6082873541836</v>
      </c>
      <c r="R15" s="3316"/>
      <c r="S15" s="679"/>
      <c r="Y15" s="1857"/>
      <c r="Z15" s="2211"/>
      <c r="AE15" s="2426"/>
      <c r="BB15" s="2465">
        <v>12</v>
      </c>
    </row>
    <row r="16" spans="1:60" ht="14" customHeight="1" x14ac:dyDescent="0.15">
      <c r="A16" s="354"/>
      <c r="B16" s="355"/>
      <c r="C16" s="355"/>
      <c r="D16" s="423"/>
      <c r="E16" s="505" t="str">
        <f>D80</f>
        <v>AGS REST 2D V Hvy 100%Dyn 13x7 PNG24</v>
      </c>
      <c r="F16" s="506"/>
      <c r="G16" s="506"/>
      <c r="H16" s="506"/>
      <c r="I16" s="507"/>
      <c r="J16" s="2489"/>
      <c r="K16" s="2490"/>
      <c r="L16" s="447"/>
      <c r="M16" s="1253">
        <f ca="1">IF(LEFT(D10,3)=W5,$N$36,1)*(IF(A9=B130,SUM(E75:I75)+K75,IF(A9=B128,E75+H75,SUM(E75:H75))+IF(OR(AND(E75=0,H75=0),A11=B140,A11=C138),0,I75))+IF(N23=H165,N24,0))</f>
        <v>0.17573794018817201</v>
      </c>
      <c r="N16" s="587"/>
      <c r="O16" s="587"/>
      <c r="P16" s="587"/>
      <c r="Q16" s="587"/>
      <c r="R16" s="1076"/>
      <c r="S16" s="580"/>
      <c r="Y16" s="1857"/>
      <c r="BB16" s="2465">
        <v>6</v>
      </c>
    </row>
    <row r="17" spans="1:58" ht="14" customHeight="1" x14ac:dyDescent="0.15">
      <c r="A17" s="438">
        <v>12</v>
      </c>
      <c r="B17" s="445"/>
      <c r="C17" s="445"/>
      <c r="D17" s="510" t="s">
        <v>220</v>
      </c>
      <c r="E17" s="520" t="s">
        <v>10</v>
      </c>
      <c r="F17" s="511"/>
      <c r="G17" s="511"/>
      <c r="H17" s="511"/>
      <c r="I17" s="511"/>
      <c r="J17" s="2487"/>
      <c r="K17" s="2488" t="s">
        <v>965</v>
      </c>
      <c r="L17" s="740" t="s">
        <v>109</v>
      </c>
      <c r="M17" s="591"/>
      <c r="N17" s="591"/>
      <c r="O17" s="591"/>
      <c r="P17" s="591"/>
      <c r="Q17" s="591"/>
      <c r="R17" s="3352" t="s">
        <v>231</v>
      </c>
      <c r="S17" s="443" t="s">
        <v>104</v>
      </c>
      <c r="Y17" s="1857"/>
      <c r="BB17" s="2465">
        <v>3</v>
      </c>
    </row>
    <row r="18" spans="1:58" ht="14" customHeight="1" x14ac:dyDescent="0.15">
      <c r="A18" s="340"/>
      <c r="B18" s="445"/>
      <c r="C18" s="445"/>
      <c r="D18" s="3354" t="s">
        <v>325</v>
      </c>
      <c r="E18" s="512" t="str">
        <f t="shared" ref="E18:J18" ca="1" si="2">IF(E20&gt;0,IF($H$9&gt;0.5,$H$9,""),0)</f>
        <v/>
      </c>
      <c r="F18" s="513">
        <f t="shared" ca="1" si="2"/>
        <v>0</v>
      </c>
      <c r="G18" s="513">
        <f t="shared" ca="1" si="2"/>
        <v>0</v>
      </c>
      <c r="H18" s="513">
        <f t="shared" ca="1" si="2"/>
        <v>0</v>
      </c>
      <c r="I18" s="513">
        <f t="shared" ca="1" si="2"/>
        <v>0</v>
      </c>
      <c r="J18" s="518">
        <f t="shared" ca="1" si="2"/>
        <v>0</v>
      </c>
      <c r="K18" s="3069" t="str">
        <f ca="1">IF(C9=0,0,IF(W4=LEFT(D9,3),_xlfn.NUMBERVALUE(MID(D9,FIND("(",D9,1)+1,FIND(")",D9,1)-FIND("(",D9,1)-3)),""))</f>
        <v/>
      </c>
      <c r="L18" s="1680">
        <f>IF(K21=$H$158,0,L9)</f>
        <v>0</v>
      </c>
      <c r="M18" s="1402">
        <f ca="1">IF(K21=0,0,IF(K21=$H$158,M9,MAX(M9,L18*$M$33)))</f>
        <v>3.4198717600273103E-4</v>
      </c>
      <c r="N18" s="2055">
        <f>IF(K21=$H$158,0,S9)</f>
        <v>0</v>
      </c>
      <c r="Q18" s="1755" t="s">
        <v>736</v>
      </c>
      <c r="R18" s="3316"/>
      <c r="S18" s="443" t="str">
        <f ca="1">IF($H$9=0,0,"Peak System")</f>
        <v>Peak System</v>
      </c>
      <c r="Y18" s="1858"/>
      <c r="AA18" s="2400"/>
      <c r="BB18" s="2465">
        <v>1.5</v>
      </c>
    </row>
    <row r="19" spans="1:58" ht="14" customHeight="1" x14ac:dyDescent="0.2">
      <c r="A19" s="340"/>
      <c r="B19" s="445"/>
      <c r="C19" s="445"/>
      <c r="D19" s="3355"/>
      <c r="E19" s="497">
        <f t="shared" ref="E19:J19" ca="1" si="3">IF(E20=0,0,IF($H$9&lt;0.5,$H$9,"+"))</f>
        <v>5.097570688968539E-2</v>
      </c>
      <c r="F19" s="503">
        <f ca="1">IF(F20=0,0,IF($H$9&lt;0.5,$H$9,"+"))</f>
        <v>0</v>
      </c>
      <c r="G19" s="503">
        <f t="shared" ca="1" si="3"/>
        <v>0</v>
      </c>
      <c r="H19" s="503">
        <f t="shared" ca="1" si="3"/>
        <v>0</v>
      </c>
      <c r="I19" s="503">
        <f t="shared" ca="1" si="3"/>
        <v>0</v>
      </c>
      <c r="J19" s="519">
        <f t="shared" ca="1" si="3"/>
        <v>0</v>
      </c>
      <c r="K19" s="813"/>
      <c r="L19" s="811" t="s">
        <v>412</v>
      </c>
      <c r="M19" s="1880">
        <f>IF(K20&lt;4,2,IF(K20&lt;7,3,4))</f>
        <v>2</v>
      </c>
      <c r="N19" s="343"/>
      <c r="O19" s="1205"/>
      <c r="Q19" s="1756">
        <f ca="1">IF($H$9=0,0,$G$9*($C$6*60)/$H$9)</f>
        <v>1569374.9999999998</v>
      </c>
      <c r="R19" s="3316"/>
      <c r="S19" s="525">
        <f ca="1">IF(K21=$H$158,Q19,IF(S$35&lt;Q19,S$35,Q19))</f>
        <v>1569374.9999999998</v>
      </c>
      <c r="Y19" s="1859"/>
      <c r="AA19" s="2401"/>
      <c r="AE19" s="2426"/>
      <c r="BB19" s="2465">
        <v>0.75</v>
      </c>
    </row>
    <row r="20" spans="1:58" ht="14" customHeight="1" x14ac:dyDescent="0.15">
      <c r="A20" s="340"/>
      <c r="B20" s="445"/>
      <c r="C20" s="445"/>
      <c r="D20" s="3356"/>
      <c r="E20" s="720">
        <f>IF(L9&gt;0,1,0)</f>
        <v>1</v>
      </c>
      <c r="F20" s="504">
        <f ca="1">IF(E20&gt;0,IF($C$9&gt;E20,E20+1,0),0)</f>
        <v>0</v>
      </c>
      <c r="G20" s="504">
        <f ca="1">IF(F20&gt;0,IF($C$9&gt;F20,F20+1,0),0)</f>
        <v>0</v>
      </c>
      <c r="H20" s="504">
        <f ca="1">IF(G20&gt;0,IF($C$9&gt;G20,G20+1,0),0)</f>
        <v>0</v>
      </c>
      <c r="I20" s="504">
        <f ca="1">IF(H20&gt;0,IF($C$9&gt;H20,H20+1,0),0)</f>
        <v>0</v>
      </c>
      <c r="J20" s="504">
        <f ca="1">IF(I20&gt;0,IF($C$9&gt;5,"…"&amp;C9,0),0)</f>
        <v>0</v>
      </c>
      <c r="K20" s="876">
        <v>2</v>
      </c>
      <c r="L20" s="741" t="s">
        <v>63</v>
      </c>
      <c r="M20" s="590"/>
      <c r="N20" s="343"/>
      <c r="O20" s="2399"/>
      <c r="Q20" s="587"/>
      <c r="R20" s="3316"/>
      <c r="S20" s="478" t="str">
        <f ca="1">IF($H$9=0,0,"Peak/node")</f>
        <v>Peak/node</v>
      </c>
      <c r="Y20" s="1859"/>
      <c r="Z20" s="3064"/>
      <c r="AA20" s="2401"/>
      <c r="AE20" s="2426"/>
      <c r="BB20" s="2465">
        <v>0.25600000000000001</v>
      </c>
    </row>
    <row r="21" spans="1:58" ht="14" customHeight="1" x14ac:dyDescent="0.15">
      <c r="A21" s="340"/>
      <c r="B21" s="445"/>
      <c r="C21" s="445"/>
      <c r="D21" s="749"/>
      <c r="E21" s="508" t="str">
        <f ca="1">IF($K21=$H$158,B9&amp;": "&amp;C9&amp;"x "&amp;" "&amp;D9&amp;" "&amp;I9&amp;" GB RAM",B9&amp;": "&amp;C9&amp;"x "&amp;" VM ("&amp;N9&amp;" core "&amp;I9&amp;" GB RAM/node)" &amp;" "&amp;O9&amp;" "&amp;P9&amp;"MHz ")</f>
        <v>Web: 1x  Xeon Gold 5122 4 core (1 chip) 3600 MHz 16 GB RAM</v>
      </c>
      <c r="F21" s="509"/>
      <c r="G21" s="509"/>
      <c r="H21" s="509"/>
      <c r="I21" s="721"/>
      <c r="J21" s="746"/>
      <c r="K21" s="744" t="s">
        <v>408</v>
      </c>
      <c r="L21" s="742">
        <f>IF(M21&gt;0,M21,1)</f>
        <v>1</v>
      </c>
      <c r="M21" s="2455"/>
      <c r="N21" s="1749"/>
      <c r="O21" s="996"/>
      <c r="Q21" s="2405">
        <f>IF(K21=$H$159,C9,0)</f>
        <v>0</v>
      </c>
      <c r="R21" s="3316"/>
      <c r="S21" s="526">
        <f ca="1">IF(C9=0,0,Q19/C9)</f>
        <v>1569374.9999999998</v>
      </c>
      <c r="Y21" s="1859"/>
      <c r="Z21" s="1311"/>
      <c r="AD21" s="324"/>
      <c r="AE21" s="2426"/>
      <c r="AH21" s="2425"/>
      <c r="BB21" s="2465">
        <v>0.128</v>
      </c>
    </row>
    <row r="22" spans="1:58" ht="14" customHeight="1" x14ac:dyDescent="0.15">
      <c r="A22" s="340"/>
      <c r="B22" s="445"/>
      <c r="C22" s="445"/>
      <c r="D22" s="3354" t="s">
        <v>325</v>
      </c>
      <c r="E22" s="502">
        <f t="shared" ref="E22:J22" ca="1" si="4">IF(E24&gt;0,IF($H$10&gt;0.5,$H$10,""),0)</f>
        <v>0.61020118120893063</v>
      </c>
      <c r="F22" s="496">
        <f t="shared" ca="1" si="4"/>
        <v>0.61020118120893063</v>
      </c>
      <c r="G22" s="496">
        <f t="shared" ca="1" si="4"/>
        <v>0</v>
      </c>
      <c r="H22" s="496">
        <f t="shared" ca="1" si="4"/>
        <v>0</v>
      </c>
      <c r="I22" s="496">
        <f t="shared" ca="1" si="4"/>
        <v>0</v>
      </c>
      <c r="J22" s="444">
        <f t="shared" ca="1" si="4"/>
        <v>0</v>
      </c>
      <c r="K22" s="3069" t="str">
        <f>IF(W5=LEFT(D10,3),_xlfn.NUMBERVALUE(MID(D10,FIND("(",D10,1)+1,FIND(")",D10,1)-FIND("(",D10,1)-3)),"")</f>
        <v/>
      </c>
      <c r="L22" s="1680">
        <f>IF(K25=$H$158,0,L10)</f>
        <v>0</v>
      </c>
      <c r="M22" s="1402">
        <f ca="1">IF(K25=0,0,IF(K25=$H$158,M10,MAX(M10,L22*$M$33)))</f>
        <v>9.7189424613214295E-2</v>
      </c>
      <c r="N22" s="1748">
        <f>IF(K25=$H$158,0,S10)</f>
        <v>0</v>
      </c>
      <c r="O22" s="2492"/>
      <c r="Q22" s="1755" t="s">
        <v>736</v>
      </c>
      <c r="R22" s="3316"/>
      <c r="S22" s="443" t="str">
        <f ca="1">IF($H$10=0,0,"Peak System")</f>
        <v>Peak System</v>
      </c>
      <c r="T22" s="2426"/>
      <c r="U22" s="1935"/>
      <c r="Y22" s="1857"/>
      <c r="AA22" s="1890"/>
      <c r="AB22" s="2416"/>
      <c r="AC22" s="2417"/>
      <c r="AD22" s="2418"/>
      <c r="AE22" s="2426"/>
      <c r="AF22" s="2423"/>
      <c r="AG22" s="2423"/>
      <c r="AH22" s="2419"/>
      <c r="AN22" s="587"/>
      <c r="AO22" s="587"/>
      <c r="AP22" s="587"/>
      <c r="AQ22" s="587"/>
      <c r="AR22" s="587"/>
      <c r="AS22" s="587"/>
      <c r="AT22" s="587"/>
      <c r="AU22" s="587"/>
      <c r="AV22" s="587"/>
      <c r="AW22" s="587"/>
      <c r="AX22" s="587"/>
      <c r="AY22" s="587"/>
      <c r="AZ22" s="587"/>
      <c r="BA22" s="587"/>
      <c r="BB22" s="2465">
        <v>5.6000000000000001E-2</v>
      </c>
      <c r="BC22" s="587"/>
      <c r="BD22" s="587"/>
      <c r="BE22" s="587"/>
      <c r="BF22" s="587"/>
    </row>
    <row r="23" spans="1:58" ht="14" customHeight="1" x14ac:dyDescent="0.15">
      <c r="A23" s="340"/>
      <c r="B23" s="445"/>
      <c r="C23" s="445"/>
      <c r="D23" s="3355"/>
      <c r="E23" s="500" t="str">
        <f t="shared" ref="E23:J23" ca="1" si="5">IF(E24=0,0,IF($H$10&lt;0.5,$H$10,"+"))</f>
        <v>+</v>
      </c>
      <c r="F23" s="366" t="str">
        <f t="shared" ca="1" si="5"/>
        <v>+</v>
      </c>
      <c r="G23" s="366">
        <f t="shared" ca="1" si="5"/>
        <v>0</v>
      </c>
      <c r="H23" s="366">
        <f t="shared" ca="1" si="5"/>
        <v>0</v>
      </c>
      <c r="I23" s="366">
        <f t="shared" ca="1" si="5"/>
        <v>0</v>
      </c>
      <c r="J23" s="442">
        <f t="shared" ca="1" si="5"/>
        <v>0</v>
      </c>
      <c r="K23" s="813" t="str">
        <f ca="1">IF(B10=B96,IF(K25=H160,K160,K159),"")</f>
        <v/>
      </c>
      <c r="L23" s="811" t="s">
        <v>412</v>
      </c>
      <c r="M23" s="1880">
        <f>IF(K24&lt;4,2,IF(K24&lt;7,3,4))</f>
        <v>3</v>
      </c>
      <c r="N23" s="3153" t="str">
        <f>K17</f>
        <v xml:space="preserve">Siloed </v>
      </c>
      <c r="O23" s="996"/>
      <c r="Q23" s="1756">
        <f ca="1">IF($H$10=0,0,$G$10*($C$6*60)/$H$10)</f>
        <v>131104.30209509592</v>
      </c>
      <c r="R23" s="3316"/>
      <c r="S23" s="525">
        <f ca="1">IF(K25=$H$158,Q23,IF(S$35&lt;Q23,S$35,Q23))</f>
        <v>131104.30209509592</v>
      </c>
      <c r="T23" s="3034" t="str">
        <f>IF(K25=$H$160,"NVIDIA","")</f>
        <v/>
      </c>
      <c r="Y23" s="1857"/>
      <c r="AB23" s="2417"/>
      <c r="AC23" s="2420"/>
      <c r="AD23" s="2421"/>
      <c r="AE23" s="2426"/>
      <c r="AF23" s="2421"/>
      <c r="AG23" s="2421"/>
      <c r="AH23" s="2421"/>
    </row>
    <row r="24" spans="1:58" ht="14" customHeight="1" x14ac:dyDescent="0.15">
      <c r="A24" s="340"/>
      <c r="B24" s="445"/>
      <c r="C24" s="445"/>
      <c r="D24" s="3356"/>
      <c r="E24" s="501">
        <f ca="1">IF(L10&gt;0,1,0)</f>
        <v>1</v>
      </c>
      <c r="F24" s="499">
        <f ca="1">IF(E24&gt;0,IF($C$10&gt;E24,E24+1,0),0)</f>
        <v>2</v>
      </c>
      <c r="G24" s="499">
        <f ca="1">IF(F24&gt;0,IF($C$10&gt;F24,F24+1,0),0)</f>
        <v>0</v>
      </c>
      <c r="H24" s="499">
        <f ca="1">IF(G24&gt;0,IF($C$10&gt;G24,G24+1,0),0)</f>
        <v>0</v>
      </c>
      <c r="I24" s="499">
        <f ca="1">IF(H24&gt;0,IF($C$10&gt;H24,H24+1,0),0)</f>
        <v>0</v>
      </c>
      <c r="J24" s="499">
        <f ca="1">IF(I24&gt;0,IF($C$10&gt;5,"…"&amp;C10,0),0)</f>
        <v>0</v>
      </c>
      <c r="K24" s="876">
        <v>4</v>
      </c>
      <c r="L24" s="741" t="s">
        <v>63</v>
      </c>
      <c r="M24" s="590"/>
      <c r="N24" s="2390">
        <f ca="1">IF(VLOOKUP(P6,WFbaseline,11,FALSE)=H74, F101*C6*(C10-1)/(T10*O24*60),0)</f>
        <v>4.5975554673321943E-3</v>
      </c>
      <c r="O24" s="2410">
        <f>6410</f>
        <v>6410</v>
      </c>
      <c r="Q24" s="2368">
        <f ca="1">H10*C6/60</f>
        <v>16.950032811359186</v>
      </c>
      <c r="R24" s="3316"/>
      <c r="S24" s="478" t="str">
        <f ca="1">IF($H$10=0,0,"Peak/node")</f>
        <v>Peak/node</v>
      </c>
      <c r="T24" s="3035">
        <v>24</v>
      </c>
      <c r="U24" s="443" t="str">
        <f ca="1">S24</f>
        <v>Peak/node</v>
      </c>
      <c r="Y24" s="1857"/>
      <c r="AA24" s="1890"/>
      <c r="AB24" s="2417"/>
      <c r="AC24" s="2417"/>
      <c r="AD24" s="2422"/>
      <c r="AE24" s="2426"/>
      <c r="AF24" s="2422"/>
      <c r="AG24" s="2422"/>
      <c r="AH24" s="2422"/>
    </row>
    <row r="25" spans="1:58" ht="14" customHeight="1" x14ac:dyDescent="0.15">
      <c r="A25" s="340"/>
      <c r="B25" s="445"/>
      <c r="C25" s="445"/>
      <c r="D25" s="748"/>
      <c r="E25" s="498" t="str">
        <f ca="1">IF($K25=$H$158,B10&amp;": "&amp;C10&amp;"x "&amp;" "&amp;D10&amp;" "&amp;I10&amp;" GB RAM",B10&amp;": "&amp;C10&amp;"x "&amp;" VM ("&amp;N10&amp;" core "&amp;I10&amp;" GB RAM/node)" &amp;" "&amp;O10&amp;" "&amp;P10&amp;" MHz ")</f>
        <v>SOC: 2x  Xeon Gold 5122 4 core (1 chip) 3600 MHz 16 GB RAM</v>
      </c>
      <c r="F25" s="365"/>
      <c r="G25" s="365"/>
      <c r="H25" s="365"/>
      <c r="I25" s="365"/>
      <c r="J25" s="747"/>
      <c r="K25" s="743" t="s">
        <v>408</v>
      </c>
      <c r="L25" s="742">
        <f ca="1">IF(B10="",1,IF(M25&gt;0,M25,IF(AND(B10=C127,L17=H168),1,VLOOKUP(K25,VAdjust,2,FALSE)*VLOOKUP(L23,osAdjust,2,FALSE))))</f>
        <v>1</v>
      </c>
      <c r="M25" s="2454"/>
      <c r="N25" s="2373"/>
      <c r="O25" s="587"/>
      <c r="Q25" s="2405">
        <f>IF(K25=$H$159,C10,0)</f>
        <v>0</v>
      </c>
      <c r="R25" s="3316"/>
      <c r="S25" s="526">
        <f ca="1">IF(C10=0,0,Q23/C10)</f>
        <v>65552.151047547959</v>
      </c>
      <c r="T25" s="3036">
        <f>IF(T24="","",IF(D25=0,0,D25/T24+IF(A33=$B$135,1,0)))</f>
        <v>0</v>
      </c>
      <c r="U25" s="3186">
        <f ca="1">S25/3600</f>
        <v>18.208930846541101</v>
      </c>
      <c r="V25" s="1676"/>
      <c r="Y25" s="1857"/>
      <c r="AA25" s="1890"/>
      <c r="AB25" s="2417"/>
      <c r="AC25" s="2417"/>
      <c r="AD25" s="2418"/>
      <c r="AE25" s="2426"/>
      <c r="AF25" s="2423"/>
      <c r="AG25" s="2423"/>
      <c r="AH25" s="2419"/>
    </row>
    <row r="26" spans="1:58" ht="14" customHeight="1" x14ac:dyDescent="0.15">
      <c r="A26" s="340"/>
      <c r="B26" s="445"/>
      <c r="C26" s="445"/>
      <c r="D26" s="3354" t="s">
        <v>325</v>
      </c>
      <c r="E26" s="514" t="str">
        <f t="shared" ref="E26:J26" ca="1" si="6">IF(E28&gt;0,IF($H$11&gt;0.5,$H$11,""),0)</f>
        <v/>
      </c>
      <c r="F26" s="515">
        <f>IF(AND(A10=B135,D29=0,E28&gt;0),B136,IF(F28&gt;0,IF($H$11&gt;0.5,$H$11,""),0))</f>
        <v>0</v>
      </c>
      <c r="G26" s="515">
        <f t="shared" si="6"/>
        <v>0</v>
      </c>
      <c r="H26" s="515">
        <f t="shared" si="6"/>
        <v>0</v>
      </c>
      <c r="I26" s="515">
        <f t="shared" si="6"/>
        <v>0</v>
      </c>
      <c r="J26" s="516">
        <f t="shared" si="6"/>
        <v>0</v>
      </c>
      <c r="K26" s="3069" t="str">
        <f>IF(C11=0,0,IF(W6=LEFT(D11,3),_xlfn.NUMBERVALUE(MID(D11,FIND("(",D11,1)+1,FIND(")",D11,1)-FIND("(",D11,1)-3)),""))</f>
        <v/>
      </c>
      <c r="L26" s="1680">
        <f>IF(K29=$H$158,0,L11)</f>
        <v>0</v>
      </c>
      <c r="M26" s="1402">
        <f ca="1">IF(K29=0,0,IF(K29=$H$158,M11,MAX(M11,L26*$M$33)))</f>
        <v>4.8697659917451095E-3</v>
      </c>
      <c r="N26" s="1748">
        <f>IF(K29=$H$158,0,S11)</f>
        <v>0</v>
      </c>
      <c r="O26" s="2492"/>
      <c r="Q26" s="1755" t="s">
        <v>736</v>
      </c>
      <c r="R26" s="3316"/>
      <c r="S26" s="443" t="str">
        <f ca="1">IF($H$11=0,0,"Peak System")</f>
        <v>Peak System</v>
      </c>
      <c r="U26" s="1675"/>
      <c r="V26" s="1676"/>
      <c r="W26" s="3021" t="s">
        <v>1570</v>
      </c>
      <c r="X26" s="3124"/>
      <c r="Y26" s="1857"/>
      <c r="AA26" s="1890"/>
      <c r="AB26" s="2417"/>
      <c r="AC26" s="2417"/>
      <c r="AD26" s="2423"/>
      <c r="AE26" s="2426"/>
      <c r="AF26" s="2423"/>
      <c r="AG26" s="2423"/>
      <c r="AH26" s="2424"/>
    </row>
    <row r="27" spans="1:58" ht="14" customHeight="1" x14ac:dyDescent="0.15">
      <c r="A27" s="340"/>
      <c r="B27" s="445"/>
      <c r="C27" s="445"/>
      <c r="D27" s="3355"/>
      <c r="E27" s="500">
        <f ca="1">IF(E28=0,0,IF($H$11&lt;0.5,$H$11,"+"))</f>
        <v>0.20859492686865289</v>
      </c>
      <c r="F27" s="366">
        <f>IF(AND(A10=B135,D29=0,E28&gt;0),B137,IF(F28=0,0,IF($H$11&lt;0.5,$H$11,"+")))</f>
        <v>0</v>
      </c>
      <c r="G27" s="366">
        <f>IF(G28=0,0,IF($H$11&lt;0.5,$H$11,"+"))</f>
        <v>0</v>
      </c>
      <c r="H27" s="366">
        <f>IF(H28=0,0,IF($H$11&lt;0.5,$H$11,"+"))</f>
        <v>0</v>
      </c>
      <c r="I27" s="366">
        <f>IF(I28=0,0,IF($H$11&lt;0.5,$H$11,"+"))</f>
        <v>0</v>
      </c>
      <c r="J27" s="442">
        <f>IF(J28=0,0,IF($H$11&lt;0.5,$H$11,"+"))</f>
        <v>0</v>
      </c>
      <c r="K27" s="813"/>
      <c r="L27" s="811" t="s">
        <v>412</v>
      </c>
      <c r="M27" s="1880">
        <f>IF(K28&lt;4,2,IF(K28&lt;7,3,4))</f>
        <v>3</v>
      </c>
      <c r="N27" s="1024"/>
      <c r="O27" s="859"/>
      <c r="Q27" s="1756">
        <f ca="1">IF($H$11=0,0,$G$11*($C$6*60)/$H$11)</f>
        <v>383518.43547170272</v>
      </c>
      <c r="R27" s="3316"/>
      <c r="S27" s="3016">
        <f ca="1">IF(K29=$H$158,Q27,IF(S$35&lt;Q27,S$35,Q27))</f>
        <v>383518.43547170272</v>
      </c>
      <c r="U27" s="1935"/>
      <c r="W27" s="3022">
        <v>3000</v>
      </c>
      <c r="X27" s="3125"/>
      <c r="Y27" s="1857"/>
      <c r="AA27" s="1890"/>
      <c r="AB27" s="2416"/>
      <c r="AC27" s="2417"/>
      <c r="AD27" s="2418"/>
      <c r="AE27" s="2426"/>
      <c r="AF27" s="2418"/>
      <c r="AG27" s="2418"/>
      <c r="AH27" s="2418"/>
    </row>
    <row r="28" spans="1:58" ht="14" customHeight="1" x14ac:dyDescent="0.15">
      <c r="A28" s="340"/>
      <c r="B28" s="445"/>
      <c r="C28" s="445"/>
      <c r="D28" s="3356"/>
      <c r="E28" s="501">
        <f>IF(L11&gt;0,1,0)</f>
        <v>1</v>
      </c>
      <c r="F28" s="499">
        <f>IF(E28&gt;0,IF($C$11&gt;E28,E28+1,0),0)</f>
        <v>0</v>
      </c>
      <c r="G28" s="499">
        <f>IF(F28&gt;0,IF($C$11&gt;F28,F28+1,0),0)</f>
        <v>0</v>
      </c>
      <c r="H28" s="499">
        <f>IF(G28&gt;0,IF($C$11&gt;G28,G28+1,0),0)</f>
        <v>0</v>
      </c>
      <c r="I28" s="499">
        <f>IF(H28&gt;0,IF($C$11&gt;H28,H28+1,0),0)</f>
        <v>0</v>
      </c>
      <c r="J28" s="499">
        <f>IF(I28&gt;0,IF($C$11&gt;5,"…"&amp;C11,0),0)</f>
        <v>0</v>
      </c>
      <c r="K28" s="876">
        <v>4</v>
      </c>
      <c r="L28" s="741" t="s">
        <v>63</v>
      </c>
      <c r="M28" s="590"/>
      <c r="N28" s="445"/>
      <c r="O28" s="587"/>
      <c r="Q28" s="860"/>
      <c r="R28" s="3316"/>
      <c r="S28" s="478" t="str">
        <f ca="1">IF($H$11=0,0,"Peak/node")</f>
        <v>Peak/node</v>
      </c>
      <c r="T28" s="3313" t="s">
        <v>1569</v>
      </c>
      <c r="U28" s="3313"/>
      <c r="V28" s="3313"/>
      <c r="Y28" s="1857"/>
      <c r="AA28" s="1890"/>
      <c r="AB28" s="1889"/>
      <c r="AC28" s="1889"/>
      <c r="AD28" s="2402"/>
      <c r="AE28" s="2426"/>
      <c r="AF28" s="2402"/>
      <c r="AG28" s="2402"/>
      <c r="AH28" s="2402"/>
    </row>
    <row r="29" spans="1:58" ht="14" customHeight="1" x14ac:dyDescent="0.15">
      <c r="A29" s="769"/>
      <c r="B29" s="447"/>
      <c r="C29" s="447"/>
      <c r="D29" s="748"/>
      <c r="E29" s="498" t="str">
        <f>IF($K29=$H$158,B11&amp;": "&amp;C11&amp;"x "&amp;" "&amp;D11&amp;" "&amp;I11&amp;" GB RAM",B11&amp;": "&amp;C11&amp;"x "&amp;" VM ("&amp;N11&amp;" core "&amp;I11&amp;" GB RAM/node)" &amp;" "&amp;O11&amp;" "&amp;P11&amp;" MHz ")</f>
        <v>SDE GDB: 1x  Xeon Gold 5122 4 core (1 chip) 3600 MHz 67 GB RAM</v>
      </c>
      <c r="F29" s="365"/>
      <c r="G29" s="365"/>
      <c r="H29" s="365"/>
      <c r="I29" s="365"/>
      <c r="J29" s="747"/>
      <c r="K29" s="743" t="s">
        <v>408</v>
      </c>
      <c r="L29" s="742">
        <f>IF(M29&gt;0,M29,1)</f>
        <v>1</v>
      </c>
      <c r="M29" s="2454"/>
      <c r="N29" s="446"/>
      <c r="O29" s="861"/>
      <c r="P29" s="861"/>
      <c r="Q29" s="2405">
        <f>IF(K29=$H$159,C11,0)</f>
        <v>0</v>
      </c>
      <c r="R29" s="3353"/>
      <c r="S29" s="526">
        <f ca="1">IF(C11=0,0,Q27/C11)</f>
        <v>383518.43547170272</v>
      </c>
      <c r="T29" s="3017" t="s">
        <v>1355</v>
      </c>
      <c r="U29" s="3037" t="s">
        <v>1562</v>
      </c>
      <c r="V29" s="3017" t="s">
        <v>327</v>
      </c>
      <c r="W29" s="3017" t="s">
        <v>349</v>
      </c>
      <c r="X29" s="3126"/>
      <c r="Y29" s="1857"/>
      <c r="AA29" s="1890"/>
      <c r="AB29" s="1889"/>
      <c r="AC29" s="1889"/>
      <c r="AD29" s="2402"/>
      <c r="AE29" s="2426"/>
      <c r="AF29" s="2402"/>
      <c r="AG29" s="2402"/>
      <c r="AH29" s="2402"/>
    </row>
    <row r="30" spans="1:58" ht="14" customHeight="1" x14ac:dyDescent="0.15">
      <c r="A30" s="3338" t="s">
        <v>215</v>
      </c>
      <c r="B30" s="3339"/>
      <c r="C30" s="3340" t="s">
        <v>157</v>
      </c>
      <c r="D30" s="3341"/>
      <c r="E30" s="3345" t="s">
        <v>213</v>
      </c>
      <c r="F30" s="3346"/>
      <c r="G30" s="3346"/>
      <c r="H30" s="3346"/>
      <c r="I30" s="3347"/>
      <c r="J30" s="342" t="str">
        <f ca="1">IF(Q4=0,"HW Price =","HW Price (3yr) =")</f>
        <v>HW Price =</v>
      </c>
      <c r="K30" s="3119">
        <f ca="1">T30</f>
        <v>38566.5</v>
      </c>
      <c r="L30" s="1721"/>
      <c r="M30" s="1721"/>
      <c r="N30" s="1721"/>
      <c r="O30" s="1721"/>
      <c r="P30" s="1721"/>
      <c r="Q30" s="1721"/>
      <c r="R30" s="770"/>
      <c r="S30" s="2659"/>
      <c r="T30" s="3018">
        <f ca="1">SUM(BE3:BE6)</f>
        <v>38566.5</v>
      </c>
      <c r="U30" s="3038" t="str">
        <f>IF(K25=$H$160,D36*(HWPricing!$I$5+VLOOKUP(T24,GPU_Pricing,2,FALSE)),"")</f>
        <v/>
      </c>
      <c r="V30" s="3019">
        <f>SUM(W13:W14)+V12</f>
        <v>614.29451219458838</v>
      </c>
      <c r="W30" s="3020">
        <f ca="1">BF4</f>
        <v>24000</v>
      </c>
      <c r="X30" s="3127"/>
      <c r="Y30" s="1857"/>
      <c r="AA30" s="1890"/>
      <c r="AB30" s="1889"/>
      <c r="AC30" s="1889"/>
      <c r="AD30" s="2402"/>
      <c r="AE30" s="2402"/>
      <c r="AF30" s="2402"/>
      <c r="AG30" s="2402"/>
      <c r="AH30" s="2402"/>
    </row>
    <row r="31" spans="1:58" s="587" customFormat="1" x14ac:dyDescent="0.15">
      <c r="A31" s="1865" t="s">
        <v>811</v>
      </c>
      <c r="B31" s="1866"/>
      <c r="C31" s="1867"/>
      <c r="D31" s="1883" t="str">
        <f>O33</f>
        <v>Xeon Gold 5122</v>
      </c>
      <c r="E31" s="1887"/>
      <c r="F31" s="1868">
        <f>C33</f>
        <v>0</v>
      </c>
      <c r="G31" s="1869">
        <f>I33</f>
        <v>0</v>
      </c>
      <c r="H31" s="1870">
        <f>K35</f>
        <v>0</v>
      </c>
      <c r="I31" s="1871">
        <f>N33</f>
        <v>4</v>
      </c>
      <c r="J31" s="1872">
        <f>I31*F31</f>
        <v>0</v>
      </c>
      <c r="K31" s="2665">
        <f>H33</f>
        <v>1.0000000000000001E-5</v>
      </c>
      <c r="L31" s="1718"/>
      <c r="M31" s="1719"/>
      <c r="N31" s="1719"/>
      <c r="O31" s="1719"/>
      <c r="P31" s="1719"/>
      <c r="Q31" s="1719"/>
      <c r="R31" s="1720"/>
      <c r="S31" s="2662"/>
      <c r="T31" s="2661" t="s">
        <v>1443</v>
      </c>
      <c r="U31" s="2664">
        <v>35</v>
      </c>
      <c r="V31" s="2662"/>
      <c r="W31" s="2660"/>
      <c r="X31" s="2237"/>
      <c r="Y31" s="1857"/>
      <c r="AA31" s="1890"/>
      <c r="AB31" s="1889"/>
      <c r="AC31" s="1889"/>
      <c r="AD31" s="2402"/>
      <c r="AE31" s="2402"/>
      <c r="AF31" s="2403"/>
      <c r="AG31" s="2403"/>
      <c r="AH31" s="2403"/>
    </row>
    <row r="32" spans="1:58" ht="14" hidden="1" customHeight="1" outlineLevel="1" x14ac:dyDescent="0.15">
      <c r="A32" s="477" t="s">
        <v>22</v>
      </c>
      <c r="B32" s="477" t="s">
        <v>27</v>
      </c>
      <c r="C32" s="477" t="s">
        <v>325</v>
      </c>
      <c r="D32" s="1389" t="s">
        <v>410</v>
      </c>
      <c r="E32" s="1386" t="s">
        <v>97</v>
      </c>
      <c r="F32" s="1390"/>
      <c r="G32" s="321" t="s">
        <v>28</v>
      </c>
      <c r="H32" s="375" t="s">
        <v>347</v>
      </c>
      <c r="I32" s="350" t="s">
        <v>25</v>
      </c>
      <c r="J32" s="335" t="s">
        <v>734</v>
      </c>
      <c r="K32" s="336"/>
      <c r="L32" s="321" t="s">
        <v>779</v>
      </c>
      <c r="M32" s="350" t="s">
        <v>728</v>
      </c>
      <c r="N32" s="517" t="s">
        <v>732</v>
      </c>
      <c r="O32" s="1753" t="s">
        <v>339</v>
      </c>
      <c r="P32" s="1754" t="s">
        <v>433</v>
      </c>
      <c r="Q32" s="375" t="s">
        <v>135</v>
      </c>
      <c r="R32" s="3350"/>
      <c r="S32" s="517" t="s">
        <v>733</v>
      </c>
      <c r="T32" s="1757" t="s">
        <v>31</v>
      </c>
      <c r="U32" s="1758"/>
      <c r="V32" s="1759" t="s">
        <v>735</v>
      </c>
      <c r="W32" s="1854"/>
      <c r="X32" s="3122"/>
      <c r="Y32" s="1857"/>
      <c r="AA32" s="1890"/>
      <c r="AB32" s="1889"/>
      <c r="AC32" s="1889"/>
      <c r="AD32" s="2402"/>
      <c r="AE32" s="2402"/>
      <c r="AF32" s="2402"/>
      <c r="AG32" s="2402"/>
      <c r="AH32" s="2402"/>
      <c r="AN32" s="587"/>
      <c r="AO32" s="587"/>
      <c r="AP32" s="587"/>
      <c r="BB32" s="2465">
        <v>2.8000000000000001E-2</v>
      </c>
    </row>
    <row r="33" spans="1:54" ht="14" hidden="1" customHeight="1" outlineLevel="1" x14ac:dyDescent="0.15">
      <c r="A33" s="374" t="str">
        <f>A10</f>
        <v>Minimum</v>
      </c>
      <c r="B33" s="479" t="s">
        <v>731</v>
      </c>
      <c r="C33" s="479">
        <f>IF(L33=0,0,IF(D36,D36,IF($A$33=B135,M34+1,M34)))</f>
        <v>0</v>
      </c>
      <c r="D33" s="3342" t="str">
        <f>D10</f>
        <v>Xeon Gold 5122 4 core (1 chip) 3600 MHz</v>
      </c>
      <c r="E33" s="3329"/>
      <c r="F33" s="3330"/>
      <c r="G33" s="425">
        <v>0.8</v>
      </c>
      <c r="H33" s="1388">
        <f>IF(K33&gt;0,C$6/(C33*K33),0.00001)</f>
        <v>1.0000000000000001E-5</v>
      </c>
      <c r="I33" s="1393">
        <f>IF(L33=0,0,ROUND(MAX(N33*3,(IF(K29=$H$158,0,I11*C11*N35)+IF(K25=$H$158,0,I10*C10)+IF(K21=$H$158,0,I9*C9))/M34),0)+N33)</f>
        <v>0</v>
      </c>
      <c r="J33" s="1745">
        <f ca="1">IF(D6=0,0,G33*K33/B$6)</f>
        <v>0</v>
      </c>
      <c r="K33" s="1746">
        <f>IF(L33&gt;0,60*N33/L33,0)</f>
        <v>0</v>
      </c>
      <c r="L33" s="1384">
        <f>IF(M36&gt;0,M36,N36)*(L26+L22+L18)</f>
        <v>0</v>
      </c>
      <c r="M33" s="1385">
        <f>H33/((1+H33*(N33-1))*(1-H33))</f>
        <v>9.9998000069997993E-6</v>
      </c>
      <c r="N33" s="1751">
        <f>VLOOKUP($D33,HWRange,3,FALSE)</f>
        <v>4</v>
      </c>
      <c r="O33" s="1398" t="str">
        <f>VLOOKUP($D33,HWRange,2,FALSE)</f>
        <v>Xeon Gold 5122</v>
      </c>
      <c r="P33" s="1401">
        <f>VLOOKUP($D33,HWRange,5,FALSE)</f>
        <v>3600</v>
      </c>
      <c r="Q33" s="1752"/>
      <c r="R33" s="3350"/>
      <c r="S33" s="812">
        <f>N33*C33</f>
        <v>0</v>
      </c>
      <c r="T33" s="352">
        <f>IF($K$25=$H$158,VLOOKUP($D33,HWRange,7,FALSE),IF($K$24&gt;VLOOKUP($D33,HWRange,3,FALSE),VLOOKUP($D33,HWRange,7,FALSE)*VLOOKUP($D33,HWRange,3,FALSE)/$K$24,VLOOKUP($D33,HWRange,7,FALSE)))</f>
        <v>69.75</v>
      </c>
      <c r="U33" s="1747">
        <f>IF($K$25=$H$158,VLOOKUP($D33,HWRange,6,FALSE),VLOOKUP($D33,HWRange,6,FALSE)*$K$24/VLOOKUP($D33,HWRange,3,FALSE))</f>
        <v>279</v>
      </c>
      <c r="V33" s="1745">
        <f ca="1">J33*C33</f>
        <v>0</v>
      </c>
      <c r="W33" s="1855">
        <f>K33*C33</f>
        <v>0</v>
      </c>
      <c r="X33" s="3128"/>
      <c r="Y33" s="1857"/>
      <c r="AA33" s="1890"/>
      <c r="AB33" s="1889"/>
      <c r="AC33" s="1889"/>
      <c r="AD33" s="2402"/>
      <c r="AE33" s="2402"/>
      <c r="AF33" s="2402"/>
      <c r="AG33" s="2402"/>
      <c r="AH33" s="2402"/>
      <c r="AN33" s="587"/>
      <c r="AO33" s="587"/>
      <c r="AP33" s="587"/>
      <c r="BB33" s="2465">
        <v>2.8000000000000001E-2</v>
      </c>
    </row>
    <row r="34" spans="1:54" ht="14" hidden="1" customHeight="1" outlineLevel="1" x14ac:dyDescent="0.15">
      <c r="A34" s="3343" t="s">
        <v>719</v>
      </c>
      <c r="B34" s="3344"/>
      <c r="C34" s="3344"/>
      <c r="D34" s="3107"/>
      <c r="E34" s="500">
        <f t="shared" ref="E34:J34" ca="1" si="7">IF(E35=0,0,$H$33)</f>
        <v>0</v>
      </c>
      <c r="F34" s="500">
        <f t="shared" ca="1" si="7"/>
        <v>0</v>
      </c>
      <c r="G34" s="500">
        <f t="shared" ca="1" si="7"/>
        <v>0</v>
      </c>
      <c r="H34" s="500">
        <f t="shared" ca="1" si="7"/>
        <v>0</v>
      </c>
      <c r="I34" s="500">
        <f t="shared" ca="1" si="7"/>
        <v>0</v>
      </c>
      <c r="J34" s="500">
        <f t="shared" ca="1" si="7"/>
        <v>0</v>
      </c>
      <c r="K34" s="478" t="str">
        <f>L34&amp;" OS"</f>
        <v>Windows OS</v>
      </c>
      <c r="L34" s="811" t="s">
        <v>412</v>
      </c>
      <c r="M34" s="2078">
        <f>IF(K33&gt;0,+INT(C$6/(G33*K33))+1,0)</f>
        <v>0</v>
      </c>
      <c r="N34" s="1873" t="b">
        <f ca="1">AND(IF(OR($C$9=0,$K$21=$H$158),1,$D$9=$D$33),IF(OR($C$10=0,$K$25=$H$158),1,$D$10=$D$33),IF(OR($C$11=0,$K$29=$H$158),1,$D$11=$D$33))=FALSE</f>
        <v>0</v>
      </c>
      <c r="O34" s="3033">
        <f>VLOOKUP(D33,HWRange,8,FALSE)</f>
        <v>1</v>
      </c>
      <c r="P34" s="859"/>
      <c r="Q34" s="1677"/>
      <c r="R34" s="3351"/>
      <c r="S34" s="2557" t="str">
        <f ca="1">IF($H$10=0,0,"Peak System")</f>
        <v>Peak System</v>
      </c>
      <c r="T34" s="443" t="str">
        <f ca="1">IF($H$10=0,0,"Peak/node")</f>
        <v>Peak/node</v>
      </c>
      <c r="U34" s="2846" t="s">
        <v>1488</v>
      </c>
      <c r="V34" s="2849" t="s">
        <v>1489</v>
      </c>
      <c r="W34" s="2850">
        <f>T24/2</f>
        <v>12</v>
      </c>
      <c r="X34" s="3129"/>
      <c r="Y34" s="1859"/>
      <c r="Z34" s="1311"/>
      <c r="AA34" s="1890"/>
      <c r="AB34" s="1889"/>
      <c r="AC34" s="1889"/>
      <c r="AD34" s="2402"/>
      <c r="AE34" s="2402"/>
      <c r="AF34" s="2402"/>
      <c r="AG34" s="2402"/>
      <c r="AH34" s="2402"/>
      <c r="AN34" s="587"/>
      <c r="AO34" s="587"/>
      <c r="AP34" s="587"/>
    </row>
    <row r="35" spans="1:54" ht="14" hidden="1" customHeight="1" outlineLevel="1" x14ac:dyDescent="0.15">
      <c r="A35" s="3343"/>
      <c r="B35" s="3344"/>
      <c r="C35" s="3344"/>
      <c r="D35" s="3106" t="s">
        <v>325</v>
      </c>
      <c r="E35" s="501">
        <f ca="1">IF($D$7="valid workflow",IF(L33&gt;0,1,0),0)</f>
        <v>0</v>
      </c>
      <c r="F35" s="499">
        <f ca="1">IF(E35&gt;0,IF($C$33&gt;E35,E35+1,0),0)</f>
        <v>0</v>
      </c>
      <c r="G35" s="499">
        <f ca="1">IF(F35&gt;0,IF($C$33&gt;F35,F35+1,0),0)</f>
        <v>0</v>
      </c>
      <c r="H35" s="499">
        <f ca="1">IF(G35&gt;0,IF($C$33&gt;G35,G35+1,0),0)</f>
        <v>0</v>
      </c>
      <c r="I35" s="499">
        <f ca="1">IF(H35&gt;0,IF($C$33&gt;H35,H35+1,0),0)</f>
        <v>0</v>
      </c>
      <c r="J35" s="499">
        <f ca="1">IF(I35&gt;0,IF($C$33&gt;5,"…"&amp;C33,0),0)</f>
        <v>0</v>
      </c>
      <c r="K35" s="1748">
        <f>N18+N22+N26</f>
        <v>0</v>
      </c>
      <c r="L35" s="741" t="s">
        <v>63</v>
      </c>
      <c r="M35" s="741"/>
      <c r="N35" s="2077">
        <f>IF(F27=B137,2,1)</f>
        <v>1</v>
      </c>
      <c r="O35" s="2406"/>
      <c r="P35" s="859"/>
      <c r="Q35" s="1677"/>
      <c r="R35" s="3351"/>
      <c r="S35" s="2558">
        <f>IF($H$33&lt;0.01,0,$G$33*$C$6*60/$H$33)</f>
        <v>0</v>
      </c>
      <c r="T35" s="526" t="str">
        <f>IF(H33&gt;0.01,G33*A6/(H33*C33),"")</f>
        <v/>
      </c>
      <c r="U35" s="2847">
        <f>VLOOKUP(D33,HWRange,8,FALSE)*W34</f>
        <v>12</v>
      </c>
      <c r="V35" s="2848">
        <f ca="1">C10/U35</f>
        <v>0.16666666666666666</v>
      </c>
      <c r="Y35" s="1857"/>
      <c r="AC35" s="1889"/>
      <c r="AD35" s="2402"/>
      <c r="AE35" s="2402"/>
      <c r="AF35" s="2402"/>
      <c r="AG35" s="2402"/>
      <c r="AH35" s="2402"/>
      <c r="BB35" s="587"/>
    </row>
    <row r="36" spans="1:54" ht="14" hidden="1" customHeight="1" outlineLevel="1" x14ac:dyDescent="0.15">
      <c r="A36" s="1380"/>
      <c r="B36" s="1381"/>
      <c r="C36" s="1382"/>
      <c r="D36" s="332"/>
      <c r="E36" s="1700" t="str">
        <f>C33&amp;"x "&amp;" VM Host ("&amp;N33&amp;" physical "&amp;K35&amp;" virtual core "&amp;I33&amp;" GB RAM/node)" &amp;" "&amp;O33&amp;" "&amp;P33&amp;" MHz "</f>
        <v xml:space="preserve">0x  VM Host (4 physical 0 virtual core 0 GB RAM/node) Xeon Gold 5122 3600 MHz </v>
      </c>
      <c r="F36" s="1701"/>
      <c r="G36" s="1701"/>
      <c r="H36" s="1701"/>
      <c r="I36" s="1701"/>
      <c r="J36" s="1702"/>
      <c r="K36" s="1699" t="s">
        <v>408</v>
      </c>
      <c r="L36" s="1379"/>
      <c r="M36" s="2454"/>
      <c r="N36" s="2371">
        <f>1+U31/100</f>
        <v>1.35</v>
      </c>
      <c r="O36" s="2664">
        <f>U31</f>
        <v>35</v>
      </c>
      <c r="P36" s="1679"/>
      <c r="Q36" s="1678"/>
      <c r="R36" s="3351"/>
      <c r="Y36" s="1860"/>
      <c r="AC36" s="1889"/>
      <c r="AD36" s="2402"/>
      <c r="AE36" s="2402"/>
      <c r="AF36" s="2402"/>
      <c r="AG36" s="2402"/>
      <c r="AH36" s="2402"/>
      <c r="BB36" s="587"/>
    </row>
    <row r="37" spans="1:54" s="587" customFormat="1" collapsed="1" x14ac:dyDescent="0.15">
      <c r="B37" s="1254"/>
      <c r="C37" s="1255"/>
      <c r="D37" s="2426"/>
      <c r="E37" s="1056"/>
      <c r="F37" s="1056"/>
      <c r="L37" s="1253"/>
      <c r="R37" s="589"/>
      <c r="AC37" s="1889"/>
      <c r="AD37" s="2403"/>
      <c r="AE37" s="2403"/>
      <c r="AF37" s="2403"/>
      <c r="AG37" s="2403"/>
      <c r="AH37" s="2403"/>
      <c r="AI37" s="2412"/>
    </row>
    <row r="38" spans="1:54" s="587" customFormat="1" x14ac:dyDescent="0.15">
      <c r="B38" s="1254"/>
      <c r="C38" s="1255"/>
      <c r="D38" s="320"/>
      <c r="E38" s="859"/>
      <c r="F38" s="2493"/>
      <c r="G38" s="1355"/>
      <c r="J38" s="2412"/>
      <c r="K38" s="1253"/>
      <c r="L38" s="1253"/>
      <c r="M38" s="1253"/>
      <c r="N38" s="2388"/>
      <c r="O38" s="859"/>
      <c r="R38" s="589"/>
      <c r="S38" s="859"/>
      <c r="AF38" s="589"/>
      <c r="AG38" s="589"/>
    </row>
    <row r="39" spans="1:54" s="587" customFormat="1" ht="13.5" customHeight="1" x14ac:dyDescent="0.2">
      <c r="B39" s="2047"/>
      <c r="C39" s="3197"/>
      <c r="D39" s="3197"/>
      <c r="E39" s="2493"/>
      <c r="F39" s="2493"/>
      <c r="G39" s="1355"/>
      <c r="J39" s="2412"/>
      <c r="L39" s="1253"/>
      <c r="M39" s="1253"/>
      <c r="N39" s="2388"/>
      <c r="O39" s="859"/>
      <c r="R39" s="589"/>
      <c r="AF39" s="589"/>
      <c r="AG39" s="589"/>
    </row>
    <row r="40" spans="1:54" s="587" customFormat="1" ht="14" x14ac:dyDescent="0.15">
      <c r="B40" s="2170"/>
      <c r="C40" s="3197"/>
      <c r="D40" s="3197"/>
      <c r="E40" s="2494"/>
      <c r="F40" s="2493"/>
      <c r="G40" s="1355"/>
      <c r="J40" s="2412"/>
      <c r="L40" s="1253"/>
      <c r="R40" s="589"/>
      <c r="AF40" s="589"/>
      <c r="AG40" s="589"/>
    </row>
    <row r="41" spans="1:54" s="587" customFormat="1" ht="14" x14ac:dyDescent="0.15">
      <c r="B41" s="2170"/>
      <c r="C41" s="1255"/>
      <c r="D41" s="1716"/>
      <c r="E41" s="2494"/>
      <c r="F41" s="2493"/>
      <c r="G41" s="1355"/>
      <c r="L41" s="1253"/>
      <c r="M41" s="2388"/>
      <c r="N41" s="859"/>
      <c r="R41" s="589"/>
      <c r="AF41" s="589"/>
      <c r="AG41" s="589"/>
    </row>
    <row r="42" spans="1:54" s="587" customFormat="1" ht="14" x14ac:dyDescent="0.15">
      <c r="B42" s="2170"/>
      <c r="C42" s="1255"/>
      <c r="D42" s="1716"/>
      <c r="E42" s="2493"/>
      <c r="F42" s="2493"/>
      <c r="G42" s="1355"/>
      <c r="J42" s="2049"/>
      <c r="L42" s="1253"/>
      <c r="M42" s="859"/>
      <c r="N42" s="859"/>
      <c r="R42" s="589"/>
      <c r="AF42" s="589"/>
      <c r="AG42" s="589"/>
    </row>
    <row r="43" spans="1:54" s="587" customFormat="1" ht="14" x14ac:dyDescent="0.15">
      <c r="B43" s="2170"/>
      <c r="C43" s="1255"/>
      <c r="D43" s="1716"/>
      <c r="E43" s="2494"/>
      <c r="F43" s="2493"/>
      <c r="G43" s="1355"/>
      <c r="L43" s="1253"/>
      <c r="M43" s="2388"/>
      <c r="N43" s="859"/>
      <c r="R43" s="589"/>
      <c r="AF43" s="589"/>
      <c r="AG43" s="589"/>
    </row>
    <row r="44" spans="1:54" s="587" customFormat="1" ht="14" x14ac:dyDescent="0.15">
      <c r="B44" s="2170"/>
      <c r="C44" s="1255"/>
      <c r="D44" s="1716"/>
      <c r="E44" s="2493"/>
      <c r="F44" s="2493"/>
      <c r="G44" s="1355"/>
      <c r="J44" s="2049"/>
      <c r="L44" s="1253"/>
      <c r="M44" s="859"/>
      <c r="N44" s="859"/>
      <c r="R44" s="589"/>
      <c r="AF44" s="589"/>
      <c r="AG44" s="589"/>
    </row>
    <row r="45" spans="1:54" s="587" customFormat="1" x14ac:dyDescent="0.15">
      <c r="B45" s="1254"/>
      <c r="C45" s="1255"/>
      <c r="D45" s="1056"/>
      <c r="E45" s="1056"/>
      <c r="F45" s="1056"/>
      <c r="J45" s="2049"/>
      <c r="L45" s="1253"/>
      <c r="M45" s="2087"/>
      <c r="N45" s="2087"/>
      <c r="R45" s="589"/>
      <c r="AF45" s="589"/>
      <c r="AG45" s="589"/>
      <c r="BB45" s="320"/>
    </row>
    <row r="46" spans="1:54" s="587" customFormat="1" x14ac:dyDescent="0.15">
      <c r="B46" s="1252"/>
      <c r="C46" s="1255"/>
      <c r="D46" s="589"/>
      <c r="E46" s="589"/>
      <c r="F46" s="589"/>
      <c r="J46" s="2049"/>
      <c r="L46" s="1253"/>
      <c r="R46" s="589"/>
      <c r="AF46" s="589"/>
      <c r="AG46" s="589"/>
      <c r="BB46" s="320"/>
    </row>
    <row r="47" spans="1:54" x14ac:dyDescent="0.15">
      <c r="C47" s="1255"/>
      <c r="H47" s="587"/>
      <c r="I47" s="587"/>
      <c r="J47" s="2049"/>
      <c r="K47" s="587"/>
      <c r="L47" s="1253"/>
    </row>
    <row r="48" spans="1:54" x14ac:dyDescent="0.15">
      <c r="C48" s="1255"/>
      <c r="H48" s="587"/>
      <c r="I48" s="587"/>
      <c r="J48" s="2049"/>
      <c r="K48" s="587"/>
      <c r="L48" s="1253"/>
    </row>
    <row r="49" spans="1:54" x14ac:dyDescent="0.15">
      <c r="C49" s="1255"/>
      <c r="H49" s="587"/>
      <c r="I49" s="587"/>
      <c r="J49" s="2049"/>
      <c r="K49" s="587"/>
      <c r="L49" s="1253"/>
    </row>
    <row r="50" spans="1:54" x14ac:dyDescent="0.15">
      <c r="C50" s="1255"/>
      <c r="H50" s="587"/>
      <c r="I50" s="587"/>
      <c r="J50" s="2049"/>
      <c r="K50" s="587"/>
      <c r="L50" s="1253"/>
    </row>
    <row r="51" spans="1:54" x14ac:dyDescent="0.15">
      <c r="C51" s="1255"/>
      <c r="H51" s="587"/>
      <c r="I51" s="587"/>
      <c r="J51" s="2049"/>
      <c r="K51" s="587"/>
      <c r="L51" s="1253"/>
    </row>
    <row r="52" spans="1:54" x14ac:dyDescent="0.15">
      <c r="C52" s="1255"/>
      <c r="H52" s="587"/>
      <c r="I52" s="587"/>
      <c r="J52" s="2049"/>
      <c r="K52" s="587"/>
      <c r="L52" s="1253"/>
    </row>
    <row r="53" spans="1:54" x14ac:dyDescent="0.15">
      <c r="C53" s="486"/>
      <c r="H53" s="587"/>
      <c r="I53" s="587"/>
      <c r="J53" s="2049"/>
      <c r="K53" s="587"/>
      <c r="L53" s="1253"/>
    </row>
    <row r="54" spans="1:54" x14ac:dyDescent="0.15">
      <c r="C54" s="486"/>
      <c r="H54" s="587"/>
      <c r="I54" s="587"/>
      <c r="J54" s="2049"/>
      <c r="K54" s="587"/>
      <c r="L54" s="1253"/>
    </row>
    <row r="55" spans="1:54" x14ac:dyDescent="0.15">
      <c r="C55" s="486"/>
      <c r="H55" s="587"/>
      <c r="I55" s="587"/>
      <c r="J55" s="2049"/>
      <c r="K55" s="587"/>
      <c r="L55" s="1253"/>
    </row>
    <row r="56" spans="1:54" x14ac:dyDescent="0.15">
      <c r="C56" s="486"/>
      <c r="H56" s="587"/>
      <c r="I56" s="587"/>
      <c r="J56" s="2049"/>
      <c r="K56" s="587"/>
      <c r="L56" s="1253"/>
    </row>
    <row r="57" spans="1:54" x14ac:dyDescent="0.15">
      <c r="C57" s="486"/>
      <c r="H57" s="587"/>
      <c r="I57" s="587"/>
      <c r="J57" s="2049"/>
      <c r="K57" s="587"/>
      <c r="L57" s="1253"/>
      <c r="BB57" s="217"/>
    </row>
    <row r="58" spans="1:54" x14ac:dyDescent="0.15">
      <c r="C58" s="1049"/>
      <c r="D58" s="325"/>
      <c r="K58" s="325"/>
      <c r="L58" s="325"/>
      <c r="BB58"/>
    </row>
    <row r="59" spans="1:54" s="217" customFormat="1" x14ac:dyDescent="0.15">
      <c r="A59" s="998"/>
      <c r="B59" s="998"/>
      <c r="C59" s="998"/>
      <c r="D59" s="998"/>
      <c r="L59" s="737"/>
      <c r="S59" s="1225"/>
      <c r="AF59" s="2673"/>
      <c r="AG59" s="2673"/>
      <c r="BB59"/>
    </row>
    <row r="60" spans="1:54" s="217" customFormat="1" x14ac:dyDescent="0.15">
      <c r="A60" s="998"/>
      <c r="B60" s="998"/>
      <c r="C60" s="998"/>
      <c r="D60" s="998"/>
      <c r="L60" s="737"/>
      <c r="S60" s="1225"/>
      <c r="AF60" s="2673"/>
      <c r="AG60" s="2673"/>
      <c r="BB60"/>
    </row>
    <row r="61" spans="1:54" s="217" customFormat="1" x14ac:dyDescent="0.15">
      <c r="A61" s="998"/>
      <c r="B61" s="998"/>
      <c r="C61" s="998"/>
      <c r="D61" s="998"/>
      <c r="L61" s="737"/>
      <c r="S61" s="1225"/>
      <c r="AF61" s="2673"/>
      <c r="AG61" s="2673"/>
      <c r="BB61"/>
    </row>
    <row r="62" spans="1:54" s="217" customFormat="1" x14ac:dyDescent="0.15">
      <c r="A62" s="998"/>
      <c r="B62" s="998"/>
      <c r="C62" s="998"/>
      <c r="D62" s="998"/>
      <c r="L62" s="737"/>
      <c r="S62" s="1225"/>
      <c r="AF62" s="2673"/>
      <c r="AG62" s="2673"/>
      <c r="BB62"/>
    </row>
    <row r="63" spans="1:54" s="217" customFormat="1" x14ac:dyDescent="0.15">
      <c r="A63" s="998"/>
      <c r="B63" s="998"/>
      <c r="C63" s="998"/>
      <c r="D63" s="998"/>
      <c r="L63" s="737"/>
      <c r="S63" s="1225"/>
      <c r="AF63" s="2673"/>
      <c r="AG63" s="2673"/>
      <c r="BB63"/>
    </row>
    <row r="64" spans="1:54" s="217" customFormat="1" x14ac:dyDescent="0.15">
      <c r="A64" s="998"/>
      <c r="B64" s="998"/>
      <c r="C64" s="998"/>
      <c r="D64" s="998"/>
      <c r="L64" s="737"/>
      <c r="S64" s="1225"/>
      <c r="AF64" s="2673"/>
      <c r="AG64" s="2673"/>
      <c r="BB64"/>
    </row>
    <row r="65" spans="1:54" s="217" customFormat="1" x14ac:dyDescent="0.15">
      <c r="A65" s="998"/>
      <c r="B65" s="998"/>
      <c r="C65" s="998"/>
      <c r="D65" s="998"/>
      <c r="L65" s="737"/>
      <c r="S65" s="1225"/>
      <c r="AF65" s="2673"/>
      <c r="AG65" s="2673"/>
      <c r="BB65"/>
    </row>
    <row r="66" spans="1:54" s="217" customFormat="1" x14ac:dyDescent="0.15">
      <c r="A66" s="998"/>
      <c r="B66" s="998"/>
      <c r="C66" s="998"/>
      <c r="D66" s="998"/>
      <c r="L66" s="737"/>
      <c r="S66" s="1225"/>
      <c r="AF66" s="2673"/>
      <c r="AG66" s="2673"/>
      <c r="BB66"/>
    </row>
    <row r="67" spans="1:54" s="217" customFormat="1" x14ac:dyDescent="0.15">
      <c r="A67" s="998"/>
      <c r="B67" s="998"/>
      <c r="C67" s="998"/>
      <c r="D67" s="998"/>
      <c r="L67" s="737"/>
      <c r="S67" s="1225"/>
      <c r="AF67" s="2673"/>
      <c r="AG67" s="2673"/>
      <c r="BB67"/>
    </row>
    <row r="68" spans="1:54" s="217" customFormat="1" x14ac:dyDescent="0.15">
      <c r="A68" s="998"/>
      <c r="B68" s="998"/>
      <c r="C68" s="998"/>
      <c r="D68" s="998"/>
      <c r="L68" s="737"/>
      <c r="S68" s="1225"/>
      <c r="AF68" s="2673"/>
      <c r="AG68" s="2673"/>
      <c r="BB68"/>
    </row>
    <row r="69" spans="1:54" s="217" customFormat="1" x14ac:dyDescent="0.15">
      <c r="A69" s="998"/>
      <c r="B69" s="998"/>
      <c r="C69" s="998"/>
      <c r="D69" s="998"/>
      <c r="L69" s="737"/>
      <c r="S69" s="1225"/>
      <c r="AF69" s="2673"/>
      <c r="AG69" s="2673"/>
      <c r="BB69"/>
    </row>
    <row r="70" spans="1:54" s="217" customFormat="1" x14ac:dyDescent="0.15">
      <c r="A70" s="998"/>
      <c r="B70" s="998"/>
      <c r="C70" s="998"/>
      <c r="D70" s="998"/>
      <c r="L70" s="737"/>
      <c r="S70" s="1225"/>
      <c r="AF70" s="2673"/>
      <c r="AG70" s="2673"/>
      <c r="BB70"/>
    </row>
    <row r="71" spans="1:54" s="217" customFormat="1" x14ac:dyDescent="0.15">
      <c r="A71" s="998"/>
      <c r="B71" s="998"/>
      <c r="C71" s="998"/>
      <c r="D71" s="998"/>
      <c r="L71" s="737"/>
      <c r="S71" s="1225"/>
      <c r="AF71" s="2673"/>
      <c r="AG71" s="2673"/>
      <c r="BB71"/>
    </row>
    <row r="72" spans="1:54" s="217" customFormat="1" x14ac:dyDescent="0.15">
      <c r="A72" s="998"/>
      <c r="B72" s="998"/>
      <c r="C72" s="998"/>
      <c r="D72" s="998"/>
      <c r="L72" s="737"/>
      <c r="S72" s="1225"/>
      <c r="AF72" s="2673"/>
      <c r="AG72" s="2673"/>
      <c r="BB72"/>
    </row>
    <row r="73" spans="1:54" s="217" customFormat="1" x14ac:dyDescent="0.15">
      <c r="A73" s="998"/>
      <c r="B73" s="998"/>
      <c r="C73" s="998"/>
      <c r="D73" s="998"/>
      <c r="L73" s="737"/>
      <c r="S73" s="1225"/>
      <c r="AF73" s="2673"/>
      <c r="AG73" s="2673"/>
      <c r="BB73"/>
    </row>
    <row r="74" spans="1:54" customFormat="1" hidden="1" outlineLevel="1" x14ac:dyDescent="0.15">
      <c r="A74" s="997"/>
      <c r="B74" s="988"/>
      <c r="C74" s="953" t="s">
        <v>258</v>
      </c>
      <c r="D74" s="953" t="s">
        <v>250</v>
      </c>
      <c r="E74" s="326" t="str">
        <f>E81</f>
        <v>Citrix</v>
      </c>
      <c r="F74" s="326" t="s">
        <v>304</v>
      </c>
      <c r="G74" s="1969" t="s">
        <v>970</v>
      </c>
      <c r="H74" s="326" t="s">
        <v>312</v>
      </c>
      <c r="I74" s="1969" t="s">
        <v>1239</v>
      </c>
      <c r="J74" s="326" t="s">
        <v>350</v>
      </c>
      <c r="K74" s="326" t="s">
        <v>309</v>
      </c>
      <c r="L74" s="422" t="s">
        <v>273</v>
      </c>
      <c r="M74" s="1023"/>
      <c r="N74" s="320"/>
      <c r="S74" s="986"/>
      <c r="T74" s="986"/>
      <c r="AF74" s="2338"/>
      <c r="AG74" s="2338"/>
    </row>
    <row r="75" spans="1:54" customFormat="1" hidden="1" outlineLevel="1" x14ac:dyDescent="0.15">
      <c r="A75" s="3336" t="s">
        <v>259</v>
      </c>
      <c r="B75" s="3337"/>
      <c r="C75" s="958">
        <f>C79*C78</f>
        <v>2.1339999999999999</v>
      </c>
      <c r="D75" s="959">
        <f>IF(P6=B93,0.1,D79*D78*D77)</f>
        <v>2.4874493927125509E-2</v>
      </c>
      <c r="E75" s="959">
        <f ca="1">IF(P6=B93,0.1,E79*E78*E77*E76)</f>
        <v>0</v>
      </c>
      <c r="F75" s="959">
        <f>IF($P6=$B93,0.1,F79*F77*F76)</f>
        <v>7.340501792114696E-3</v>
      </c>
      <c r="G75" s="959">
        <f>IF($P6=$B93,0.1,G79*G77*G76)</f>
        <v>0</v>
      </c>
      <c r="H75" s="2567">
        <f ca="1">IF(P6=B93,0.1,H79*H78*H77*H76)</f>
        <v>0.17573794018817201</v>
      </c>
      <c r="I75" s="959">
        <f>IF(P6=B93,0.1,I79*I78*I77*I76)</f>
        <v>0</v>
      </c>
      <c r="J75" s="958">
        <f>IF(C30=C131,J79*J78,VLOOKUP(E30,wfRange,10,FALSE))</f>
        <v>20.010000000000002</v>
      </c>
      <c r="K75" s="959">
        <f>IF(P6=B93,0.1,K79*K78*K77*K76)</f>
        <v>3.0037669469086016E-2</v>
      </c>
      <c r="L75" s="959">
        <f ca="1">SUM(D75:I75)+K75</f>
        <v>0.23799060537649822</v>
      </c>
      <c r="M75" s="1023"/>
      <c r="N75" s="320"/>
      <c r="T75" s="986"/>
      <c r="Z75" s="1023"/>
      <c r="AA75" s="2197"/>
      <c r="AB75" s="2197"/>
      <c r="AF75" s="2338"/>
      <c r="AG75" s="2338"/>
    </row>
    <row r="76" spans="1:54" customFormat="1" hidden="1" outlineLevel="1" x14ac:dyDescent="0.15">
      <c r="A76" s="999" t="s">
        <v>674</v>
      </c>
      <c r="B76" s="1015"/>
      <c r="C76" s="1015"/>
      <c r="D76" s="1015"/>
      <c r="E76" s="1016">
        <f ca="1">L25</f>
        <v>1</v>
      </c>
      <c r="F76" s="1017">
        <f>IF($A9=$B128,$L21,$L25)</f>
        <v>1</v>
      </c>
      <c r="G76" s="1017">
        <f>IF($A9=$B128,$L21,$L25)</f>
        <v>1</v>
      </c>
      <c r="H76" s="1016">
        <f ca="1">L25</f>
        <v>1</v>
      </c>
      <c r="I76" s="1018">
        <f>IF(OR(A9=B130,A11=B139),L25,L29)</f>
        <v>1</v>
      </c>
      <c r="J76" s="1015"/>
      <c r="K76" s="1016">
        <f>IF($A9=$B130,H76,L29)</f>
        <v>1</v>
      </c>
      <c r="L76" s="1019"/>
      <c r="N76" s="320"/>
      <c r="AF76" s="2338"/>
      <c r="AG76" s="2338"/>
    </row>
    <row r="77" spans="1:54" customFormat="1" hidden="1" outlineLevel="1" x14ac:dyDescent="0.15">
      <c r="A77" s="999" t="s">
        <v>314</v>
      </c>
      <c r="B77" s="988"/>
      <c r="C77" s="988"/>
      <c r="D77" s="991">
        <f>I101/H15</f>
        <v>1.1983805668016194</v>
      </c>
      <c r="E77" s="991">
        <f>I101/T10</f>
        <v>1.0609318996415771</v>
      </c>
      <c r="F77" s="991">
        <f>$I$101/IF($A9=$B128,$T9,$T10)</f>
        <v>1.0609318996415771</v>
      </c>
      <c r="G77" s="991">
        <f>$I$101/IF($A9=$B128,$T9,$T10)</f>
        <v>1.0609318996415771</v>
      </c>
      <c r="H77" s="991">
        <f>I101/T10</f>
        <v>1.0609318996415771</v>
      </c>
      <c r="I77" s="991">
        <f>I101/IF(OR(A9=B130,A11=B139),IF(B88="",N15,T10),T11)</f>
        <v>1.0609318996415771</v>
      </c>
      <c r="J77" s="988"/>
      <c r="K77" s="991">
        <f>IF($A9=$B130,H77,I101/T11)</f>
        <v>1.0609318996415771</v>
      </c>
      <c r="L77" s="990"/>
      <c r="N77" s="320"/>
      <c r="AF77" s="2338"/>
      <c r="AG77" s="2338"/>
    </row>
    <row r="78" spans="1:54" customFormat="1" hidden="1" outlineLevel="1" x14ac:dyDescent="0.15">
      <c r="A78" s="1011" t="s">
        <v>264</v>
      </c>
      <c r="B78" s="1012" t="str">
        <f>IF(ISERROR(FIND("_",J6)),J6,LEFT(J6,FIND("_",J6)-1))</f>
        <v>DB</v>
      </c>
      <c r="C78" s="1068">
        <f>IF(VLOOKUP(P6,WFbaseline,L100,FALSE)=B94,VLOOKUP(J6,DataArray,5,FALSE),1)</f>
        <v>1</v>
      </c>
      <c r="D78" s="1016">
        <f>IF(VLOOKUP(P6,WFbaseline,L100,FALSE)=B94,VLOOKUP(J6,DataArray,4,FALSE),1)</f>
        <v>1</v>
      </c>
      <c r="E78" s="989">
        <f>VLOOKUP(J6,DataArray,4,FALSE)</f>
        <v>1</v>
      </c>
      <c r="F78" s="993"/>
      <c r="G78" s="993"/>
      <c r="H78" s="989">
        <f>VLOOKUP(J6,DataArray,4,FALSE)</f>
        <v>1</v>
      </c>
      <c r="I78" s="994">
        <f>IF(A11=C137,0,VLOOKUP(J6,DataArray,3,FALSE))</f>
        <v>0</v>
      </c>
      <c r="J78" s="992">
        <f>VLOOKUP(J6,DataArray,5,FALSE)</f>
        <v>1</v>
      </c>
      <c r="K78" s="992">
        <f>IF(OR(J6=C163,J6=C171),1,0)</f>
        <v>1</v>
      </c>
      <c r="L78" s="995"/>
      <c r="N78" s="320"/>
      <c r="AF78" s="2338"/>
      <c r="AG78" s="2338"/>
    </row>
    <row r="79" spans="1:54" customFormat="1" hidden="1" outlineLevel="1" x14ac:dyDescent="0.15">
      <c r="A79" s="1009" t="s">
        <v>265</v>
      </c>
      <c r="B79" s="1010"/>
      <c r="C79" s="1013">
        <f>+IF(L15=B132,0,C82)</f>
        <v>2.1339999999999999</v>
      </c>
      <c r="D79" s="1229">
        <f>+IF(L15=B132,0,IF(VLOOKUP(P6,WFbaseline,L100,FALSE)=B94,IF(OR(J6=C163,J6=C174),D82,D82+I82+K82),D82))</f>
        <v>2.0756756756756759E-2</v>
      </c>
      <c r="E79" s="1229">
        <f>IF(VLOOKUP(P6,WFbaseline,L100,FALSE)=B96,IF(OR(J6=C163,J6=C174),E82,E82+I82+K82),E82)</f>
        <v>0</v>
      </c>
      <c r="F79" s="1229">
        <f>+F82</f>
        <v>6.9189189189189197E-3</v>
      </c>
      <c r="G79" s="1229">
        <f>+G82</f>
        <v>0</v>
      </c>
      <c r="H79" s="2568">
        <f>IF(VLOOKUP(P6,WFbaseline,L100,FALSE)=B98,IF(OR(J6=C163,J6=C171),H82,H82+I82+K82),H82)+IF(L15=B132,D82,0)</f>
        <v>0.16564488281249998</v>
      </c>
      <c r="I79" s="1229">
        <f>IF(OR(J6=C163,P2=N1),I82,0)</f>
        <v>0</v>
      </c>
      <c r="J79" s="1014">
        <f>J82</f>
        <v>20.010000000000002</v>
      </c>
      <c r="K79" s="1008">
        <f>IF(OR(J6=C163,J6=C171),K82,0)</f>
        <v>2.8312533046874994E-2</v>
      </c>
      <c r="L79" s="959">
        <f>SUM(D79:I79)+K79</f>
        <v>0.22163309153505065</v>
      </c>
      <c r="N79" s="320"/>
      <c r="AF79" s="2338"/>
      <c r="AG79" s="2338"/>
    </row>
    <row r="80" spans="1:54" customFormat="1" ht="15" hidden="1" outlineLevel="1" x14ac:dyDescent="0.15">
      <c r="A80" s="996" t="s">
        <v>257</v>
      </c>
      <c r="B80" s="987"/>
      <c r="C80" s="383"/>
      <c r="D80" s="1230" t="str">
        <f>IF(C30=C132,E30,IF(K80="",B91&amp;IF(M83="",""," ")&amp;M83&amp;" "&amp;B87&amp;" "&amp;TRIM(B88)&amp;" "&amp;B84&amp;" "&amp;B85*100&amp;"%Dyn "&amp;B86&amp;" "&amp;B89&amp;IF(K5=D116," +$$",""),B91))</f>
        <v>AGS REST 2D V Hvy 100%Dyn 13x7 PNG24</v>
      </c>
      <c r="E80" s="1231"/>
      <c r="F80" s="1231"/>
      <c r="G80" s="1231"/>
      <c r="H80" s="1231"/>
      <c r="I80" s="1232"/>
      <c r="J80" s="320"/>
      <c r="K80" s="2496" t="str">
        <f>IF(MID(P6,FIND(" ",P6),12)=A100,B97,IF(P6=B95,"AGS Full MapCache Service",""))</f>
        <v/>
      </c>
      <c r="L80" s="1934" t="str">
        <f>B91&amp;" "&amp;B83&amp;" "&amp;B88&amp;" "&amp;B85*100&amp;"%Dyn "&amp;B84&amp;" "&amp;B86&amp;" "&amp;B89&amp;IF(K5=D116," +$$","")</f>
        <v>AGS REST Pro V  100%Dyn Hvy 13x7 PNG24</v>
      </c>
      <c r="M80" s="986" t="str">
        <f>""</f>
        <v/>
      </c>
      <c r="S80">
        <v>0</v>
      </c>
      <c r="AA80" s="1681"/>
      <c r="AF80" s="2338"/>
      <c r="AG80" s="2338"/>
    </row>
    <row r="81" spans="1:54" customFormat="1" hidden="1" outlineLevel="1" x14ac:dyDescent="0.15">
      <c r="A81" s="963" t="s">
        <v>251</v>
      </c>
      <c r="B81" s="369" t="s">
        <v>280</v>
      </c>
      <c r="C81" s="326" t="s">
        <v>252</v>
      </c>
      <c r="D81" s="953" t="s">
        <v>250</v>
      </c>
      <c r="E81" s="953" t="str">
        <f>B96</f>
        <v>Citrix</v>
      </c>
      <c r="F81" s="953" t="s">
        <v>304</v>
      </c>
      <c r="G81" s="2090" t="s">
        <v>970</v>
      </c>
      <c r="H81" s="953" t="s">
        <v>312</v>
      </c>
      <c r="I81" s="953" t="str">
        <f>I74</f>
        <v>DS/MDS</v>
      </c>
      <c r="J81" s="326" t="s">
        <v>350</v>
      </c>
      <c r="K81" s="326" t="s">
        <v>309</v>
      </c>
      <c r="L81" s="422" t="s">
        <v>273</v>
      </c>
      <c r="AF81" s="2338"/>
      <c r="AG81" s="2338"/>
    </row>
    <row r="82" spans="1:54" customFormat="1" hidden="1" outlineLevel="1" x14ac:dyDescent="0.15">
      <c r="A82" s="3336" t="s">
        <v>253</v>
      </c>
      <c r="B82" s="3337"/>
      <c r="C82" s="958">
        <f>IF(C30=C131, IF(OR(B85=A115,P6=B95),VLOOKUP(B95,WFbaseline,C100,FALSE),ROUND(+C91*C84*C85*C86*C87*C88*C89+C90,3)),VLOOKUP(E30,wfRange,3,FALSE))</f>
        <v>2.1339999999999999</v>
      </c>
      <c r="D82" s="959">
        <f xml:space="preserve"> IF(C30=C131, IF(OR(B85=A115,B91=B95),VLOOKUP(B91,WFbaseline,D100,FALSE),D83*D91*D84*D85*D86*D87),VLOOKUP(E30,wfRange,4,FALSE))</f>
        <v>2.0756756756756759E-2</v>
      </c>
      <c r="E82" s="959">
        <f xml:space="preserve"> IF(C30=C131, E83*E91*E84*E85*E86*E87,VLOOKUP(E30,wfRange,5,FALSE))</f>
        <v>0</v>
      </c>
      <c r="F82" s="959">
        <f>IF(C30=C131,IF(OR(B85=A115,B91=B95),VLOOKUP(B95,WFbaseline,F100,FALSE),F91*F88),VLOOKUP(E30,wfRange,6,FALSE))</f>
        <v>6.9189189189189197E-3</v>
      </c>
      <c r="G82" s="959">
        <f xml:space="preserve"> IF(C30=C131, G91+G88,VLOOKUP(E30,wfRange,7,FALSE))</f>
        <v>0</v>
      </c>
      <c r="H82" s="2567">
        <f xml:space="preserve"> IF(C30=C131, IF(OR(B85=A115,B91=B95),VLOOKUP(B95,WFbaseline,H100,FALSE),H91*H83*H84*H85*H86*H89),VLOOKUP(E30,wfRange,8,FALSE))</f>
        <v>0.16564488281249998</v>
      </c>
      <c r="I82" s="959">
        <f xml:space="preserve"> IF(C30=C131, IF(B85=A115,VLOOKUP(#REF!,WFbaseline,I100,FALSE),I91*I84*I85*I86),VLOOKUP(E30,wfRange,9,FALSE))</f>
        <v>0</v>
      </c>
      <c r="J82" s="958">
        <f xml:space="preserve"> IF(C30=C131, IF(OR(B85=A115,B91=B95),C82,ROUND(+J91*J84*J85*J86,3)),VLOOKUP(E30,wfRange,10,FALSE))</f>
        <v>20.010000000000002</v>
      </c>
      <c r="K82" s="959">
        <f xml:space="preserve"> IF(C30=C131, IF(B85=A115,VLOOKUP(B95,WFbaseline,K100,FALSE),K91*K84*K85*K86),VLOOKUP(E30,wfRange,11,FALSE))</f>
        <v>2.8312533046874994E-2</v>
      </c>
      <c r="L82" s="959">
        <f xml:space="preserve"> SUM(D82:I82)+K82</f>
        <v>0.22163309153505065</v>
      </c>
      <c r="N82" s="1000"/>
      <c r="T82" s="1023">
        <f>F82+G82</f>
        <v>6.9189189189189197E-3</v>
      </c>
      <c r="U82" s="3198">
        <f>H82+K82+E82</f>
        <v>0.19395741585937498</v>
      </c>
      <c r="AF82" s="2338"/>
      <c r="AG82" s="2338"/>
    </row>
    <row r="83" spans="1:54" customFormat="1" hidden="1" outlineLevel="1" x14ac:dyDescent="0.15">
      <c r="A83" s="964" t="str">
        <f>P2</f>
        <v>Server</v>
      </c>
      <c r="B83" s="965" t="str">
        <f>IF(LEFT(P6,3)=N91,G3,B116)</f>
        <v>Pro</v>
      </c>
      <c r="C83" s="961"/>
      <c r="D83" s="1933">
        <f>IF(B89=B111,VLOOKUP(B83,MapDocArray,2,FALSE),1)</f>
        <v>1</v>
      </c>
      <c r="E83" s="1933">
        <f>VLOOKUP(B83,MapDocArray,2,FALSE)</f>
        <v>1</v>
      </c>
      <c r="F83" s="960"/>
      <c r="G83" s="960"/>
      <c r="H83" s="386">
        <f>IF(OR(A99&gt;0,A83=N1),1,0.5)</f>
        <v>0.5</v>
      </c>
      <c r="I83" s="960"/>
      <c r="J83" s="960"/>
      <c r="K83" s="960"/>
      <c r="L83" s="961"/>
      <c r="M83" s="2210" t="str">
        <f>IF(LEFT(B91,3)=N91,B83,"")</f>
        <v/>
      </c>
      <c r="O83" s="2204"/>
      <c r="AF83" s="2338"/>
      <c r="AG83" s="2338"/>
    </row>
    <row r="84" spans="1:54" customFormat="1" hidden="1" outlineLevel="1" x14ac:dyDescent="0.15">
      <c r="A84" s="964" t="s">
        <v>19</v>
      </c>
      <c r="B84" s="965" t="str">
        <f>IF(ISERROR(FIND("_",E6)),E6,LEFT(E6,FIND("_",E6)-1))</f>
        <v>Hvy</v>
      </c>
      <c r="C84" s="386">
        <f>IF(OR(M91=B94,M91=B96,H6=B111),VLOOKUP($E6,ComplexArray,2,FALSE),1)</f>
        <v>1</v>
      </c>
      <c r="D84" s="386">
        <f>IF(B89=B111,VLOOKUP($E6,ComplexArray,2,FALSE),1)</f>
        <v>1</v>
      </c>
      <c r="E84" s="386">
        <f>VLOOKUP($E6,ComplexArray,2,FALSE)</f>
        <v>1.5</v>
      </c>
      <c r="F84" s="961"/>
      <c r="G84" s="961"/>
      <c r="H84" s="386">
        <f>VLOOKUP($E6,ComplexArray,2,FALSE)</f>
        <v>1.5</v>
      </c>
      <c r="I84" s="386">
        <f>VLOOKUP($E6,ComplexArray,2,FALSE)</f>
        <v>1.5</v>
      </c>
      <c r="J84" s="386">
        <f>VLOOKUP($E6,ComplexArray,2,FALSE)</f>
        <v>1.5</v>
      </c>
      <c r="K84" s="386">
        <f>VLOOKUP($E6,ComplexArray,2,FALSE)</f>
        <v>1.5</v>
      </c>
      <c r="L84" s="961"/>
      <c r="AF84" s="2338"/>
      <c r="AG84" s="2338"/>
    </row>
    <row r="85" spans="1:54" customFormat="1" hidden="1" outlineLevel="1" x14ac:dyDescent="0.15">
      <c r="A85" s="964" t="s">
        <v>83</v>
      </c>
      <c r="B85" s="966">
        <f>IF(F6=A115,A115,1-F6)</f>
        <v>1</v>
      </c>
      <c r="C85" s="962">
        <f>IF($F6=$A115,1,IF(B89=B111,B85,0.5+$B85/2))</f>
        <v>1</v>
      </c>
      <c r="D85" s="962">
        <f>IF(B89=B111,IF(OR($F6=$A115,E3=K165),1,$B85),1)</f>
        <v>1</v>
      </c>
      <c r="E85" s="962">
        <f>IF($F6=$A115,1,$B85)</f>
        <v>1</v>
      </c>
      <c r="F85" s="960"/>
      <c r="G85" s="960"/>
      <c r="H85" s="962">
        <f>IF($F6=$A115,1,$B85)</f>
        <v>1</v>
      </c>
      <c r="I85" s="962">
        <f>IF($F6=$A115,1,$B85)</f>
        <v>1</v>
      </c>
      <c r="J85" s="962">
        <f>IF($F6=$A115,1,$B85)</f>
        <v>1</v>
      </c>
      <c r="K85" s="962">
        <f>IF($F6=$A115,1,$B85)</f>
        <v>1</v>
      </c>
      <c r="L85" s="961"/>
      <c r="M85" s="2197"/>
      <c r="AF85" s="2338"/>
      <c r="AG85" s="2338"/>
    </row>
    <row r="86" spans="1:54" customFormat="1" hidden="1" outlineLevel="1" x14ac:dyDescent="0.15">
      <c r="A86" s="964" t="s">
        <v>61</v>
      </c>
      <c r="B86" s="965" t="str">
        <f>VLOOKUP(G6,Resolution,3,FALSE)</f>
        <v>13x7</v>
      </c>
      <c r="C86" s="395">
        <f>VLOOKUP(G6,Resolution,2,FALSE)</f>
        <v>1.333984375</v>
      </c>
      <c r="D86" s="395">
        <f>IF(B89=B111,VLOOKUP(G6,Resolution,4,FALSE),1)</f>
        <v>1</v>
      </c>
      <c r="E86" s="395">
        <f>VLOOKUP(G6,Resolution,4,FALSE)</f>
        <v>1.08349609375</v>
      </c>
      <c r="F86" s="961"/>
      <c r="G86" s="961"/>
      <c r="H86" s="395">
        <f>VLOOKUP(G6,Resolution,4,FALSE)</f>
        <v>1.08349609375</v>
      </c>
      <c r="I86" s="395">
        <f>VLOOKUP(G6,Resolution,4,FALSE)</f>
        <v>1.08349609375</v>
      </c>
      <c r="J86" s="2076">
        <f>VLOOKUP(G6,Resolution,2,FALSE)</f>
        <v>1.333984375</v>
      </c>
      <c r="K86" s="395">
        <f>VLOOKUP(G6,Resolution,4,FALSE)</f>
        <v>1.08349609375</v>
      </c>
      <c r="L86" s="961"/>
      <c r="AF86" s="2338"/>
      <c r="AG86" s="2338"/>
    </row>
    <row r="87" spans="1:54" customFormat="1" hidden="1" outlineLevel="1" x14ac:dyDescent="0.15">
      <c r="A87" s="964" t="s">
        <v>1044</v>
      </c>
      <c r="B87" s="965" t="str">
        <f>H3</f>
        <v>2D</v>
      </c>
      <c r="C87" s="395">
        <f>IF(VLOOKUP(B91,WFbaseline,L100,FALSE)=B96,VLOOKUP(H3,GraphicsTraffic,2,FALSE),1)</f>
        <v>1</v>
      </c>
      <c r="D87" s="2268">
        <f>IF(VLOOKUP(B91,WFbaseline,L100,FALSE)=B96,1,VLOOKUP(H3,GraphicsTraffic,3,FALSE))</f>
        <v>1</v>
      </c>
      <c r="E87" s="2268">
        <f>VLOOKUP(H3,GraphicsTraffic,3,FALSE)</f>
        <v>1</v>
      </c>
      <c r="F87" s="961"/>
      <c r="G87" s="961"/>
      <c r="H87" s="961"/>
      <c r="I87" s="960"/>
      <c r="J87" s="960"/>
      <c r="K87" s="960"/>
      <c r="L87" s="961"/>
      <c r="AF87" s="2338"/>
      <c r="AG87" s="2338"/>
    </row>
    <row r="88" spans="1:54" customFormat="1" hidden="1" outlineLevel="1" x14ac:dyDescent="0.15">
      <c r="A88" s="964" t="str">
        <f>I2</f>
        <v>Density/Portal</v>
      </c>
      <c r="B88" s="965" t="str">
        <f>LEFT(I3,2)</f>
        <v xml:space="preserve">V </v>
      </c>
      <c r="C88" s="1933">
        <f>IF(VLOOKUP(B91,WFbaseline,11,FALSE)=B96,IF(OR(I$3=A118,I$3=A120),C129,C128),1)</f>
        <v>1</v>
      </c>
      <c r="D88" s="960"/>
      <c r="E88" s="960"/>
      <c r="F88" s="2208">
        <f>IF(G88&gt;0,2,1)</f>
        <v>1</v>
      </c>
      <c r="G88" s="1933">
        <f>IF(G$91&gt;0,0,IF(OR(I3=$A$119,I3=A120),VLOOKUP(B97,WFbaseline,6,FALSE),0))</f>
        <v>0</v>
      </c>
      <c r="H88" s="960"/>
      <c r="I88" s="960"/>
      <c r="J88" s="960"/>
      <c r="K88" s="960"/>
      <c r="L88" s="961"/>
      <c r="O88" s="320"/>
      <c r="P88" s="1959"/>
      <c r="Q88" s="2204"/>
      <c r="R88" s="320"/>
      <c r="V88" s="325"/>
      <c r="W88" s="1355"/>
      <c r="X88" s="1355"/>
      <c r="AF88" s="2338"/>
      <c r="AG88" s="2338"/>
    </row>
    <row r="89" spans="1:54" customFormat="1" hidden="1" outlineLevel="1" x14ac:dyDescent="0.15">
      <c r="A89" s="964" t="s">
        <v>60</v>
      </c>
      <c r="B89" s="965" t="str">
        <f>IF(P2=N1,B106,IF(VLOOKUP(P6,WFbaseline,L100,FALSE)=B94,B111,IF(VLOOKUP(P6,WFbaseline,L100,FALSE)=B96,B112,   IF(H6=B105,IF(OR(N2=B119,N2=B120),B106,B108),H6))))</f>
        <v>PNG24</v>
      </c>
      <c r="C89" s="386">
        <f>IF(OR(VLOOKUP(P6,WFbaseline,L100,FALSE)=B94,VLOOKUP(P6,WFbaseline,L100,FALSE)=B96),1,IF(OR(B88=B119,B88=B120), VLOOKUP(H6,OutputArray,3,FALSE), VLOOKUP(H6,OutputArray,2,FALSE)))</f>
        <v>0.8</v>
      </c>
      <c r="D89" s="961"/>
      <c r="E89" s="961"/>
      <c r="F89" s="961"/>
      <c r="G89" s="961"/>
      <c r="H89" s="395">
        <f>IF(OR(B88=B119,B88=B120),VLOOKUP(B89,B105:F112,5,FALSE),VLOOKUP(B89,B105:F112,4,FALSE))</f>
        <v>1.3</v>
      </c>
      <c r="I89" s="960"/>
      <c r="J89" s="960"/>
      <c r="K89" s="960"/>
      <c r="L89" s="961"/>
      <c r="O89" s="1959"/>
      <c r="P89" s="1959"/>
      <c r="Q89" s="1959"/>
      <c r="R89" s="320"/>
      <c r="V89" s="325"/>
      <c r="W89" s="1355"/>
      <c r="X89" s="1355"/>
      <c r="AF89" s="2338"/>
      <c r="AG89" s="2338"/>
    </row>
    <row r="90" spans="1:54" customFormat="1" hidden="1" outlineLevel="1" x14ac:dyDescent="0.15">
      <c r="A90" s="964" t="s">
        <v>249</v>
      </c>
      <c r="B90" s="965" t="str">
        <f>K5</f>
        <v>Dynamic</v>
      </c>
      <c r="C90" s="386">
        <f>IF(B90=D115,0,0.5)</f>
        <v>0</v>
      </c>
      <c r="D90" s="960"/>
      <c r="E90" s="960"/>
      <c r="F90" s="960"/>
      <c r="G90" s="960"/>
      <c r="H90" s="960"/>
      <c r="I90" s="960"/>
      <c r="J90" s="960"/>
      <c r="K90" s="960"/>
      <c r="L90" s="961"/>
      <c r="O90" s="320"/>
      <c r="P90" s="320"/>
      <c r="Q90" s="320"/>
      <c r="R90" s="320"/>
      <c r="V90" s="325"/>
      <c r="W90" s="1355"/>
      <c r="X90" s="1355"/>
      <c r="AF90" s="2338"/>
      <c r="AG90" s="2338"/>
      <c r="BB90" s="2325"/>
    </row>
    <row r="91" spans="1:54" customFormat="1" ht="15" hidden="1" outlineLevel="1" x14ac:dyDescent="0.15">
      <c r="A91" s="2334" t="s">
        <v>262</v>
      </c>
      <c r="B91" s="2335" t="str">
        <f>P6</f>
        <v>AGS REST</v>
      </c>
      <c r="C91" s="958">
        <f>VLOOKUP($B91,WFbaseline,C100,FALSE)</f>
        <v>2</v>
      </c>
      <c r="D91" s="959">
        <f>IF(AND(M91=B98,B89=B111),VLOOKUP($K169,WFbaseline,D100,FALSE),VLOOKUP($B91,WFbaseline,D100,FALSE))</f>
        <v>2.0756756756756759E-2</v>
      </c>
      <c r="E91" s="959">
        <f xml:space="preserve"> VLOOKUP($B91,WFbaseline,E100,FALSE)</f>
        <v>0</v>
      </c>
      <c r="F91" s="959">
        <f>VLOOKUP($B91,WFbaseline,F100,FALSE)</f>
        <v>6.9189189189189197E-3</v>
      </c>
      <c r="G91" s="959">
        <f>VLOOKUP($B91,WFbaseline,G100,FALSE)</f>
        <v>0</v>
      </c>
      <c r="H91" s="2567">
        <f>VLOOKUP($B91,WFbaseline,H100,FALSE)</f>
        <v>0.15679999999999999</v>
      </c>
      <c r="I91" s="959">
        <f>VLOOKUP($B91,WFbaseline,I100,FALSE)</f>
        <v>0</v>
      </c>
      <c r="J91" s="958">
        <v>10</v>
      </c>
      <c r="K91" s="959">
        <f>VLOOKUP($B91,WFbaseline,K100-1,FALSE)</f>
        <v>1.7420479999999999E-2</v>
      </c>
      <c r="L91" s="959">
        <f>SUM(D91:I91)+K91</f>
        <v>0.20189615567567568</v>
      </c>
      <c r="M91" s="2336" t="str">
        <f>VLOOKUP(P6,WFbaseline,L100,FALSE)</f>
        <v>SOC</v>
      </c>
      <c r="N91" s="2337" t="s">
        <v>1046</v>
      </c>
      <c r="O91" s="325"/>
      <c r="P91" s="320"/>
      <c r="Q91" s="320"/>
      <c r="R91" s="320"/>
      <c r="V91" s="325"/>
      <c r="W91" s="1355"/>
      <c r="X91" s="1355"/>
      <c r="AA91" s="1681"/>
      <c r="AF91" s="2338"/>
      <c r="AG91" s="2338"/>
      <c r="BB91" s="2325"/>
    </row>
    <row r="92" spans="1:54" s="2325" customFormat="1" ht="15" hidden="1" outlineLevel="1" x14ac:dyDescent="0.15">
      <c r="A92" s="484" t="s">
        <v>95</v>
      </c>
      <c r="B92" s="2333" t="s">
        <v>349</v>
      </c>
      <c r="C92" s="484" t="s">
        <v>1734</v>
      </c>
      <c r="D92" s="328"/>
      <c r="E92" s="328"/>
      <c r="F92" s="328"/>
      <c r="G92" s="328"/>
      <c r="H92" s="328"/>
      <c r="I92" s="328"/>
      <c r="J92" s="383"/>
      <c r="K92" s="328"/>
      <c r="L92" s="328"/>
      <c r="M92" s="2323"/>
      <c r="N92" s="2324"/>
      <c r="O92" s="1253"/>
      <c r="P92" s="587"/>
      <c r="Q92" s="587"/>
      <c r="R92" s="587"/>
      <c r="V92" s="1253"/>
      <c r="W92" s="1355"/>
      <c r="X92" s="1355"/>
      <c r="AA92" s="2326"/>
      <c r="AF92" s="2323"/>
      <c r="AG92" s="2323"/>
    </row>
    <row r="93" spans="1:54" s="2325" customFormat="1" ht="15" hidden="1" outlineLevel="1" x14ac:dyDescent="0.15">
      <c r="A93" s="368" t="s">
        <v>410</v>
      </c>
      <c r="B93" s="2327" t="s">
        <v>359</v>
      </c>
      <c r="C93" s="383" t="s">
        <v>1735</v>
      </c>
      <c r="D93" s="328"/>
      <c r="E93" s="328"/>
      <c r="F93" s="328"/>
      <c r="G93" s="328"/>
      <c r="H93" s="328"/>
      <c r="I93" s="328"/>
      <c r="J93" s="383"/>
      <c r="K93" s="328"/>
      <c r="L93" s="328"/>
      <c r="M93" s="2323"/>
      <c r="N93" s="2324"/>
      <c r="O93" s="1253"/>
      <c r="P93" s="587"/>
      <c r="Q93" s="587"/>
      <c r="R93" s="587"/>
      <c r="V93" s="1253"/>
      <c r="W93" s="1355"/>
      <c r="X93" s="1355"/>
      <c r="AA93" s="2326"/>
      <c r="AF93" s="2323"/>
      <c r="AG93" s="2323"/>
    </row>
    <row r="94" spans="1:54" s="2325" customFormat="1" ht="15" hidden="1" outlineLevel="1" x14ac:dyDescent="0.15">
      <c r="A94" s="370" t="s">
        <v>96</v>
      </c>
      <c r="B94" s="2328" t="s">
        <v>174</v>
      </c>
      <c r="C94" s="383" t="s">
        <v>412</v>
      </c>
      <c r="D94" s="328"/>
      <c r="E94" s="328"/>
      <c r="F94" s="328"/>
      <c r="G94" s="328"/>
      <c r="H94" s="328"/>
      <c r="I94" s="328"/>
      <c r="J94" s="383"/>
      <c r="K94" s="328"/>
      <c r="L94" s="328"/>
      <c r="M94" s="2323"/>
      <c r="N94" s="2324"/>
      <c r="O94" s="1253"/>
      <c r="P94" s="587"/>
      <c r="Q94" s="587"/>
      <c r="R94" s="587"/>
      <c r="V94" s="1253"/>
      <c r="W94" s="1355"/>
      <c r="X94" s="1355"/>
      <c r="AA94" s="2326"/>
      <c r="AF94" s="2323"/>
      <c r="AG94" s="2323"/>
    </row>
    <row r="95" spans="1:54" s="2325" customFormat="1" ht="15" hidden="1" outlineLevel="1" x14ac:dyDescent="0.15">
      <c r="A95" s="2364" t="s">
        <v>1234</v>
      </c>
      <c r="B95" s="2360" t="s">
        <v>92</v>
      </c>
      <c r="C95" s="383" t="s">
        <v>1736</v>
      </c>
      <c r="D95" s="328"/>
      <c r="E95" s="328"/>
      <c r="F95" s="328"/>
      <c r="G95" s="328"/>
      <c r="H95" s="328"/>
      <c r="I95" s="328"/>
      <c r="J95" s="383"/>
      <c r="K95" s="328"/>
      <c r="L95" s="328"/>
      <c r="M95" s="2323"/>
      <c r="N95" s="2324"/>
      <c r="O95" s="1253"/>
      <c r="P95" s="587"/>
      <c r="Q95" s="587"/>
      <c r="R95" s="587"/>
      <c r="V95" s="1253"/>
      <c r="W95" s="1355"/>
      <c r="X95" s="1355"/>
      <c r="AA95" s="2326"/>
      <c r="AF95" s="2323"/>
      <c r="AG95" s="2323"/>
    </row>
    <row r="96" spans="1:54" s="2325" customFormat="1" ht="15" hidden="1" outlineLevel="1" x14ac:dyDescent="0.15">
      <c r="A96" s="2359" t="s">
        <v>1225</v>
      </c>
      <c r="B96" s="2361" t="s">
        <v>245</v>
      </c>
      <c r="C96" s="383" t="s">
        <v>1737</v>
      </c>
      <c r="D96" s="328"/>
      <c r="E96" s="328"/>
      <c r="F96" s="328"/>
      <c r="G96" s="328"/>
      <c r="H96" s="328"/>
      <c r="I96" s="328"/>
      <c r="J96" s="383"/>
      <c r="K96" s="328"/>
      <c r="L96" s="328"/>
      <c r="M96" s="2323"/>
      <c r="N96" s="2324"/>
      <c r="O96" s="1253"/>
      <c r="P96" s="587"/>
      <c r="Q96" s="587"/>
      <c r="R96" s="587"/>
      <c r="V96" s="1253"/>
      <c r="W96" s="1355"/>
      <c r="X96" s="1355"/>
      <c r="AA96" s="2326"/>
      <c r="AF96" s="2323"/>
      <c r="AG96" s="2323"/>
    </row>
    <row r="97" spans="1:54" s="2325" customFormat="1" ht="15" hidden="1" outlineLevel="1" x14ac:dyDescent="0.15">
      <c r="A97" s="2359" t="s">
        <v>1226</v>
      </c>
      <c r="B97" s="2360" t="s">
        <v>1272</v>
      </c>
      <c r="C97" s="383" t="s">
        <v>1738</v>
      </c>
      <c r="D97" s="328"/>
      <c r="E97" s="328"/>
      <c r="F97" s="328"/>
      <c r="G97" s="328"/>
      <c r="H97" s="328"/>
      <c r="I97" s="328"/>
      <c r="J97" s="383"/>
      <c r="K97" s="328"/>
      <c r="L97" s="328"/>
      <c r="M97" s="2323"/>
      <c r="N97" s="2324"/>
      <c r="O97" s="1253"/>
      <c r="P97" s="587"/>
      <c r="Q97" s="587"/>
      <c r="R97" s="587"/>
      <c r="V97" s="1253"/>
      <c r="W97" s="1355"/>
      <c r="X97" s="1355"/>
      <c r="AA97" s="2326"/>
      <c r="AF97" s="2323"/>
      <c r="AG97" s="2323"/>
    </row>
    <row r="98" spans="1:54" s="2325" customFormat="1" ht="15" hidden="1" outlineLevel="1" x14ac:dyDescent="0.15">
      <c r="A98" s="2359" t="s">
        <v>1227</v>
      </c>
      <c r="B98" s="2362" t="s">
        <v>312</v>
      </c>
      <c r="C98" s="383" t="s">
        <v>1739</v>
      </c>
      <c r="D98" s="328"/>
      <c r="E98" s="328"/>
      <c r="F98" s="328"/>
      <c r="G98" s="328"/>
      <c r="H98" s="328"/>
      <c r="I98" s="328"/>
      <c r="J98" s="383"/>
      <c r="K98" s="328"/>
      <c r="L98" s="328"/>
      <c r="M98" s="2323"/>
      <c r="N98" s="2324"/>
      <c r="O98" s="1253"/>
      <c r="P98" s="587"/>
      <c r="Q98" s="587"/>
      <c r="R98" s="587"/>
      <c r="V98" s="1253"/>
      <c r="W98" s="1355"/>
      <c r="X98" s="1355"/>
      <c r="AA98" s="2326"/>
      <c r="AF98" s="2323"/>
      <c r="AG98" s="2323"/>
      <c r="BB98"/>
    </row>
    <row r="99" spans="1:54" s="2325" customFormat="1" ht="15" hidden="1" outlineLevel="1" x14ac:dyDescent="0.15">
      <c r="A99" s="2497">
        <f>IFERROR(MATCH(LEFT(B91,6),A96:A98,0),0)</f>
        <v>0</v>
      </c>
      <c r="B99" s="2363" t="s">
        <v>45</v>
      </c>
      <c r="C99" s="383" t="s">
        <v>1860</v>
      </c>
      <c r="D99" s="328"/>
      <c r="E99" s="328"/>
      <c r="F99" s="328"/>
      <c r="G99" s="328"/>
      <c r="H99" s="328"/>
      <c r="I99" s="328"/>
      <c r="J99" s="383"/>
      <c r="K99" s="328"/>
      <c r="L99" s="328"/>
      <c r="M99" s="2323"/>
      <c r="N99" s="2324"/>
      <c r="O99" s="1253"/>
      <c r="P99" s="587"/>
      <c r="Q99" s="587"/>
      <c r="R99" s="587"/>
      <c r="V99" s="1253"/>
      <c r="W99" s="1355"/>
      <c r="X99" s="1355"/>
      <c r="AA99" s="2326"/>
      <c r="AF99" s="2323"/>
      <c r="AG99" s="2323"/>
      <c r="BB99"/>
    </row>
    <row r="100" spans="1:54" customFormat="1" hidden="1" outlineLevel="1" x14ac:dyDescent="0.15">
      <c r="A100" s="2365" t="s">
        <v>1301</v>
      </c>
      <c r="B100" s="2319">
        <v>1</v>
      </c>
      <c r="C100" s="2320">
        <f t="shared" ref="C100:N100" si="8">+B100+1</f>
        <v>2</v>
      </c>
      <c r="D100" s="2320">
        <f t="shared" si="8"/>
        <v>3</v>
      </c>
      <c r="E100" s="2320">
        <f t="shared" si="8"/>
        <v>4</v>
      </c>
      <c r="F100" s="2320">
        <f t="shared" si="8"/>
        <v>5</v>
      </c>
      <c r="G100" s="2320">
        <f t="shared" si="8"/>
        <v>6</v>
      </c>
      <c r="H100" s="2320">
        <f t="shared" si="8"/>
        <v>7</v>
      </c>
      <c r="I100" s="2320">
        <f t="shared" si="8"/>
        <v>8</v>
      </c>
      <c r="J100" s="2320">
        <f t="shared" si="8"/>
        <v>9</v>
      </c>
      <c r="K100" s="2320">
        <f t="shared" si="8"/>
        <v>10</v>
      </c>
      <c r="L100" s="2320">
        <f t="shared" si="8"/>
        <v>11</v>
      </c>
      <c r="M100" s="2321">
        <f t="shared" si="8"/>
        <v>12</v>
      </c>
      <c r="N100" s="2322">
        <f t="shared" si="8"/>
        <v>13</v>
      </c>
      <c r="O100" s="320"/>
      <c r="P100" s="320"/>
      <c r="U100" s="320"/>
      <c r="V100" s="320"/>
      <c r="W100" s="320"/>
      <c r="X100" s="320"/>
      <c r="Y100" s="320"/>
      <c r="Z100" s="320"/>
      <c r="AF100" s="2338"/>
      <c r="AG100" s="2338"/>
    </row>
    <row r="101" spans="1:54" customFormat="1" hidden="1" outlineLevel="1" x14ac:dyDescent="0.15">
      <c r="A101" s="320"/>
      <c r="B101" s="3292" t="str">
        <f>WFBaseline!C2</f>
        <v>Arc18 Baseline 4 core (1 chip) 3600 MHz</v>
      </c>
      <c r="C101" s="3293"/>
      <c r="D101" s="3293"/>
      <c r="E101" s="3294"/>
      <c r="F101" s="2411">
        <f>VLOOKUP(B101,HWRange,7,FALSE)</f>
        <v>74</v>
      </c>
      <c r="G101" s="2088"/>
      <c r="H101" s="476" t="s">
        <v>76</v>
      </c>
      <c r="I101" s="1274">
        <f>F101</f>
        <v>74</v>
      </c>
      <c r="J101" s="399"/>
      <c r="K101" s="475"/>
      <c r="L101" s="671" t="s">
        <v>349</v>
      </c>
      <c r="M101" s="2171" t="s">
        <v>1047</v>
      </c>
      <c r="N101" s="2172" t="s">
        <v>1048</v>
      </c>
      <c r="O101" s="320"/>
      <c r="P101" s="320"/>
      <c r="U101" s="320"/>
      <c r="V101" s="320"/>
      <c r="W101" s="320"/>
      <c r="X101" s="320"/>
      <c r="Y101" s="320"/>
      <c r="Z101" s="320"/>
      <c r="AF101" s="2338"/>
      <c r="AG101" s="2338"/>
    </row>
    <row r="102" spans="1:54" customFormat="1" ht="17" hidden="1" outlineLevel="1" thickBot="1" x14ac:dyDescent="0.25">
      <c r="A102" s="986" t="s">
        <v>254</v>
      </c>
      <c r="B102" s="405"/>
      <c r="C102" s="480"/>
      <c r="D102" s="480"/>
      <c r="E102" s="480"/>
      <c r="F102" s="481"/>
      <c r="G102" s="481"/>
      <c r="H102" s="481"/>
      <c r="I102" s="481"/>
      <c r="J102" s="481"/>
      <c r="K102" s="482"/>
      <c r="L102" s="482"/>
      <c r="M102" s="405"/>
      <c r="N102" s="482"/>
      <c r="AF102" s="2338"/>
      <c r="AG102" s="2338"/>
    </row>
    <row r="103" spans="1:54" customFormat="1" ht="16" hidden="1" outlineLevel="1" x14ac:dyDescent="0.2">
      <c r="A103" s="984" t="s">
        <v>49</v>
      </c>
      <c r="B103" s="967"/>
      <c r="C103" s="968" t="s">
        <v>317</v>
      </c>
      <c r="D103" s="968"/>
      <c r="E103" s="968" t="s">
        <v>81</v>
      </c>
      <c r="F103" s="969"/>
      <c r="H103" s="976" t="s">
        <v>79</v>
      </c>
      <c r="I103" s="977"/>
      <c r="J103" s="977"/>
      <c r="K103" s="978"/>
      <c r="AF103" s="2338"/>
      <c r="AG103" s="2338"/>
    </row>
    <row r="104" spans="1:54" customFormat="1" hidden="1" outlineLevel="1" x14ac:dyDescent="0.15">
      <c r="A104" s="985">
        <v>0</v>
      </c>
      <c r="B104" s="970" t="s">
        <v>60</v>
      </c>
      <c r="C104" s="388" t="s">
        <v>68</v>
      </c>
      <c r="D104" s="389" t="s">
        <v>45</v>
      </c>
      <c r="E104" s="388" t="s">
        <v>68</v>
      </c>
      <c r="F104" s="971" t="s">
        <v>45</v>
      </c>
      <c r="H104" s="979" t="s">
        <v>61</v>
      </c>
      <c r="I104" s="953" t="s">
        <v>317</v>
      </c>
      <c r="J104" s="954"/>
      <c r="K104" s="980" t="s">
        <v>82</v>
      </c>
      <c r="AF104" s="2338"/>
      <c r="AG104" s="2338"/>
    </row>
    <row r="105" spans="1:54" customFormat="1" hidden="1" outlineLevel="1" x14ac:dyDescent="0.15">
      <c r="A105" s="586">
        <v>0.1</v>
      </c>
      <c r="B105" s="972" t="s">
        <v>382</v>
      </c>
      <c r="C105" s="386">
        <v>0.8</v>
      </c>
      <c r="D105" s="386">
        <v>1</v>
      </c>
      <c r="E105" s="386">
        <v>1.3</v>
      </c>
      <c r="F105" s="973">
        <v>1</v>
      </c>
      <c r="H105" s="2073" t="s">
        <v>382</v>
      </c>
      <c r="I105" s="2074">
        <f>IF(P1=B98,I112,I114)</f>
        <v>1.333984375</v>
      </c>
      <c r="J105" s="2075" t="str">
        <f>IF(P1=B98,J112,J114)</f>
        <v>13x7</v>
      </c>
      <c r="K105" s="981">
        <f>I$110+(I105-I$110)/4</f>
        <v>1.08349609375</v>
      </c>
      <c r="AF105" s="2338"/>
      <c r="AG105" s="2338"/>
    </row>
    <row r="106" spans="1:54" customFormat="1" hidden="1" outlineLevel="1" x14ac:dyDescent="0.15">
      <c r="A106" s="586">
        <f t="shared" ref="A106:A112" si="9">+A105+0.1</f>
        <v>0.2</v>
      </c>
      <c r="B106" s="1039" t="s">
        <v>69</v>
      </c>
      <c r="C106" s="1040">
        <v>1</v>
      </c>
      <c r="D106" s="1040">
        <v>1</v>
      </c>
      <c r="E106" s="1040">
        <v>1</v>
      </c>
      <c r="F106" s="1041">
        <v>1</v>
      </c>
      <c r="H106" s="2056" t="s">
        <v>951</v>
      </c>
      <c r="I106" s="2057">
        <f>J127/J$120</f>
        <v>10.172526041666666</v>
      </c>
      <c r="J106" s="2058" t="str">
        <f>ROUNDDOWN(H127/100,0)&amp;"x"&amp;ROUNDDOWN(I127/100,0)</f>
        <v>40x20</v>
      </c>
      <c r="K106" s="981">
        <f>I$110+(I106-I$110)/4</f>
        <v>3.2931315104166665</v>
      </c>
      <c r="AF106" s="2338"/>
      <c r="AG106" s="2338"/>
    </row>
    <row r="107" spans="1:54" customFormat="1" hidden="1" outlineLevel="1" x14ac:dyDescent="0.15">
      <c r="A107" s="586">
        <f t="shared" si="9"/>
        <v>0.30000000000000004</v>
      </c>
      <c r="B107" s="972" t="s">
        <v>70</v>
      </c>
      <c r="C107" s="386">
        <v>0.5</v>
      </c>
      <c r="D107" s="386">
        <v>1</v>
      </c>
      <c r="E107" s="386">
        <v>1</v>
      </c>
      <c r="F107" s="973">
        <v>1</v>
      </c>
      <c r="H107" s="972" t="str">
        <f>H117&amp;"x"&amp;I117</f>
        <v>256x256</v>
      </c>
      <c r="I107" s="387">
        <f>J117/J$120</f>
        <v>8.3333333333333329E-2</v>
      </c>
      <c r="J107" s="2054" t="str">
        <f t="shared" ref="J107:J116" si="10">ROUNDDOWN(H117/100,0)&amp;"x"&amp;ROUNDDOWN(I117/100,0)</f>
        <v>2x2</v>
      </c>
      <c r="K107" s="981">
        <f t="shared" ref="K107:K112" si="11">I$110+(I107-I$110)/4</f>
        <v>0.77083333333333337</v>
      </c>
      <c r="AF107" s="2338"/>
      <c r="AG107" s="2338"/>
    </row>
    <row r="108" spans="1:54" customFormat="1" hidden="1" outlineLevel="1" x14ac:dyDescent="0.15">
      <c r="A108" s="586">
        <f t="shared" si="9"/>
        <v>0.4</v>
      </c>
      <c r="B108" s="1039" t="s">
        <v>71</v>
      </c>
      <c r="C108" s="1040">
        <v>0.8</v>
      </c>
      <c r="D108" s="1040">
        <v>2.2000000000000002</v>
      </c>
      <c r="E108" s="1040">
        <v>1.3</v>
      </c>
      <c r="F108" s="1041">
        <v>1.3</v>
      </c>
      <c r="H108" s="972" t="str">
        <f>H118&amp;"x"&amp;I118</f>
        <v>400x300</v>
      </c>
      <c r="I108" s="387">
        <f>J118/J$120</f>
        <v>0.152587890625</v>
      </c>
      <c r="J108" s="2054" t="str">
        <f t="shared" si="10"/>
        <v>4x3</v>
      </c>
      <c r="K108" s="981">
        <f t="shared" si="11"/>
        <v>0.78814697265625</v>
      </c>
      <c r="AF108" s="2338"/>
      <c r="AG108" s="2338"/>
    </row>
    <row r="109" spans="1:54" customFormat="1" hidden="1" outlineLevel="1" x14ac:dyDescent="0.15">
      <c r="A109" s="983">
        <f t="shared" si="9"/>
        <v>0.5</v>
      </c>
      <c r="B109" s="972" t="s">
        <v>72</v>
      </c>
      <c r="C109" s="386">
        <v>1.1000000000000001</v>
      </c>
      <c r="D109" s="386">
        <v>3</v>
      </c>
      <c r="E109" s="386">
        <v>1.5</v>
      </c>
      <c r="F109" s="973">
        <v>1.5</v>
      </c>
      <c r="H109" s="972" t="str">
        <f t="shared" ref="H109:H116" si="12">H119&amp;"x"&amp;I119</f>
        <v>600x400</v>
      </c>
      <c r="I109" s="387">
        <f t="shared" ref="I109:I116" si="13">J119/J$120</f>
        <v>0.30517578125</v>
      </c>
      <c r="J109" s="2054" t="str">
        <f t="shared" si="10"/>
        <v>6x4</v>
      </c>
      <c r="K109" s="981">
        <f t="shared" si="11"/>
        <v>0.8262939453125</v>
      </c>
      <c r="AF109" s="2338"/>
      <c r="AG109" s="2338"/>
    </row>
    <row r="110" spans="1:54" customFormat="1" hidden="1" outlineLevel="1" x14ac:dyDescent="0.15">
      <c r="A110" s="983">
        <f t="shared" si="9"/>
        <v>0.6</v>
      </c>
      <c r="B110" s="972" t="s">
        <v>73</v>
      </c>
      <c r="C110" s="386">
        <v>3</v>
      </c>
      <c r="D110" s="386">
        <v>3</v>
      </c>
      <c r="E110" s="386">
        <v>1.7</v>
      </c>
      <c r="F110" s="973">
        <v>1.7</v>
      </c>
      <c r="H110" s="972" t="str">
        <f t="shared" si="12"/>
        <v>1024x768</v>
      </c>
      <c r="I110" s="387">
        <f t="shared" si="13"/>
        <v>1</v>
      </c>
      <c r="J110" s="2054" t="str">
        <f t="shared" si="10"/>
        <v>10x7</v>
      </c>
      <c r="K110" s="981">
        <f t="shared" si="11"/>
        <v>1</v>
      </c>
      <c r="AF110" s="2338"/>
      <c r="AG110" s="2338"/>
    </row>
    <row r="111" spans="1:54" customFormat="1" hidden="1" outlineLevel="1" x14ac:dyDescent="0.15">
      <c r="A111" s="983">
        <f t="shared" si="9"/>
        <v>0.7</v>
      </c>
      <c r="B111" s="972" t="s">
        <v>74</v>
      </c>
      <c r="C111" s="386">
        <v>5</v>
      </c>
      <c r="D111" s="2199">
        <v>1</v>
      </c>
      <c r="E111" s="2199">
        <v>0.5</v>
      </c>
      <c r="F111" s="2200">
        <v>1</v>
      </c>
      <c r="H111" s="972" t="str">
        <f t="shared" si="12"/>
        <v>1280x1024</v>
      </c>
      <c r="I111" s="387">
        <f t="shared" si="13"/>
        <v>1.6666666666666667</v>
      </c>
      <c r="J111" s="2054" t="str">
        <f t="shared" si="10"/>
        <v>12x10</v>
      </c>
      <c r="K111" s="981">
        <f>I$110+(I111-I$110)/4</f>
        <v>1.1666666666666667</v>
      </c>
      <c r="AF111" s="2338"/>
      <c r="AG111" s="2338"/>
    </row>
    <row r="112" spans="1:54" customFormat="1" ht="14" hidden="1" outlineLevel="1" thickBot="1" x14ac:dyDescent="0.2">
      <c r="A112" s="983">
        <f t="shared" si="9"/>
        <v>0.79999999999999993</v>
      </c>
      <c r="B112" s="982" t="s">
        <v>94</v>
      </c>
      <c r="C112" s="974">
        <f>C128</f>
        <v>1</v>
      </c>
      <c r="D112" s="974">
        <v>1</v>
      </c>
      <c r="E112" s="974">
        <v>1</v>
      </c>
      <c r="F112" s="975">
        <v>1</v>
      </c>
      <c r="H112" s="972" t="str">
        <f t="shared" si="12"/>
        <v>1366x768</v>
      </c>
      <c r="I112" s="387">
        <f t="shared" si="13"/>
        <v>1.333984375</v>
      </c>
      <c r="J112" s="2054" t="str">
        <f t="shared" si="10"/>
        <v>13x7</v>
      </c>
      <c r="K112" s="981">
        <f t="shared" si="11"/>
        <v>1.08349609375</v>
      </c>
      <c r="AF112" s="2338"/>
      <c r="AG112" s="2338"/>
    </row>
    <row r="113" spans="1:54" customFormat="1" hidden="1" outlineLevel="1" x14ac:dyDescent="0.15">
      <c r="A113" s="983">
        <v>0.9</v>
      </c>
      <c r="H113" s="972" t="str">
        <f t="shared" si="12"/>
        <v>1600x900</v>
      </c>
      <c r="I113" s="387">
        <f t="shared" si="13"/>
        <v>1.8310546875</v>
      </c>
      <c r="J113" s="2054" t="str">
        <f t="shared" si="10"/>
        <v>16x9</v>
      </c>
      <c r="K113" s="981">
        <f>I$110+(I113-I$110)/4</f>
        <v>1.207763671875</v>
      </c>
      <c r="AF113" s="2338"/>
      <c r="AG113" s="2338"/>
    </row>
    <row r="114" spans="1:54" customFormat="1" hidden="1" outlineLevel="1" x14ac:dyDescent="0.15">
      <c r="A114" s="2369">
        <f>F6</f>
        <v>0</v>
      </c>
      <c r="B114" s="1226" t="s">
        <v>18</v>
      </c>
      <c r="C114" s="1226"/>
      <c r="D114" s="1228" t="s">
        <v>563</v>
      </c>
      <c r="E114" s="1228"/>
      <c r="F114" s="320"/>
      <c r="H114" s="972" t="str">
        <f t="shared" si="12"/>
        <v>1920x1080</v>
      </c>
      <c r="I114" s="387">
        <f t="shared" si="13"/>
        <v>2.63671875</v>
      </c>
      <c r="J114" s="2054" t="str">
        <f t="shared" si="10"/>
        <v>19x10</v>
      </c>
      <c r="K114" s="981">
        <f>I$110+(I114-I$110)/4</f>
        <v>1.4091796875</v>
      </c>
      <c r="AF114" s="2338"/>
      <c r="AG114" s="2338"/>
    </row>
    <row r="115" spans="1:54" customFormat="1" ht="14" hidden="1" outlineLevel="1" thickBot="1" x14ac:dyDescent="0.2">
      <c r="A115" s="1057" t="s">
        <v>40</v>
      </c>
      <c r="B115" s="386" t="s">
        <v>1068</v>
      </c>
      <c r="C115" s="1227">
        <v>1</v>
      </c>
      <c r="D115" s="1059" t="s">
        <v>83</v>
      </c>
      <c r="E115" s="1056"/>
      <c r="F115" s="320"/>
      <c r="H115" s="972" t="str">
        <f t="shared" si="12"/>
        <v>2048x1152</v>
      </c>
      <c r="I115" s="387">
        <f t="shared" si="13"/>
        <v>3</v>
      </c>
      <c r="J115" s="2054" t="str">
        <f t="shared" si="10"/>
        <v>20x11</v>
      </c>
      <c r="K115" s="981">
        <f>I$110+(I115-I$110)/4</f>
        <v>1.5</v>
      </c>
      <c r="AF115" s="2338"/>
      <c r="AG115" s="2338"/>
    </row>
    <row r="116" spans="1:54" customFormat="1" hidden="1" outlineLevel="1" x14ac:dyDescent="0.15">
      <c r="A116" s="1058" t="s">
        <v>80</v>
      </c>
      <c r="B116" s="386" t="s">
        <v>1048</v>
      </c>
      <c r="C116" s="1227">
        <v>1</v>
      </c>
      <c r="D116" s="1243" t="s">
        <v>154</v>
      </c>
      <c r="E116" s="1056"/>
      <c r="F116" s="320"/>
      <c r="H116" s="972" t="str">
        <f t="shared" si="12"/>
        <v>3840x2160</v>
      </c>
      <c r="I116" s="387">
        <f t="shared" si="13"/>
        <v>10.546875</v>
      </c>
      <c r="J116" s="2054" t="str">
        <f t="shared" si="10"/>
        <v>38x21</v>
      </c>
      <c r="K116" s="981">
        <f>I$110+(I116-I$110)/4</f>
        <v>3.38671875</v>
      </c>
      <c r="AF116" s="2338"/>
      <c r="AG116" s="2338"/>
    </row>
    <row r="117" spans="1:54" customFormat="1" hidden="1" outlineLevel="1" x14ac:dyDescent="0.15">
      <c r="A117" s="386" t="s">
        <v>840</v>
      </c>
      <c r="B117" s="1960" t="s">
        <v>540</v>
      </c>
      <c r="C117" s="1227">
        <v>1</v>
      </c>
      <c r="D117" s="2207" t="s">
        <v>1044</v>
      </c>
      <c r="E117" s="2206" t="s">
        <v>317</v>
      </c>
      <c r="F117" s="2206" t="s">
        <v>423</v>
      </c>
      <c r="G117" s="986"/>
      <c r="H117" s="1158">
        <v>256</v>
      </c>
      <c r="I117" s="1159">
        <v>256</v>
      </c>
      <c r="J117" s="1160">
        <f>+I117*H117</f>
        <v>65536</v>
      </c>
      <c r="K117" s="320"/>
      <c r="AF117" s="2338"/>
      <c r="AG117" s="2338"/>
    </row>
    <row r="118" spans="1:54" customFormat="1" hidden="1" outlineLevel="1" x14ac:dyDescent="0.15">
      <c r="A118" s="386" t="s">
        <v>841</v>
      </c>
      <c r="B118" s="1960" t="s">
        <v>539</v>
      </c>
      <c r="C118" s="1227">
        <v>1</v>
      </c>
      <c r="D118" s="386" t="s">
        <v>1045</v>
      </c>
      <c r="E118" s="386">
        <v>1</v>
      </c>
      <c r="F118" s="2054">
        <v>1</v>
      </c>
      <c r="G118" s="986"/>
      <c r="H118" s="1161">
        <v>400</v>
      </c>
      <c r="I118" s="957">
        <v>300</v>
      </c>
      <c r="J118" s="1162">
        <f t="shared" ref="J118:J125" si="14">+I118*H118</f>
        <v>120000</v>
      </c>
      <c r="K118" s="1750"/>
      <c r="AF118" s="2338"/>
      <c r="AG118" s="2338"/>
      <c r="BB118" s="320"/>
    </row>
    <row r="119" spans="1:54" customFormat="1" hidden="1" outlineLevel="1" x14ac:dyDescent="0.15">
      <c r="A119" s="386" t="s">
        <v>838</v>
      </c>
      <c r="B119" s="368" t="s">
        <v>1175</v>
      </c>
      <c r="C119" s="320"/>
      <c r="D119" s="386" t="s">
        <v>1043</v>
      </c>
      <c r="E119" s="386">
        <v>5</v>
      </c>
      <c r="F119" s="2267">
        <v>2</v>
      </c>
      <c r="H119" s="1161">
        <v>600</v>
      </c>
      <c r="I119" s="957">
        <v>400</v>
      </c>
      <c r="J119" s="1162">
        <f t="shared" si="14"/>
        <v>240000</v>
      </c>
      <c r="K119" s="1750"/>
      <c r="AF119" s="2338"/>
      <c r="AG119" s="2338"/>
      <c r="BB119" s="320"/>
    </row>
    <row r="120" spans="1:54" hidden="1" outlineLevel="1" x14ac:dyDescent="0.15">
      <c r="A120" s="386" t="s">
        <v>839</v>
      </c>
      <c r="B120" s="332" t="s">
        <v>842</v>
      </c>
      <c r="H120" s="1161">
        <v>1024</v>
      </c>
      <c r="I120" s="957">
        <v>768</v>
      </c>
      <c r="J120" s="1162">
        <f t="shared" si="14"/>
        <v>786432</v>
      </c>
      <c r="K120" s="1750"/>
      <c r="L120" s="737"/>
    </row>
    <row r="121" spans="1:54" hidden="1" outlineLevel="1" x14ac:dyDescent="0.15">
      <c r="H121" s="1161">
        <v>1280</v>
      </c>
      <c r="I121" s="957">
        <v>1024</v>
      </c>
      <c r="J121" s="1163">
        <f t="shared" si="14"/>
        <v>1310720</v>
      </c>
      <c r="K121" s="1750"/>
      <c r="L121" s="737"/>
    </row>
    <row r="122" spans="1:54" hidden="1" outlineLevel="1" x14ac:dyDescent="0.15">
      <c r="H122" s="2070">
        <v>1366</v>
      </c>
      <c r="I122" s="2071">
        <v>768</v>
      </c>
      <c r="J122" s="2072">
        <f>+I122*H122</f>
        <v>1049088</v>
      </c>
      <c r="K122" s="1750"/>
    </row>
    <row r="123" spans="1:54" hidden="1" outlineLevel="1" x14ac:dyDescent="0.15">
      <c r="G123" s="320" t="s">
        <v>956</v>
      </c>
      <c r="H123" s="2070">
        <v>1600</v>
      </c>
      <c r="I123" s="2071">
        <v>900</v>
      </c>
      <c r="J123" s="2072">
        <f>+I123*H123</f>
        <v>1440000</v>
      </c>
      <c r="K123" s="1750"/>
    </row>
    <row r="124" spans="1:54" hidden="1" outlineLevel="1" x14ac:dyDescent="0.15">
      <c r="A124" s="320" t="s">
        <v>256</v>
      </c>
      <c r="G124" s="320" t="s">
        <v>957</v>
      </c>
      <c r="H124" s="2070">
        <v>1920</v>
      </c>
      <c r="I124" s="2071">
        <v>1080</v>
      </c>
      <c r="J124" s="2072">
        <f>+I124*H124</f>
        <v>2073600</v>
      </c>
      <c r="K124" s="1750"/>
    </row>
    <row r="125" spans="1:54" hidden="1" outlineLevel="1" x14ac:dyDescent="0.15">
      <c r="A125" s="1002" t="str">
        <f ca="1">IF(D128="OK",IF(D129="OK",IF(D130="OK",IF(D131="OK",IF(D132="OK",IF(D133="OK", IF(D134="OK",  IF(D135="OK", IF(D136="OK",IF(D137="OK",IF(D138="OK","valid workflow",D138),D137),D136),D135),D134),D133),D132),D131),D130),D129),D128)</f>
        <v>valid workflow</v>
      </c>
      <c r="B125" s="1003"/>
      <c r="C125" s="1003"/>
      <c r="D125" s="1004"/>
      <c r="E125" s="1001">
        <f ca="1">IF(A125="valid workflow",0,TRUE)</f>
        <v>0</v>
      </c>
      <c r="H125" s="2070">
        <v>2048</v>
      </c>
      <c r="I125" s="2071">
        <v>1152</v>
      </c>
      <c r="J125" s="2072">
        <f t="shared" si="14"/>
        <v>2359296</v>
      </c>
      <c r="K125" s="1750"/>
      <c r="Q125" s="324"/>
      <c r="R125" s="320"/>
    </row>
    <row r="126" spans="1:54" ht="15" hidden="1" outlineLevel="1" x14ac:dyDescent="0.2">
      <c r="A126" s="323"/>
      <c r="B126" s="323"/>
      <c r="C126" s="323"/>
      <c r="D126" s="323"/>
      <c r="F126" s="1205"/>
      <c r="H126" s="2070">
        <v>3840</v>
      </c>
      <c r="I126" s="2071">
        <v>2160</v>
      </c>
      <c r="J126" s="2072">
        <f>+I126*H126</f>
        <v>8294400</v>
      </c>
      <c r="K126" s="1750"/>
      <c r="M126" s="324"/>
      <c r="N126" s="324"/>
      <c r="R126" s="320"/>
    </row>
    <row r="127" spans="1:54" ht="15" hidden="1" outlineLevel="1" x14ac:dyDescent="0.2">
      <c r="A127" s="953"/>
      <c r="B127" s="422" t="s">
        <v>22</v>
      </c>
      <c r="C127" s="487" t="s">
        <v>245</v>
      </c>
      <c r="D127" s="483" t="s">
        <v>54</v>
      </c>
      <c r="F127" s="1205"/>
      <c r="H127" s="2061">
        <f>J3</f>
        <v>4000</v>
      </c>
      <c r="I127" s="2062">
        <f>K3</f>
        <v>2000</v>
      </c>
      <c r="J127" s="1164">
        <f>+I127*H127</f>
        <v>8000000</v>
      </c>
      <c r="K127" s="2059"/>
      <c r="M127" s="324"/>
      <c r="N127" s="324"/>
      <c r="R127" s="320"/>
    </row>
    <row r="128" spans="1:54" ht="15" hidden="1" outlineLevel="1" x14ac:dyDescent="0.2">
      <c r="A128" s="2466"/>
      <c r="B128" s="386" t="s">
        <v>23</v>
      </c>
      <c r="C128" s="343">
        <v>1</v>
      </c>
      <c r="D128" s="1977" t="str">
        <f>IF(AND($G$3=$B$116,VLOOKUP(P6,WFbaseline,N100,FALSE)="NO"), "Pro Not Supported", "OK")</f>
        <v>OK</v>
      </c>
      <c r="E128" s="1681"/>
      <c r="F128" s="1205"/>
      <c r="H128" s="589">
        <v>3200</v>
      </c>
      <c r="I128" s="589">
        <v>1800</v>
      </c>
      <c r="J128" s="589"/>
      <c r="K128" s="2059"/>
      <c r="M128" s="324"/>
      <c r="N128" s="324"/>
      <c r="R128" s="320"/>
    </row>
    <row r="129" spans="1:18" ht="15" hidden="1" outlineLevel="1" x14ac:dyDescent="0.2">
      <c r="A129" s="1630"/>
      <c r="B129" s="370" t="s">
        <v>36</v>
      </c>
      <c r="C129" s="385">
        <v>7.1429999999999998</v>
      </c>
      <c r="D129" s="489" t="str">
        <f>IF(VLOOKUP(P6,WFbaseline,K100,FALSE)=0,"Workflow Targets Not Available","OK")</f>
        <v>OK</v>
      </c>
      <c r="F129" s="1205"/>
      <c r="H129" s="589">
        <v>720</v>
      </c>
      <c r="I129" s="589">
        <v>1280</v>
      </c>
      <c r="J129" s="589"/>
      <c r="K129" s="2059"/>
      <c r="M129" s="324"/>
      <c r="N129" s="324"/>
      <c r="R129" s="320"/>
    </row>
    <row r="130" spans="1:18" ht="15" hidden="1" outlineLevel="1" x14ac:dyDescent="0.2">
      <c r="A130" s="1630"/>
      <c r="B130" s="386" t="s">
        <v>34</v>
      </c>
      <c r="C130" s="323" t="s">
        <v>156</v>
      </c>
      <c r="D130" s="489" t="str">
        <f ca="1">IF(OR(H9&gt;1,H10&gt;1,H33&gt;1),"Platform over Capacity","OK")</f>
        <v>OK</v>
      </c>
      <c r="F130" s="2198"/>
      <c r="J130" s="2060"/>
      <c r="K130" s="587"/>
      <c r="M130" s="324"/>
      <c r="N130" s="324"/>
      <c r="R130" s="320"/>
    </row>
    <row r="131" spans="1:18" ht="15" hidden="1" outlineLevel="1" x14ac:dyDescent="0.2">
      <c r="A131" s="1630"/>
      <c r="B131" s="370" t="s">
        <v>1260</v>
      </c>
      <c r="C131" s="1976" t="s">
        <v>157</v>
      </c>
      <c r="D131" s="489" t="str">
        <f ca="1">IF(H13&gt;1,"WAN1 Network Saturated","OK")</f>
        <v>OK</v>
      </c>
      <c r="F131" s="1205"/>
      <c r="M131" s="324"/>
      <c r="N131" s="324"/>
      <c r="R131" s="320"/>
    </row>
    <row r="132" spans="1:18" hidden="1" outlineLevel="1" x14ac:dyDescent="0.15">
      <c r="A132" s="1630"/>
      <c r="B132" s="370" t="s">
        <v>1258</v>
      </c>
      <c r="C132" s="346" t="s">
        <v>208</v>
      </c>
      <c r="D132" s="489" t="str">
        <f ca="1">IF(H14&gt;1,"WAN2 Network Saturated","OK")</f>
        <v>OK</v>
      </c>
      <c r="M132" s="324"/>
      <c r="N132" s="324"/>
      <c r="R132" s="320"/>
    </row>
    <row r="133" spans="1:18" hidden="1" outlineLevel="1" x14ac:dyDescent="0.15">
      <c r="A133" s="1630"/>
      <c r="B133" s="484" t="s">
        <v>65</v>
      </c>
      <c r="C133" s="1358"/>
      <c r="D133" s="320" t="str">
        <f>IF(SUM(X4:X6)=0,"OK","Select Physical Server")</f>
        <v>OK</v>
      </c>
      <c r="M133" s="324"/>
      <c r="N133" s="324"/>
      <c r="R133" s="320"/>
    </row>
    <row r="134" spans="1:18" hidden="1" outlineLevel="1" x14ac:dyDescent="0.15">
      <c r="A134" s="2467"/>
      <c r="B134" s="368" t="s">
        <v>364</v>
      </c>
      <c r="D134" s="489" t="str">
        <f ca="1">IF(H11&gt;1,"Database Platform over Capacity","OK")</f>
        <v>OK</v>
      </c>
      <c r="M134" s="324"/>
      <c r="N134" s="324"/>
      <c r="R134" s="320"/>
    </row>
    <row r="135" spans="1:18" hidden="1" outlineLevel="1" x14ac:dyDescent="0.15">
      <c r="A135" s="2467"/>
      <c r="B135" s="332" t="s">
        <v>405</v>
      </c>
      <c r="D135" s="2366" t="str">
        <f>IF(AND(VLOOKUP(B$91,WFbaseline,11,FALSE)=B96,H91&gt;0),"Use Design tab for AGD Citrix Fsvc sizing","OK")</f>
        <v>OK</v>
      </c>
      <c r="M135" s="324"/>
      <c r="N135" s="324"/>
      <c r="R135" s="320"/>
    </row>
    <row r="136" spans="1:18" hidden="1" outlineLevel="1" x14ac:dyDescent="0.15">
      <c r="A136" s="2467"/>
      <c r="B136" s="368" t="s">
        <v>949</v>
      </c>
      <c r="C136" s="483" t="s">
        <v>540</v>
      </c>
      <c r="D136" s="490" t="str">
        <f>IF($K25=$H$160,IF(B10=C127,"OK", "Select "&amp;C127&amp;" software workflow"),"OK")</f>
        <v>OK</v>
      </c>
      <c r="M136" s="324"/>
      <c r="N136" s="324"/>
      <c r="R136" s="320"/>
    </row>
    <row r="137" spans="1:18" hidden="1" outlineLevel="1" x14ac:dyDescent="0.15">
      <c r="A137" s="2467"/>
      <c r="B137" s="332" t="s">
        <v>948</v>
      </c>
      <c r="C137" s="386" t="s">
        <v>1446</v>
      </c>
      <c r="D137" s="320" t="str">
        <f ca="1">IF(AND(D6=0,A6&gt;3*S10),"System Overload","OK")</f>
        <v>OK</v>
      </c>
      <c r="M137" s="324"/>
      <c r="N137" s="324"/>
      <c r="R137" s="320"/>
    </row>
    <row r="138" spans="1:18" hidden="1" outlineLevel="1" x14ac:dyDescent="0.15">
      <c r="A138" s="2467"/>
      <c r="B138" s="483" t="s">
        <v>330</v>
      </c>
      <c r="C138" s="386" t="s">
        <v>1447</v>
      </c>
      <c r="D138" s="320" t="str">
        <f ca="1">IF(N24&gt;100,"AGS Site Capacity Unstable","OK")</f>
        <v>OK</v>
      </c>
      <c r="L138" s="324"/>
      <c r="M138" s="324"/>
      <c r="R138" s="320"/>
    </row>
    <row r="139" spans="1:18" hidden="1" outlineLevel="1" x14ac:dyDescent="0.15">
      <c r="A139" s="2467"/>
      <c r="B139" s="485" t="s">
        <v>20</v>
      </c>
      <c r="L139" s="324"/>
      <c r="M139" s="324"/>
      <c r="R139" s="320"/>
    </row>
    <row r="140" spans="1:18" hidden="1" outlineLevel="1" x14ac:dyDescent="0.15">
      <c r="A140" s="2467"/>
      <c r="B140" s="485" t="s">
        <v>35</v>
      </c>
      <c r="M140" s="324"/>
      <c r="N140" s="324"/>
      <c r="R140" s="320"/>
    </row>
    <row r="141" spans="1:18" hidden="1" outlineLevel="1" x14ac:dyDescent="0.15">
      <c r="A141" s="2467"/>
      <c r="L141" s="324"/>
      <c r="R141" s="320"/>
    </row>
    <row r="142" spans="1:18" hidden="1" outlineLevel="1" x14ac:dyDescent="0.15">
      <c r="A142" s="2467"/>
      <c r="L142" s="324"/>
      <c r="R142" s="320"/>
    </row>
    <row r="143" spans="1:18" hidden="1" outlineLevel="1" x14ac:dyDescent="0.15">
      <c r="A143" s="2467"/>
      <c r="L143" s="324"/>
      <c r="R143" s="320"/>
    </row>
    <row r="144" spans="1:18" hidden="1" outlineLevel="1" x14ac:dyDescent="0.15">
      <c r="A144" s="2467"/>
      <c r="L144" s="324"/>
      <c r="R144" s="320"/>
    </row>
    <row r="145" spans="1:54" hidden="1" outlineLevel="1" x14ac:dyDescent="0.15">
      <c r="A145" s="2467"/>
      <c r="L145" s="324"/>
      <c r="M145" s="324"/>
      <c r="R145" s="320"/>
    </row>
    <row r="146" spans="1:54" hidden="1" outlineLevel="1" x14ac:dyDescent="0.15">
      <c r="A146" s="2467"/>
      <c r="L146" s="324"/>
      <c r="M146" s="324"/>
      <c r="R146" s="320"/>
    </row>
    <row r="147" spans="1:54" hidden="1" outlineLevel="1" x14ac:dyDescent="0.15">
      <c r="A147" s="2467"/>
      <c r="K147" s="324"/>
      <c r="L147" s="324"/>
      <c r="M147" s="324"/>
      <c r="R147" s="320"/>
    </row>
    <row r="148" spans="1:54" hidden="1" outlineLevel="1" x14ac:dyDescent="0.15">
      <c r="K148" s="324"/>
      <c r="BB148" s="427"/>
    </row>
    <row r="149" spans="1:54" hidden="1" outlineLevel="1" x14ac:dyDescent="0.15">
      <c r="A149" s="320" t="s">
        <v>255</v>
      </c>
      <c r="K149" s="324"/>
    </row>
    <row r="150" spans="1:54" s="427" customFormat="1" hidden="1" outlineLevel="1" x14ac:dyDescent="0.15">
      <c r="A150" s="433" t="s">
        <v>99</v>
      </c>
      <c r="B150" s="434"/>
      <c r="C150" s="434"/>
      <c r="D150" s="434"/>
      <c r="E150" s="434"/>
      <c r="F150" s="434"/>
      <c r="G150" s="434"/>
      <c r="H150" s="2382" t="s">
        <v>86</v>
      </c>
      <c r="I150" s="2383"/>
      <c r="J150" s="1972" t="s">
        <v>848</v>
      </c>
      <c r="K150" s="1972" t="s">
        <v>336</v>
      </c>
      <c r="L150" s="320"/>
      <c r="M150" s="320"/>
      <c r="N150" s="320"/>
      <c r="O150" s="320"/>
      <c r="P150" s="320"/>
      <c r="Q150" s="320"/>
      <c r="R150" s="324"/>
      <c r="AF150" s="2674"/>
      <c r="AG150" s="2674"/>
      <c r="BB150" s="320"/>
    </row>
    <row r="151" spans="1:54" ht="16" hidden="1" outlineLevel="1" x14ac:dyDescent="0.2">
      <c r="A151" s="430" t="s">
        <v>336</v>
      </c>
      <c r="B151" s="431"/>
      <c r="C151" s="3334" t="s">
        <v>332</v>
      </c>
      <c r="D151" s="3335"/>
      <c r="E151" s="3335"/>
      <c r="F151" s="3335"/>
      <c r="G151" s="3335"/>
      <c r="H151" s="2384" t="s">
        <v>412</v>
      </c>
      <c r="I151" s="2385">
        <v>1</v>
      </c>
      <c r="J151" s="1973">
        <v>4</v>
      </c>
      <c r="K151" s="370" t="s">
        <v>1559</v>
      </c>
      <c r="R151" s="427"/>
    </row>
    <row r="152" spans="1:54" hidden="1" outlineLevel="1" x14ac:dyDescent="0.15">
      <c r="A152" s="249" t="s">
        <v>455</v>
      </c>
      <c r="B152" s="250" t="s">
        <v>333</v>
      </c>
      <c r="C152" s="249" t="s">
        <v>312</v>
      </c>
      <c r="D152" s="250" t="s">
        <v>367</v>
      </c>
      <c r="E152" s="250" t="s">
        <v>320</v>
      </c>
      <c r="F152" s="250" t="s">
        <v>330</v>
      </c>
      <c r="G152" s="251" t="s">
        <v>309</v>
      </c>
      <c r="H152" s="2384" t="s">
        <v>413</v>
      </c>
      <c r="I152" s="2385">
        <v>1</v>
      </c>
      <c r="J152" s="1974"/>
      <c r="K152" s="370"/>
      <c r="R152" s="320"/>
    </row>
    <row r="153" spans="1:54" hidden="1" outlineLevel="1" x14ac:dyDescent="0.15">
      <c r="A153" s="252" t="s">
        <v>412</v>
      </c>
      <c r="B153" s="253" t="s">
        <v>453</v>
      </c>
      <c r="C153" s="252" t="s">
        <v>412</v>
      </c>
      <c r="D153" s="253" t="s">
        <v>412</v>
      </c>
      <c r="E153" s="253" t="s">
        <v>412</v>
      </c>
      <c r="F153" s="253" t="s">
        <v>412</v>
      </c>
      <c r="G153" s="254" t="s">
        <v>412</v>
      </c>
      <c r="H153" s="2384" t="s">
        <v>411</v>
      </c>
      <c r="I153" s="2385">
        <v>1</v>
      </c>
      <c r="J153" s="1975"/>
      <c r="K153" s="332"/>
      <c r="R153" s="320"/>
    </row>
    <row r="154" spans="1:54" hidden="1" outlineLevel="1" x14ac:dyDescent="0.15">
      <c r="A154" s="255"/>
      <c r="B154" s="253"/>
      <c r="C154" s="252" t="s">
        <v>413</v>
      </c>
      <c r="D154" s="253" t="s">
        <v>413</v>
      </c>
      <c r="E154" s="253" t="s">
        <v>413</v>
      </c>
      <c r="F154" s="253" t="s">
        <v>413</v>
      </c>
      <c r="G154" s="254" t="s">
        <v>413</v>
      </c>
      <c r="H154" s="2384" t="s">
        <v>414</v>
      </c>
      <c r="I154" s="2385">
        <v>1</v>
      </c>
      <c r="R154" s="320"/>
    </row>
    <row r="155" spans="1:54" hidden="1" outlineLevel="1" x14ac:dyDescent="0.15">
      <c r="A155" s="255"/>
      <c r="B155" s="253"/>
      <c r="C155" s="252"/>
      <c r="D155" s="253" t="s">
        <v>411</v>
      </c>
      <c r="E155" s="253"/>
      <c r="F155" s="253" t="s">
        <v>411</v>
      </c>
      <c r="G155" s="254" t="s">
        <v>411</v>
      </c>
      <c r="H155" s="2384" t="s">
        <v>415</v>
      </c>
      <c r="I155" s="2385">
        <v>1</v>
      </c>
      <c r="R155" s="320"/>
    </row>
    <row r="156" spans="1:54" hidden="1" outlineLevel="1" x14ac:dyDescent="0.15">
      <c r="A156" s="255"/>
      <c r="B156" s="253"/>
      <c r="C156" s="252"/>
      <c r="D156" s="253" t="s">
        <v>414</v>
      </c>
      <c r="E156" s="253"/>
      <c r="F156" s="253" t="s">
        <v>414</v>
      </c>
      <c r="G156" s="254" t="s">
        <v>414</v>
      </c>
      <c r="H156" s="2386" t="s">
        <v>851</v>
      </c>
      <c r="I156" s="2381">
        <v>1</v>
      </c>
      <c r="R156" s="320"/>
    </row>
    <row r="157" spans="1:54" hidden="1" outlineLevel="1" x14ac:dyDescent="0.15">
      <c r="A157" s="255"/>
      <c r="B157" s="253"/>
      <c r="C157" s="252"/>
      <c r="D157" s="253" t="s">
        <v>415</v>
      </c>
      <c r="E157" s="253"/>
      <c r="F157" s="253" t="s">
        <v>415</v>
      </c>
      <c r="G157" s="253" t="s">
        <v>415</v>
      </c>
      <c r="H157" s="1356" t="s">
        <v>48</v>
      </c>
      <c r="I157" s="428"/>
      <c r="J157" s="1972" t="s">
        <v>848</v>
      </c>
      <c r="K157" s="1972" t="s">
        <v>336</v>
      </c>
      <c r="O157" s="427"/>
      <c r="P157" s="427"/>
      <c r="Q157" s="427"/>
      <c r="R157" s="320"/>
    </row>
    <row r="158" spans="1:54" hidden="1" outlineLevel="1" x14ac:dyDescent="0.15">
      <c r="A158" s="448" t="str">
        <f t="shared" ref="A158:G158" si="15">A153&amp;A154&amp;A155&amp;A156&amp;A157</f>
        <v>Windows</v>
      </c>
      <c r="B158" s="449" t="str">
        <f t="shared" si="15"/>
        <v>WindowTS</v>
      </c>
      <c r="C158" s="449" t="str">
        <f t="shared" si="15"/>
        <v>WindowsLinux</v>
      </c>
      <c r="D158" s="449" t="str">
        <f t="shared" si="15"/>
        <v>WindowsLinuxSolarisAIXHPUX</v>
      </c>
      <c r="E158" s="449" t="str">
        <f t="shared" si="15"/>
        <v>WindowsLinux</v>
      </c>
      <c r="F158" s="449" t="str">
        <f t="shared" si="15"/>
        <v>WindowsLinuxSolarisAIXHPUX</v>
      </c>
      <c r="G158" s="449" t="str">
        <f t="shared" si="15"/>
        <v>WindowsLinuxSolarisAIXHPUX</v>
      </c>
      <c r="H158" s="585" t="s">
        <v>408</v>
      </c>
      <c r="I158" s="1970">
        <v>1</v>
      </c>
      <c r="J158" s="1973"/>
      <c r="K158" s="370"/>
      <c r="R158" s="320"/>
    </row>
    <row r="159" spans="1:54" hidden="1" outlineLevel="1" collapsed="1" x14ac:dyDescent="0.15">
      <c r="A159" s="1007" t="s">
        <v>47</v>
      </c>
      <c r="B159" s="1006">
        <v>1000</v>
      </c>
      <c r="C159" s="369">
        <v>1</v>
      </c>
      <c r="D159" s="326">
        <f>+C159+1</f>
        <v>2</v>
      </c>
      <c r="E159" s="326">
        <f>+D159+1</f>
        <v>3</v>
      </c>
      <c r="F159" s="422">
        <f>+E159+1</f>
        <v>4</v>
      </c>
      <c r="G159" s="422">
        <f>+F159+1</f>
        <v>5</v>
      </c>
      <c r="H159" s="338" t="s">
        <v>849</v>
      </c>
      <c r="I159" s="1186">
        <v>1</v>
      </c>
      <c r="J159" s="1974"/>
      <c r="K159" s="370" t="s">
        <v>1444</v>
      </c>
    </row>
    <row r="160" spans="1:54" hidden="1" outlineLevel="1" x14ac:dyDescent="0.15">
      <c r="A160" s="556" t="s">
        <v>55</v>
      </c>
      <c r="B160" s="557"/>
      <c r="C160" s="435" t="s">
        <v>88</v>
      </c>
      <c r="D160" s="432"/>
      <c r="E160" s="432"/>
      <c r="F160" s="436"/>
      <c r="G160" s="436"/>
      <c r="H160" s="339" t="s">
        <v>850</v>
      </c>
      <c r="I160" s="1971">
        <v>1.1399999999999999</v>
      </c>
      <c r="J160" s="1975">
        <v>3</v>
      </c>
      <c r="K160" s="332" t="s">
        <v>1445</v>
      </c>
    </row>
    <row r="161" spans="1:19" hidden="1" outlineLevel="1" x14ac:dyDescent="0.15">
      <c r="A161" s="555" t="s">
        <v>115</v>
      </c>
      <c r="B161" s="554" t="s">
        <v>116</v>
      </c>
      <c r="C161" s="381" t="s">
        <v>44</v>
      </c>
      <c r="D161" s="1206" t="s">
        <v>370</v>
      </c>
      <c r="E161" s="1206"/>
      <c r="F161" s="1207"/>
      <c r="G161" s="1207"/>
      <c r="H161" s="1357" t="s">
        <v>706</v>
      </c>
      <c r="I161" s="2376">
        <v>2</v>
      </c>
      <c r="J161" s="2376">
        <v>3</v>
      </c>
      <c r="K161" s="2376">
        <v>4</v>
      </c>
      <c r="L161" s="2376">
        <v>5</v>
      </c>
      <c r="M161" s="2377" t="s">
        <v>707</v>
      </c>
      <c r="R161" s="320"/>
      <c r="S161" s="324"/>
    </row>
    <row r="162" spans="1:19" hidden="1" outlineLevel="1" x14ac:dyDescent="0.15">
      <c r="A162" s="346" t="s">
        <v>75</v>
      </c>
      <c r="B162" s="343" t="s">
        <v>75</v>
      </c>
      <c r="C162" s="1062" t="s">
        <v>300</v>
      </c>
      <c r="D162" s="1063" t="s">
        <v>309</v>
      </c>
      <c r="E162" s="1063" t="s">
        <v>330</v>
      </c>
      <c r="F162" s="1063" t="s">
        <v>423</v>
      </c>
      <c r="G162" s="1064" t="s">
        <v>317</v>
      </c>
      <c r="H162" s="1976" t="s">
        <v>412</v>
      </c>
      <c r="I162" s="2378">
        <v>1</v>
      </c>
      <c r="J162" s="2378">
        <v>1</v>
      </c>
      <c r="K162" s="2378">
        <v>1</v>
      </c>
      <c r="L162" s="2378">
        <v>1</v>
      </c>
      <c r="M162" s="2379">
        <v>1</v>
      </c>
      <c r="R162" s="320"/>
      <c r="S162" s="324"/>
    </row>
    <row r="163" spans="1:19" hidden="1" outlineLevel="1" x14ac:dyDescent="0.15">
      <c r="A163" s="346" t="s">
        <v>303</v>
      </c>
      <c r="B163" s="343" t="s">
        <v>113</v>
      </c>
      <c r="C163" s="592" t="s">
        <v>1055</v>
      </c>
      <c r="D163" s="1208">
        <v>1</v>
      </c>
      <c r="E163" s="1208">
        <v>1</v>
      </c>
      <c r="F163" s="1208">
        <v>1</v>
      </c>
      <c r="G163" s="1209">
        <v>1</v>
      </c>
      <c r="H163" s="1358" t="s">
        <v>413</v>
      </c>
      <c r="I163" s="2380">
        <v>1</v>
      </c>
      <c r="J163" s="2380">
        <v>1</v>
      </c>
      <c r="K163" s="2380">
        <v>1</v>
      </c>
      <c r="L163" s="2380">
        <v>1</v>
      </c>
      <c r="M163" s="2381">
        <v>1</v>
      </c>
      <c r="R163" s="320"/>
      <c r="S163" s="324"/>
    </row>
    <row r="164" spans="1:19" hidden="1" outlineLevel="1" x14ac:dyDescent="0.15">
      <c r="A164" s="346" t="s">
        <v>111</v>
      </c>
      <c r="B164" s="343" t="s">
        <v>114</v>
      </c>
      <c r="C164" s="592" t="s">
        <v>152</v>
      </c>
      <c r="D164" s="1208"/>
      <c r="E164" s="1208"/>
      <c r="F164" s="1208">
        <v>0.8</v>
      </c>
      <c r="G164" s="1209">
        <v>1</v>
      </c>
      <c r="H164" s="2374" t="s">
        <v>966</v>
      </c>
      <c r="I164" s="2375"/>
      <c r="J164" s="346"/>
      <c r="K164" s="343"/>
      <c r="L164" s="343"/>
      <c r="M164" s="445"/>
      <c r="R164" s="320"/>
      <c r="S164" s="324"/>
    </row>
    <row r="165" spans="1:19" hidden="1" outlineLevel="1" x14ac:dyDescent="0.15">
      <c r="A165" s="435" t="s">
        <v>67</v>
      </c>
      <c r="B165" s="437"/>
      <c r="C165" s="1171" t="s">
        <v>153</v>
      </c>
      <c r="D165" s="1208"/>
      <c r="E165" s="1208"/>
      <c r="F165" s="1946">
        <v>1</v>
      </c>
      <c r="G165" s="1210">
        <v>1.5</v>
      </c>
      <c r="H165" s="2081" t="s">
        <v>964</v>
      </c>
      <c r="I165" s="2372"/>
      <c r="J165" s="343"/>
      <c r="K165" s="3185" t="s">
        <v>1839</v>
      </c>
      <c r="L165" s="2373"/>
      <c r="M165" s="2084"/>
      <c r="R165" s="320"/>
      <c r="S165" s="324"/>
    </row>
    <row r="166" spans="1:19" hidden="1" outlineLevel="1" x14ac:dyDescent="0.15">
      <c r="A166" s="2396" t="s">
        <v>62</v>
      </c>
      <c r="B166" s="2397">
        <v>0.5</v>
      </c>
      <c r="C166" s="1171" t="s">
        <v>266</v>
      </c>
      <c r="D166" s="1208"/>
      <c r="E166" s="1208"/>
      <c r="F166" s="1946">
        <v>1</v>
      </c>
      <c r="G166" s="1210">
        <v>5</v>
      </c>
      <c r="H166" s="2082" t="s">
        <v>965</v>
      </c>
      <c r="J166" s="2435">
        <f>VLOOKUP(K166,WBselect,2,FALSE)</f>
        <v>2</v>
      </c>
      <c r="K166" s="2431" t="str">
        <f>$E$2</f>
        <v>ArcGIS_BASE</v>
      </c>
      <c r="L166" s="2440"/>
      <c r="M166" s="2084"/>
      <c r="S166" s="324"/>
    </row>
    <row r="167" spans="1:19" hidden="1" outlineLevel="1" x14ac:dyDescent="0.15">
      <c r="A167" s="438" t="s">
        <v>64</v>
      </c>
      <c r="B167" s="2394">
        <v>1</v>
      </c>
      <c r="C167" s="1171" t="s">
        <v>486</v>
      </c>
      <c r="D167" s="1211"/>
      <c r="E167" s="1211"/>
      <c r="F167" s="1947">
        <v>2</v>
      </c>
      <c r="G167" s="1209">
        <v>10</v>
      </c>
      <c r="H167" s="439" t="s">
        <v>107</v>
      </c>
      <c r="J167" s="2438" t="s">
        <v>349</v>
      </c>
      <c r="K167" s="2342" t="s">
        <v>359</v>
      </c>
      <c r="L167" s="2439"/>
      <c r="S167" s="324"/>
    </row>
    <row r="168" spans="1:19" hidden="1" outlineLevel="1" x14ac:dyDescent="0.15">
      <c r="A168" s="438" t="s">
        <v>66</v>
      </c>
      <c r="B168" s="2394">
        <v>1.5</v>
      </c>
      <c r="C168" s="1171" t="s">
        <v>267</v>
      </c>
      <c r="D168" s="1211"/>
      <c r="E168" s="1211"/>
      <c r="F168" s="1947">
        <v>3</v>
      </c>
      <c r="G168" s="1209">
        <v>15</v>
      </c>
      <c r="H168" s="368" t="s">
        <v>108</v>
      </c>
      <c r="J168" s="2438" t="s">
        <v>95</v>
      </c>
      <c r="K168" s="1032" t="s">
        <v>92</v>
      </c>
      <c r="L168" s="2437"/>
      <c r="S168" s="324"/>
    </row>
    <row r="169" spans="1:19" hidden="1" outlineLevel="1" x14ac:dyDescent="0.15">
      <c r="A169" s="340" t="s">
        <v>518</v>
      </c>
      <c r="B169" s="2394">
        <v>2</v>
      </c>
      <c r="C169" s="1171" t="s">
        <v>686</v>
      </c>
      <c r="D169" s="1211"/>
      <c r="E169" s="1211"/>
      <c r="F169" s="1945">
        <v>1</v>
      </c>
      <c r="G169" s="1944">
        <v>1</v>
      </c>
      <c r="H169" s="332" t="s">
        <v>109</v>
      </c>
      <c r="J169" s="346">
        <v>1</v>
      </c>
      <c r="K169" s="2432" t="str">
        <f>VLOOKUP(J169,WBarray,J$166,FALSE)</f>
        <v>AGD wkstn</v>
      </c>
      <c r="L169" s="2436"/>
      <c r="S169" s="324"/>
    </row>
    <row r="170" spans="1:19" hidden="1" outlineLevel="1" x14ac:dyDescent="0.15">
      <c r="A170" s="340" t="s">
        <v>519</v>
      </c>
      <c r="B170" s="2394">
        <v>3</v>
      </c>
      <c r="C170" s="1213" t="s">
        <v>563</v>
      </c>
      <c r="D170" s="1214" t="str">
        <f>D162</f>
        <v>DBMS</v>
      </c>
      <c r="E170" s="1214" t="s">
        <v>540</v>
      </c>
      <c r="F170" s="1214" t="str">
        <f>F162</f>
        <v>App</v>
      </c>
      <c r="G170" s="1214" t="str">
        <f>G162</f>
        <v>Traffic</v>
      </c>
      <c r="H170" s="368" t="s">
        <v>499</v>
      </c>
      <c r="J170" s="346">
        <f>+J169+1</f>
        <v>2</v>
      </c>
      <c r="K170" s="2432" t="str">
        <f t="shared" ref="K170:K182" si="16">VLOOKUP(J170,WBarray,J$166,FALSE)</f>
        <v>AGD wkstn FSvc</v>
      </c>
      <c r="L170" s="2436"/>
      <c r="S170" s="324"/>
    </row>
    <row r="171" spans="1:19" hidden="1" outlineLevel="1" x14ac:dyDescent="0.15">
      <c r="A171" s="340" t="s">
        <v>1041</v>
      </c>
      <c r="B171" s="2394">
        <v>4</v>
      </c>
      <c r="C171" s="1171" t="s">
        <v>1468</v>
      </c>
      <c r="D171" s="1208">
        <v>1</v>
      </c>
      <c r="E171" s="1208">
        <v>1</v>
      </c>
      <c r="F171" s="1208">
        <v>1</v>
      </c>
      <c r="G171" s="1211">
        <v>1</v>
      </c>
      <c r="H171" s="370"/>
      <c r="J171" s="346">
        <f t="shared" ref="J171:J182" si="17">+J170+1</f>
        <v>3</v>
      </c>
      <c r="K171" s="2432" t="str">
        <f t="shared" si="16"/>
        <v>AGD wkstn$ FSvc</v>
      </c>
      <c r="L171" s="2436"/>
      <c r="S171" s="324"/>
    </row>
    <row r="172" spans="1:19" hidden="1" outlineLevel="1" x14ac:dyDescent="0.15">
      <c r="A172" s="340" t="s">
        <v>1042</v>
      </c>
      <c r="B172" s="2394">
        <v>5</v>
      </c>
      <c r="C172" s="1172" t="s">
        <v>492</v>
      </c>
      <c r="D172" s="1208"/>
      <c r="E172" s="1060">
        <v>0.25</v>
      </c>
      <c r="F172" s="1054">
        <v>1</v>
      </c>
      <c r="G172" s="1169">
        <v>13</v>
      </c>
      <c r="H172" s="370">
        <v>130</v>
      </c>
      <c r="J172" s="346">
        <f t="shared" si="17"/>
        <v>4</v>
      </c>
      <c r="K172" s="2432" t="str">
        <f t="shared" si="16"/>
        <v>AGD_wkstn Imagery</v>
      </c>
      <c r="L172" s="2436"/>
      <c r="S172" s="324"/>
    </row>
    <row r="173" spans="1:19" hidden="1" outlineLevel="1" x14ac:dyDescent="0.15">
      <c r="A173" s="340" t="s">
        <v>1245</v>
      </c>
      <c r="B173" s="2394">
        <f>+B172+1</f>
        <v>6</v>
      </c>
      <c r="C173" s="1172" t="s">
        <v>493</v>
      </c>
      <c r="D173" s="1208"/>
      <c r="E173" s="1060">
        <f t="shared" ref="E173:E178" si="18">+E172</f>
        <v>0.25</v>
      </c>
      <c r="F173" s="1054">
        <v>1.8</v>
      </c>
      <c r="G173" s="1169">
        <v>13.8</v>
      </c>
      <c r="H173" s="370">
        <v>138</v>
      </c>
      <c r="J173" s="346">
        <f t="shared" si="17"/>
        <v>5</v>
      </c>
      <c r="K173" s="2432" t="str">
        <f t="shared" si="16"/>
        <v>AGD Citrix</v>
      </c>
      <c r="L173" s="2436"/>
      <c r="S173" s="324"/>
    </row>
    <row r="174" spans="1:19" hidden="1" outlineLevel="1" x14ac:dyDescent="0.15">
      <c r="A174" s="340" t="s">
        <v>1246</v>
      </c>
      <c r="B174" s="2394">
        <f>+B173+1</f>
        <v>7</v>
      </c>
      <c r="C174" s="1172" t="s">
        <v>494</v>
      </c>
      <c r="D174" s="1208"/>
      <c r="E174" s="1060">
        <f t="shared" si="18"/>
        <v>0.25</v>
      </c>
      <c r="F174" s="1054">
        <v>1.88</v>
      </c>
      <c r="G174" s="1169">
        <v>2.5</v>
      </c>
      <c r="H174" s="370">
        <v>25</v>
      </c>
      <c r="J174" s="346">
        <f t="shared" si="17"/>
        <v>6</v>
      </c>
      <c r="K174" s="2432" t="str">
        <f t="shared" si="16"/>
        <v>AGD Citrix FSvc</v>
      </c>
      <c r="L174" s="2436"/>
      <c r="S174" s="324"/>
    </row>
    <row r="175" spans="1:19" hidden="1" outlineLevel="1" x14ac:dyDescent="0.15">
      <c r="A175" s="340" t="s">
        <v>1247</v>
      </c>
      <c r="B175" s="2394">
        <f>+B174+1</f>
        <v>8</v>
      </c>
      <c r="C175" s="1172" t="s">
        <v>498</v>
      </c>
      <c r="D175" s="1211"/>
      <c r="E175" s="1060">
        <f t="shared" si="18"/>
        <v>0.25</v>
      </c>
      <c r="F175" s="1060">
        <v>5.7</v>
      </c>
      <c r="G175" s="1169">
        <v>4.9000000000000004</v>
      </c>
      <c r="H175" s="370">
        <v>49</v>
      </c>
      <c r="J175" s="346">
        <f t="shared" si="17"/>
        <v>7</v>
      </c>
      <c r="K175" s="2432" t="str">
        <f t="shared" si="16"/>
        <v>AGD_Citrix Imagery</v>
      </c>
      <c r="L175" s="2436"/>
      <c r="S175" s="324"/>
    </row>
    <row r="176" spans="1:19" hidden="1" outlineLevel="1" x14ac:dyDescent="0.15">
      <c r="A176" s="340" t="s">
        <v>1248</v>
      </c>
      <c r="B176" s="2394">
        <f>+B175+1</f>
        <v>9</v>
      </c>
      <c r="C176" s="1172" t="s">
        <v>495</v>
      </c>
      <c r="D176" s="1208"/>
      <c r="E176" s="1060">
        <f t="shared" si="18"/>
        <v>0.25</v>
      </c>
      <c r="F176" s="1060">
        <v>2.77</v>
      </c>
      <c r="G176" s="1169">
        <v>1.3</v>
      </c>
      <c r="H176" s="370">
        <v>13</v>
      </c>
      <c r="J176" s="346">
        <f t="shared" si="17"/>
        <v>8</v>
      </c>
      <c r="K176" s="2432" t="str">
        <f t="shared" si="16"/>
        <v>AGS REST</v>
      </c>
      <c r="L176" s="2436"/>
      <c r="S176" s="324"/>
    </row>
    <row r="177" spans="1:19" hidden="1" outlineLevel="1" x14ac:dyDescent="0.15">
      <c r="A177" s="341" t="s">
        <v>1249</v>
      </c>
      <c r="B177" s="2395">
        <f>+B176+1</f>
        <v>10</v>
      </c>
      <c r="C177" s="1172" t="s">
        <v>496</v>
      </c>
      <c r="D177" s="1211"/>
      <c r="E177" s="1060">
        <f t="shared" si="18"/>
        <v>0.25</v>
      </c>
      <c r="F177" s="1060">
        <v>2.9</v>
      </c>
      <c r="G177" s="1169">
        <v>1.9</v>
      </c>
      <c r="H177" s="370">
        <v>19</v>
      </c>
      <c r="J177" s="346">
        <f t="shared" si="17"/>
        <v>9</v>
      </c>
      <c r="K177" s="2432" t="str">
        <f t="shared" si="16"/>
        <v>AGS KML</v>
      </c>
      <c r="L177" s="2436"/>
      <c r="S177" s="324"/>
    </row>
    <row r="178" spans="1:19" hidden="1" outlineLevel="1" x14ac:dyDescent="0.15">
      <c r="C178" s="1055" t="s">
        <v>497</v>
      </c>
      <c r="D178" s="1212"/>
      <c r="E178" s="1061">
        <f t="shared" si="18"/>
        <v>0.25</v>
      </c>
      <c r="F178" s="1061">
        <v>2.7</v>
      </c>
      <c r="G178" s="1170">
        <v>13.5</v>
      </c>
      <c r="H178" s="332">
        <v>135</v>
      </c>
      <c r="J178" s="346">
        <f t="shared" si="17"/>
        <v>10</v>
      </c>
      <c r="K178" s="2432" t="str">
        <f t="shared" si="16"/>
        <v>AGS WMS</v>
      </c>
      <c r="L178" s="2436"/>
    </row>
    <row r="179" spans="1:19" hidden="1" outlineLevel="1" x14ac:dyDescent="0.15">
      <c r="J179" s="346">
        <f t="shared" si="17"/>
        <v>11</v>
      </c>
      <c r="K179" s="2432" t="str">
        <f t="shared" si="16"/>
        <v>AGS SOAP</v>
      </c>
      <c r="L179" s="2436"/>
    </row>
    <row r="180" spans="1:19" hidden="1" outlineLevel="1" x14ac:dyDescent="0.15">
      <c r="J180" s="346">
        <f t="shared" si="17"/>
        <v>12</v>
      </c>
      <c r="K180" s="2432" t="str">
        <f t="shared" si="16"/>
        <v>AGS KMZ</v>
      </c>
      <c r="L180" s="2436"/>
    </row>
    <row r="181" spans="1:19" hidden="1" outlineLevel="1" x14ac:dyDescent="0.15">
      <c r="A181" s="2232" t="s">
        <v>1117</v>
      </c>
      <c r="B181" s="2233"/>
      <c r="C181" s="2233"/>
      <c r="D181" s="2233"/>
      <c r="E181" s="2233"/>
      <c r="F181" s="2234"/>
      <c r="J181" s="346">
        <f t="shared" si="17"/>
        <v>13</v>
      </c>
      <c r="K181" s="2432" t="str">
        <f t="shared" si="16"/>
        <v>AGS Imagery</v>
      </c>
      <c r="L181" s="2436"/>
    </row>
    <row r="182" spans="1:19" hidden="1" outlineLevel="1" x14ac:dyDescent="0.15">
      <c r="A182" s="2238" t="s">
        <v>1554</v>
      </c>
      <c r="B182" s="2239"/>
      <c r="C182" s="2239"/>
      <c r="D182" s="2239"/>
      <c r="E182" s="2239"/>
      <c r="F182" s="2240"/>
      <c r="J182" s="1358">
        <f t="shared" si="17"/>
        <v>14</v>
      </c>
      <c r="K182" s="2433">
        <f t="shared" si="16"/>
        <v>0</v>
      </c>
      <c r="L182" s="2437"/>
    </row>
    <row r="183" spans="1:19" collapsed="1" x14ac:dyDescent="0.15"/>
    <row r="188" spans="1:19" ht="16" x14ac:dyDescent="0.2">
      <c r="G188" s="324"/>
      <c r="O188" s="424"/>
    </row>
    <row r="193" spans="4:8" x14ac:dyDescent="0.15">
      <c r="E193" s="324"/>
      <c r="F193" s="324"/>
    </row>
    <row r="194" spans="4:8" x14ac:dyDescent="0.15">
      <c r="G194" s="589"/>
      <c r="H194" s="589"/>
    </row>
    <row r="195" spans="4:8" x14ac:dyDescent="0.15">
      <c r="G195" s="587"/>
      <c r="H195" s="587"/>
    </row>
    <row r="196" spans="4:8" x14ac:dyDescent="0.15">
      <c r="G196" s="588"/>
      <c r="H196" s="588"/>
    </row>
    <row r="197" spans="4:8" x14ac:dyDescent="0.15">
      <c r="G197" s="589"/>
      <c r="H197" s="589"/>
    </row>
    <row r="198" spans="4:8" x14ac:dyDescent="0.15">
      <c r="G198" s="589"/>
      <c r="H198" s="589"/>
    </row>
    <row r="199" spans="4:8" x14ac:dyDescent="0.15">
      <c r="D199" s="589"/>
      <c r="E199" s="589"/>
      <c r="F199" s="589"/>
      <c r="G199" s="587"/>
      <c r="H199" s="587"/>
    </row>
    <row r="200" spans="4:8" x14ac:dyDescent="0.15">
      <c r="D200" s="587"/>
      <c r="E200" s="587"/>
      <c r="F200" s="587"/>
      <c r="G200" s="588"/>
      <c r="H200" s="587"/>
    </row>
    <row r="201" spans="4:8" x14ac:dyDescent="0.15">
      <c r="D201" s="588"/>
      <c r="E201" s="588"/>
      <c r="F201" s="588"/>
      <c r="G201" s="589"/>
      <c r="H201" s="587"/>
    </row>
    <row r="202" spans="4:8" x14ac:dyDescent="0.15">
      <c r="D202" s="589"/>
      <c r="E202" s="589"/>
      <c r="F202" s="589"/>
      <c r="G202" s="589"/>
      <c r="H202" s="587"/>
    </row>
    <row r="203" spans="4:8" x14ac:dyDescent="0.15">
      <c r="D203" s="589"/>
      <c r="E203" s="589"/>
      <c r="F203" s="589"/>
      <c r="G203" s="587"/>
      <c r="H203" s="587"/>
    </row>
    <row r="204" spans="4:8" x14ac:dyDescent="0.15">
      <c r="D204" s="587"/>
      <c r="E204" s="587"/>
      <c r="F204" s="587"/>
      <c r="G204" s="589"/>
      <c r="H204" s="587"/>
    </row>
    <row r="205" spans="4:8" x14ac:dyDescent="0.15">
      <c r="D205" s="588"/>
      <c r="E205" s="588"/>
      <c r="F205" s="588"/>
      <c r="G205" s="589"/>
      <c r="H205" s="587"/>
    </row>
    <row r="206" spans="4:8" x14ac:dyDescent="0.15">
      <c r="D206" s="589"/>
      <c r="E206" s="589"/>
      <c r="F206" s="589"/>
    </row>
    <row r="207" spans="4:8" x14ac:dyDescent="0.15">
      <c r="D207" s="589"/>
      <c r="E207" s="589"/>
      <c r="F207" s="589"/>
    </row>
    <row r="208" spans="4:8" x14ac:dyDescent="0.15">
      <c r="D208" s="587"/>
      <c r="E208" s="587"/>
      <c r="F208" s="587"/>
    </row>
    <row r="209" spans="4:6" x14ac:dyDescent="0.15">
      <c r="D209" s="589"/>
      <c r="E209" s="589"/>
      <c r="F209" s="589"/>
    </row>
    <row r="210" spans="4:6" x14ac:dyDescent="0.15">
      <c r="D210" s="589"/>
      <c r="E210" s="589"/>
      <c r="F210" s="589"/>
    </row>
  </sheetData>
  <sheetProtection selectLockedCells="1"/>
  <mergeCells count="30">
    <mergeCell ref="J1:K1"/>
    <mergeCell ref="R32:R33"/>
    <mergeCell ref="R34:R36"/>
    <mergeCell ref="R17:R29"/>
    <mergeCell ref="D18:D20"/>
    <mergeCell ref="C15:F15"/>
    <mergeCell ref="D26:D28"/>
    <mergeCell ref="D22:D24"/>
    <mergeCell ref="C151:G151"/>
    <mergeCell ref="B101:E101"/>
    <mergeCell ref="A82:B82"/>
    <mergeCell ref="A75:B75"/>
    <mergeCell ref="A30:B30"/>
    <mergeCell ref="C30:D30"/>
    <mergeCell ref="D33:F33"/>
    <mergeCell ref="A34:C35"/>
    <mergeCell ref="E30:I30"/>
    <mergeCell ref="T28:V28"/>
    <mergeCell ref="J6:K6"/>
    <mergeCell ref="R7:R15"/>
    <mergeCell ref="N12:O12"/>
    <mergeCell ref="A3:D3"/>
    <mergeCell ref="A14:B14"/>
    <mergeCell ref="A13:B13"/>
    <mergeCell ref="P6:Q6"/>
    <mergeCell ref="D9:F9"/>
    <mergeCell ref="D10:F10"/>
    <mergeCell ref="D11:F11"/>
    <mergeCell ref="A12:B12"/>
    <mergeCell ref="E3:F3"/>
  </mergeCells>
  <phoneticPr fontId="0" type="noConversion"/>
  <conditionalFormatting sqref="H12:H14">
    <cfRule type="expression" dxfId="1697" priority="289" stopIfTrue="1">
      <formula>IF(H12&lt;1,FALSE,TRUE)</formula>
    </cfRule>
  </conditionalFormatting>
  <conditionalFormatting sqref="E22:J22">
    <cfRule type="expression" dxfId="1696" priority="239" stopIfTrue="1">
      <formula>IF(E24&gt;0,IF(E22&gt;$G$10,E22,0))</formula>
    </cfRule>
    <cfRule type="expression" dxfId="1695" priority="284" stopIfTrue="1">
      <formula>IF(E24&gt;0,IF(E22&gt;0.5,E22,0))</formula>
    </cfRule>
    <cfRule type="expression" dxfId="1694" priority="285" stopIfTrue="1">
      <formula>IF(E24=0,TRUE,FALSE)</formula>
    </cfRule>
  </conditionalFormatting>
  <conditionalFormatting sqref="T9:T11">
    <cfRule type="expression" dxfId="1693" priority="276" stopIfTrue="1">
      <formula>M9=0</formula>
    </cfRule>
  </conditionalFormatting>
  <conditionalFormatting sqref="U9:U11">
    <cfRule type="expression" dxfId="1692" priority="275" stopIfTrue="1">
      <formula>M9=0</formula>
    </cfRule>
  </conditionalFormatting>
  <conditionalFormatting sqref="N9:N11">
    <cfRule type="expression" dxfId="1691" priority="274" stopIfTrue="1">
      <formula>M9=0</formula>
    </cfRule>
  </conditionalFormatting>
  <conditionalFormatting sqref="E18:J18">
    <cfRule type="expression" dxfId="1690" priority="272" stopIfTrue="1">
      <formula>IF(E20&gt;0,IF($H$9&gt;$G$9,E18,0))</formula>
    </cfRule>
    <cfRule type="expression" dxfId="1689" priority="273" stopIfTrue="1">
      <formula>IF(E20&gt;0,IF($H$9&gt;0.5,E18,0))</formula>
    </cfRule>
    <cfRule type="expression" dxfId="1688" priority="288" stopIfTrue="1">
      <formula>IF(E20=0,TRUE,FALSE)</formula>
    </cfRule>
  </conditionalFormatting>
  <conditionalFormatting sqref="E23:J23">
    <cfRule type="expression" dxfId="1687" priority="238" stopIfTrue="1">
      <formula>IF(E24&gt;0,$H$10&gt;0.25,"false")</formula>
    </cfRule>
    <cfRule type="expression" dxfId="1686" priority="270" stopIfTrue="1">
      <formula>IF(E24&gt;0,$H$10&gt;0,0)</formula>
    </cfRule>
    <cfRule type="expression" dxfId="1685" priority="271" stopIfTrue="1">
      <formula>IF(E24=0,TRUE,FALSE)</formula>
    </cfRule>
  </conditionalFormatting>
  <conditionalFormatting sqref="E19:J19">
    <cfRule type="expression" dxfId="1684" priority="266" stopIfTrue="1">
      <formula>IF(E20&gt;0,$H$9&gt;0.25,"false")</formula>
    </cfRule>
    <cfRule type="expression" dxfId="1683" priority="267" stopIfTrue="1">
      <formula>IF(E20&gt;0,$H$9&gt;0,0)</formula>
    </cfRule>
    <cfRule type="expression" dxfId="1682" priority="2075" stopIfTrue="1">
      <formula>IF(E20=0,TRUE,FALSE)</formula>
    </cfRule>
  </conditionalFormatting>
  <conditionalFormatting sqref="G9:G11">
    <cfRule type="expression" dxfId="1681" priority="227" stopIfTrue="1">
      <formula>G9&gt;1</formula>
    </cfRule>
    <cfRule type="expression" dxfId="1680" priority="265" stopIfTrue="1">
      <formula>K9=0</formula>
    </cfRule>
  </conditionalFormatting>
  <conditionalFormatting sqref="C15">
    <cfRule type="expression" dxfId="1679" priority="511" stopIfTrue="1">
      <formula>IF(O15=#REF!,#REF!&gt;1,0)</formula>
    </cfRule>
  </conditionalFormatting>
  <conditionalFormatting sqref="J14:K14">
    <cfRule type="expression" dxfId="1678" priority="47" stopIfTrue="1">
      <formula>$K$14="slow down"</formula>
    </cfRule>
    <cfRule type="expression" dxfId="1677" priority="214">
      <formula>$T$14&lt;$B$6</formula>
    </cfRule>
  </conditionalFormatting>
  <conditionalFormatting sqref="J13:K13">
    <cfRule type="expression" dxfId="1676" priority="48" stopIfTrue="1">
      <formula>$K$13="slow down"</formula>
    </cfRule>
    <cfRule type="expression" dxfId="1675" priority="213">
      <formula>$T$13&lt;$B$6</formula>
    </cfRule>
  </conditionalFormatting>
  <conditionalFormatting sqref="J12:K12">
    <cfRule type="expression" dxfId="1674" priority="49" stopIfTrue="1">
      <formula>$K$12="slow down"</formula>
    </cfRule>
    <cfRule type="expression" dxfId="1673" priority="212">
      <formula>$B$6&lt;$S$6</formula>
    </cfRule>
  </conditionalFormatting>
  <conditionalFormatting sqref="E24:J24 E20:J20">
    <cfRule type="expression" dxfId="1672" priority="210" stopIfTrue="1">
      <formula>IF(E20=0,TRUE,FALSE)</formula>
    </cfRule>
  </conditionalFormatting>
  <conditionalFormatting sqref="S6">
    <cfRule type="expression" dxfId="1671" priority="165" stopIfTrue="1">
      <formula>IF($S$6=#REF!,FALSE,TRUE)</formula>
    </cfRule>
  </conditionalFormatting>
  <conditionalFormatting sqref="M17:Q17">
    <cfRule type="expression" dxfId="1670" priority="1717" stopIfTrue="1">
      <formula>$C$30=#REF!</formula>
    </cfRule>
  </conditionalFormatting>
  <conditionalFormatting sqref="J6">
    <cfRule type="expression" dxfId="1669" priority="2261" stopIfTrue="1">
      <formula>IF($M$6=FALSE,TRUE,FALSE)</formula>
    </cfRule>
  </conditionalFormatting>
  <conditionalFormatting sqref="D7:F7">
    <cfRule type="expression" dxfId="1668" priority="2635" stopIfTrue="1">
      <formula>$E$125</formula>
    </cfRule>
  </conditionalFormatting>
  <conditionalFormatting sqref="E34:J34">
    <cfRule type="expression" dxfId="1667" priority="105" stopIfTrue="1">
      <formula>IF(E35&gt;0,$H$33&gt;$G$33,0)</formula>
    </cfRule>
    <cfRule type="expression" dxfId="1666" priority="107" stopIfTrue="1">
      <formula>IF(E35&gt;0,$H$33&gt;0,"false")</formula>
    </cfRule>
    <cfRule type="expression" dxfId="1665" priority="108" stopIfTrue="1">
      <formula>IF(E35=0,TRUE,FALSE)</formula>
    </cfRule>
  </conditionalFormatting>
  <conditionalFormatting sqref="F35:J35">
    <cfRule type="expression" dxfId="1664" priority="104" stopIfTrue="1">
      <formula>IF(F35=0,TRUE,FALSE)</formula>
    </cfRule>
  </conditionalFormatting>
  <conditionalFormatting sqref="T33">
    <cfRule type="expression" dxfId="1663" priority="94" stopIfTrue="1">
      <formula>M33=0</formula>
    </cfRule>
  </conditionalFormatting>
  <conditionalFormatting sqref="U33">
    <cfRule type="expression" dxfId="1662" priority="93" stopIfTrue="1">
      <formula>M33=0</formula>
    </cfRule>
  </conditionalFormatting>
  <conditionalFormatting sqref="N33">
    <cfRule type="expression" dxfId="1661" priority="92" stopIfTrue="1">
      <formula>M33=0</formula>
    </cfRule>
  </conditionalFormatting>
  <conditionalFormatting sqref="G33">
    <cfRule type="expression" dxfId="1660" priority="90" stopIfTrue="1">
      <formula>G33&gt;1</formula>
    </cfRule>
    <cfRule type="expression" dxfId="1659" priority="91" stopIfTrue="1">
      <formula>K33=0</formula>
    </cfRule>
  </conditionalFormatting>
  <conditionalFormatting sqref="E35">
    <cfRule type="expression" dxfId="1658" priority="89" stopIfTrue="1">
      <formula>IF(E35=0,TRUE,FALSE)</formula>
    </cfRule>
  </conditionalFormatting>
  <conditionalFormatting sqref="M22">
    <cfRule type="expression" dxfId="1657" priority="81" stopIfTrue="1">
      <formula>$L$22*$M$33&gt;M10</formula>
    </cfRule>
  </conditionalFormatting>
  <conditionalFormatting sqref="M26">
    <cfRule type="expression" dxfId="1656" priority="80" stopIfTrue="1">
      <formula>$L$26*$M$33&gt;M11</formula>
    </cfRule>
  </conditionalFormatting>
  <conditionalFormatting sqref="M18">
    <cfRule type="expression" dxfId="1655" priority="19556" stopIfTrue="1">
      <formula>$L$18*M33&gt;M9</formula>
    </cfRule>
  </conditionalFormatting>
  <conditionalFormatting sqref="K35">
    <cfRule type="expression" dxfId="1654" priority="68" stopIfTrue="1">
      <formula>$K$35&gt;$N$33*$C$33</formula>
    </cfRule>
  </conditionalFormatting>
  <conditionalFormatting sqref="K20">
    <cfRule type="expression" dxfId="1653" priority="31504" stopIfTrue="1">
      <formula>IF(VLOOKUP(D9,HWRange,7,FALSE)=T9,FALSE,TRUE)</formula>
    </cfRule>
    <cfRule type="expression" dxfId="1652" priority="31505" stopIfTrue="1">
      <formula>IF(K21=$H$158,FALSE,TRUE)</formula>
    </cfRule>
  </conditionalFormatting>
  <conditionalFormatting sqref="K24">
    <cfRule type="expression" dxfId="1651" priority="31506" stopIfTrue="1">
      <formula>IF(VLOOKUP(D10,HWRange,7,FALSE)=T10,FALSE,TRUE)</formula>
    </cfRule>
    <cfRule type="expression" dxfId="1650" priority="31507" stopIfTrue="1">
      <formula>IF(K25=$H$158,FALSE,TRUE)</formula>
    </cfRule>
  </conditionalFormatting>
  <conditionalFormatting sqref="K28">
    <cfRule type="expression" dxfId="1649" priority="31508" stopIfTrue="1">
      <formula>IF(VLOOKUP(D11,HWRange,7,FALSE)=T11,FALSE,TRUE)</formula>
    </cfRule>
    <cfRule type="expression" dxfId="1648" priority="31509" stopIfTrue="1">
      <formula>IF(K29=$H$158,FALSE,TRUE)</formula>
    </cfRule>
  </conditionalFormatting>
  <conditionalFormatting sqref="A5">
    <cfRule type="expression" dxfId="1647" priority="54">
      <formula>$C$6&lt;1</formula>
    </cfRule>
  </conditionalFormatting>
  <conditionalFormatting sqref="I6">
    <cfRule type="expression" dxfId="1646" priority="55043" stopIfTrue="1">
      <formula>$K$5=$D$116</formula>
    </cfRule>
  </conditionalFormatting>
  <conditionalFormatting sqref="K5">
    <cfRule type="expression" dxfId="1645" priority="55044" stopIfTrue="1">
      <formula>$K$5=$D$115</formula>
    </cfRule>
  </conditionalFormatting>
  <conditionalFormatting sqref="C30">
    <cfRule type="expression" dxfId="1644" priority="55052" stopIfTrue="1">
      <formula>IF(OR($A$5=$A$162,AND($A$5=$A$163,$A$6&lt;#REF!)), $D$30+$D$6&gt;60/$B$6,FALSE)</formula>
    </cfRule>
  </conditionalFormatting>
  <conditionalFormatting sqref="L3:M3">
    <cfRule type="expression" dxfId="1643" priority="55053" stopIfTrue="1">
      <formula>IF(OR($A$5=$A$162,AND($A$5=$A$163,$A$6&lt;#REF!)), $M$3+$D$6&gt;60/$B$6,FALSE)</formula>
    </cfRule>
  </conditionalFormatting>
  <conditionalFormatting sqref="E30">
    <cfRule type="expression" dxfId="1642" priority="55054" stopIfTrue="1">
      <formula>$C$30=$C$132</formula>
    </cfRule>
  </conditionalFormatting>
  <conditionalFormatting sqref="E6">
    <cfRule type="expression" dxfId="1641" priority="55055" stopIfTrue="1">
      <formula>C30=C131</formula>
    </cfRule>
  </conditionalFormatting>
  <conditionalFormatting sqref="F6">
    <cfRule type="expression" dxfId="1640" priority="55056" stopIfTrue="1">
      <formula>C30=C131</formula>
    </cfRule>
  </conditionalFormatting>
  <conditionalFormatting sqref="H6">
    <cfRule type="expression" dxfId="1639" priority="55057" stopIfTrue="1">
      <formula>$C$30=$C$132</formula>
    </cfRule>
    <cfRule type="expression" dxfId="1638" priority="55058" stopIfTrue="1">
      <formula>M91=$B$98</formula>
    </cfRule>
  </conditionalFormatting>
  <conditionalFormatting sqref="H3">
    <cfRule type="expression" dxfId="1637" priority="55087">
      <formula>C30=C131</formula>
    </cfRule>
  </conditionalFormatting>
  <conditionalFormatting sqref="I3">
    <cfRule type="expression" dxfId="1636" priority="55088" stopIfTrue="1">
      <formula>IF(P2=N1,IF(OR(N2=B119,N2=B120),0,1),IF(B89=B111, IF(OR(N2=B119,N2=B120),1,0)))</formula>
    </cfRule>
    <cfRule type="expression" dxfId="1635" priority="55089" stopIfTrue="1">
      <formula>$B$88=""</formula>
    </cfRule>
    <cfRule type="expression" dxfId="1634" priority="55090" stopIfTrue="1">
      <formula>$C$30=C131</formula>
    </cfRule>
  </conditionalFormatting>
  <conditionalFormatting sqref="B6">
    <cfRule type="expression" dxfId="1633" priority="55091" stopIfTrue="1">
      <formula>NOT($B$6= $S$6)</formula>
    </cfRule>
    <cfRule type="expression" dxfId="1632" priority="55092" stopIfTrue="1">
      <formula>IF(OR($A$5=A162,AND(A5=A163,$A$6&lt;#REF!)),TRUE,FALSE)</formula>
    </cfRule>
    <cfRule type="expression" dxfId="1631" priority="55093" stopIfTrue="1">
      <formula>IF(A5=A164,IF(A6&lt;1000,K12+D6&gt;60/B6,0),K12+D6&gt;60/B6)</formula>
    </cfRule>
  </conditionalFormatting>
  <conditionalFormatting sqref="A11">
    <cfRule type="expression" dxfId="1630" priority="55097" stopIfTrue="1">
      <formula>IF($N$6,0,1)</formula>
    </cfRule>
    <cfRule type="expression" dxfId="1629" priority="55098" stopIfTrue="1">
      <formula>IF($N$1=$P$2,FALSE,TRUE)</formula>
    </cfRule>
  </conditionalFormatting>
  <conditionalFormatting sqref="J3:K3">
    <cfRule type="expression" dxfId="1628" priority="55099">
      <formula>$G$6=$H$107</formula>
    </cfRule>
  </conditionalFormatting>
  <conditionalFormatting sqref="G6">
    <cfRule type="expression" dxfId="1627" priority="55101" stopIfTrue="1">
      <formula>$C$30=C131</formula>
    </cfRule>
  </conditionalFormatting>
  <conditionalFormatting sqref="E26:J26">
    <cfRule type="expression" dxfId="1626" priority="59998" stopIfTrue="1">
      <formula>IF(E28&gt;0,$H$11&gt;$G$11,FALSE)</formula>
    </cfRule>
    <cfRule type="expression" dxfId="1625" priority="59999" stopIfTrue="1">
      <formula>IF(E28&gt;0,$H$11&gt;0.5,FALSE)</formula>
    </cfRule>
    <cfRule type="expression" dxfId="1624" priority="60000" stopIfTrue="1">
      <formula>IF(AND($A$10=$B$135,D28=1),FALSE,IF(E28=0,TRUE,FALSE))</formula>
    </cfRule>
  </conditionalFormatting>
  <conditionalFormatting sqref="E28:J28">
    <cfRule type="expression" dxfId="1623" priority="60001" stopIfTrue="1">
      <formula>IF(AND($A$10=$B$135,D28=1),FALSE,IF(E28=0,TRUE,FALSE))</formula>
    </cfRule>
  </conditionalFormatting>
  <conditionalFormatting sqref="E27:J27">
    <cfRule type="expression" dxfId="1622" priority="60002" stopIfTrue="1">
      <formula>IF(E28&gt;0,$H$11&gt;0.25,"false")</formula>
    </cfRule>
    <cfRule type="expression" dxfId="1621" priority="60003" stopIfTrue="1">
      <formula>IF(E28&gt;0,$H$11&gt;0,0)</formula>
    </cfRule>
    <cfRule type="expression" dxfId="1620" priority="60004" stopIfTrue="1">
      <formula>IF(AND($A$10=$B$135,D28=1),FALSE,IF(E28=0,TRUE,FALSE))</formula>
    </cfRule>
  </conditionalFormatting>
  <conditionalFormatting sqref="J15">
    <cfRule type="expression" dxfId="1619" priority="51">
      <formula>$L$15=$B$132</formula>
    </cfRule>
  </conditionalFormatting>
  <conditionalFormatting sqref="E21:J21">
    <cfRule type="expression" dxfId="1618" priority="61101" stopIfTrue="1">
      <formula>$E20=0</formula>
    </cfRule>
    <cfRule type="expression" dxfId="1617" priority="61102" stopIfTrue="1">
      <formula>IF($H$9&gt;0,IF($K21=$H$158,FALSE,TRUE),0)</formula>
    </cfRule>
  </conditionalFormatting>
  <conditionalFormatting sqref="E25:J25 F36:J36">
    <cfRule type="expression" dxfId="1616" priority="61103" stopIfTrue="1">
      <formula>$E24=0</formula>
    </cfRule>
    <cfRule type="expression" dxfId="1615" priority="61104" stopIfTrue="1">
      <formula>IF($H$10&gt;0,IF($K25=$H$158,FALSE,TRUE),0)</formula>
    </cfRule>
  </conditionalFormatting>
  <conditionalFormatting sqref="E29:J29 E36">
    <cfRule type="expression" dxfId="1614" priority="61107" stopIfTrue="1">
      <formula>$E28=0</formula>
    </cfRule>
    <cfRule type="expression" dxfId="1613" priority="61108" stopIfTrue="1">
      <formula>IF($H$11&gt;0,IF($K29=$H$158,FALSE,TRUE),0)</formula>
    </cfRule>
  </conditionalFormatting>
  <conditionalFormatting sqref="L18 L22 L26">
    <cfRule type="expression" dxfId="1612" priority="61111" stopIfTrue="1">
      <formula>IF($K21=$H$158,FALSE,TRUE)</formula>
    </cfRule>
  </conditionalFormatting>
  <conditionalFormatting sqref="K21 K29 K36">
    <cfRule type="expression" dxfId="1611" priority="61118" stopIfTrue="1">
      <formula>IF($K21=$H$158,FALSE,TRUE)</formula>
    </cfRule>
  </conditionalFormatting>
  <conditionalFormatting sqref="K23">
    <cfRule type="expression" dxfId="1610" priority="61121">
      <formula>$N$24&gt;100</formula>
    </cfRule>
    <cfRule type="expression" dxfId="1609" priority="61122">
      <formula>$N$23=$H$165</formula>
    </cfRule>
  </conditionalFormatting>
  <conditionalFormatting sqref="K25">
    <cfRule type="expression" dxfId="1608" priority="16">
      <formula>AND($W$5=LEFT($D$10,3),$K$25=$H$158)</formula>
    </cfRule>
    <cfRule type="expression" dxfId="1607" priority="61123" stopIfTrue="1">
      <formula>OR(D7=D133,D7=D136)</formula>
    </cfRule>
    <cfRule type="expression" dxfId="1606" priority="61124" stopIfTrue="1">
      <formula>IF($K25=$H$158,FALSE,TRUE)</formula>
    </cfRule>
  </conditionalFormatting>
  <conditionalFormatting sqref="A6">
    <cfRule type="expression" dxfId="1605" priority="45">
      <formula>$T$3&gt;0</formula>
    </cfRule>
  </conditionalFormatting>
  <conditionalFormatting sqref="U31">
    <cfRule type="expression" dxfId="1604" priority="44">
      <formula>$O$36=$U$31</formula>
    </cfRule>
  </conditionalFormatting>
  <conditionalFormatting sqref="K31">
    <cfRule type="expression" dxfId="1603" priority="43">
      <formula>$O$36=$U$31</formula>
    </cfRule>
  </conditionalFormatting>
  <conditionalFormatting sqref="G3">
    <cfRule type="expression" dxfId="1602" priority="65837" stopIfTrue="1">
      <formula>IF($C$30=$C$132,FALSE,IF($L$6=FALSE,TRUE,IF($D$128="OK",FALSE,TRUE)))</formula>
    </cfRule>
    <cfRule type="expression" dxfId="1601" priority="65838" stopIfTrue="1">
      <formula>IF($C$30=$C$132,1,IF(LEFT(P6,3)=$N$91,0,1))</formula>
    </cfRule>
    <cfRule type="expression" dxfId="1600" priority="65839" stopIfTrue="1">
      <formula>C30=C131</formula>
    </cfRule>
  </conditionalFormatting>
  <conditionalFormatting sqref="E3">
    <cfRule type="expression" dxfId="1599" priority="40" stopIfTrue="1">
      <formula>$C$30=$C$131</formula>
    </cfRule>
    <cfRule type="expression" dxfId="1598" priority="41" stopIfTrue="1">
      <formula>SUM($M$17:$Q$17)&gt;0</formula>
    </cfRule>
    <cfRule type="expression" dxfId="1597" priority="42" stopIfTrue="1">
      <formula>VLOOKUP(E3,WFbaseline,9,FALSE)=0</formula>
    </cfRule>
  </conditionalFormatting>
  <conditionalFormatting sqref="T24">
    <cfRule type="expression" dxfId="1596" priority="37">
      <formula>$T$23=""</formula>
    </cfRule>
  </conditionalFormatting>
  <conditionalFormatting sqref="H9:H11">
    <cfRule type="expression" dxfId="1595" priority="88973" stopIfTrue="1">
      <formula>IF(H9&gt;0,IF(AZ3=$H$158,FALSE,TRUE),0)</formula>
    </cfRule>
  </conditionalFormatting>
  <conditionalFormatting sqref="J9:J11">
    <cfRule type="expression" dxfId="1594" priority="88974" stopIfTrue="1">
      <formula>IF(H9&gt;0,IF(AZ3=$H$158,FALSE,TRUE),0)</formula>
    </cfRule>
  </conditionalFormatting>
  <conditionalFormatting sqref="C9:C11">
    <cfRule type="expression" dxfId="1593" priority="88975" stopIfTrue="1">
      <formula>IF(H9&gt;0,IF(AZ3=$H$158,FALSE,TRUE),0)</formula>
    </cfRule>
  </conditionalFormatting>
  <conditionalFormatting sqref="K9:K11">
    <cfRule type="expression" dxfId="1592" priority="88976" stopIfTrue="1">
      <formula>IF(H9&gt;0,IF(AZ3=$H$158,FALSE,TRUE),0)</formula>
    </cfRule>
  </conditionalFormatting>
  <conditionalFormatting sqref="I9:I11">
    <cfRule type="expression" dxfId="1591" priority="88977" stopIfTrue="1">
      <formula>Q9&gt;0</formula>
    </cfRule>
    <cfRule type="expression" dxfId="1590" priority="88978" stopIfTrue="1">
      <formula>IF(H9&gt;0,IF(AZ3=$H$158,FALSE,TRUE),0)</formula>
    </cfRule>
    <cfRule type="expression" dxfId="1589" priority="88979" stopIfTrue="1">
      <formula>H9=0</formula>
    </cfRule>
  </conditionalFormatting>
  <conditionalFormatting sqref="K18">
    <cfRule type="expression" dxfId="1588" priority="24">
      <formula>$W$4=LEFT($D$9,3)</formula>
    </cfRule>
  </conditionalFormatting>
  <conditionalFormatting sqref="K22">
    <cfRule type="expression" dxfId="1587" priority="22">
      <formula>$W$5=LEFT($D$10,3)</formula>
    </cfRule>
  </conditionalFormatting>
  <conditionalFormatting sqref="K26">
    <cfRule type="expression" dxfId="1586" priority="18">
      <formula>W6=LEFT($D$11,3)</formula>
    </cfRule>
  </conditionalFormatting>
  <conditionalFormatting sqref="K21">
    <cfRule type="expression" dxfId="1585" priority="2">
      <formula>$X$4=1</formula>
    </cfRule>
    <cfRule type="expression" dxfId="1584" priority="17">
      <formula>IF($C$9=0,0,IF($W$4=LEFT($D$9,3),$K$21=$H$158))</formula>
    </cfRule>
  </conditionalFormatting>
  <conditionalFormatting sqref="K29">
    <cfRule type="expression" dxfId="1583" priority="1">
      <formula>$X$6=1</formula>
    </cfRule>
    <cfRule type="expression" dxfId="1582" priority="15">
      <formula>IF($C$11=0,0,IF($W$6=LEFT($D$11,3),$K$29=$H$158))</formula>
    </cfRule>
  </conditionalFormatting>
  <conditionalFormatting sqref="I11">
    <cfRule type="expression" dxfId="1581" priority="14">
      <formula>$BG$5&lt;$I$11</formula>
    </cfRule>
  </conditionalFormatting>
  <conditionalFormatting sqref="I10">
    <cfRule type="expression" dxfId="1580" priority="13">
      <formula>$BG$4&lt;$I$10</formula>
    </cfRule>
  </conditionalFormatting>
  <conditionalFormatting sqref="I9">
    <cfRule type="expression" dxfId="1579" priority="12">
      <formula>$BG$3&lt;$I$9</formula>
    </cfRule>
  </conditionalFormatting>
  <conditionalFormatting sqref="D9:D10">
    <cfRule type="expression" dxfId="1578" priority="10" stopIfTrue="1">
      <formula>C9=0</formula>
    </cfRule>
    <cfRule type="expression" dxfId="1577" priority="11" stopIfTrue="1">
      <formula>IF($K$21=$H$158,0,IF($D$9=$D$33,0,1))</formula>
    </cfRule>
  </conditionalFormatting>
  <conditionalFormatting sqref="D11">
    <cfRule type="expression" dxfId="1576" priority="6" stopIfTrue="1">
      <formula>C11=0</formula>
    </cfRule>
    <cfRule type="expression" dxfId="1575" priority="7" stopIfTrue="1">
      <formula>IF($K$21=$H$158,0,IF($D$9=$D$33,0,1))</formula>
    </cfRule>
  </conditionalFormatting>
  <conditionalFormatting sqref="D33">
    <cfRule type="expression" dxfId="1574" priority="4" stopIfTrue="1">
      <formula>C33=0</formula>
    </cfRule>
    <cfRule type="expression" dxfId="1573" priority="5" stopIfTrue="1">
      <formula>IF($K$21=$H$158,0,IF($D$9=$D$33,0,1))</formula>
    </cfRule>
  </conditionalFormatting>
  <dataValidations count="32">
    <dataValidation type="list" allowBlank="1" showInputMessage="1" showErrorMessage="1" sqref="G3">
      <formula1>MapDocList</formula1>
    </dataValidation>
    <dataValidation type="list" allowBlank="1" showInputMessage="1" showErrorMessage="1" sqref="E6">
      <formula1>ComplexList</formula1>
    </dataValidation>
    <dataValidation type="list" allowBlank="1" showInputMessage="1" showErrorMessage="1" sqref="I3">
      <formula1>$A$117:$A$120</formula1>
    </dataValidation>
    <dataValidation type="list" allowBlank="1" showInputMessage="1" showErrorMessage="1" sqref="E30">
      <formula1>wfList</formula1>
    </dataValidation>
    <dataValidation type="list" allowBlank="1" showInputMessage="1" showErrorMessage="1" sqref="L27 L19">
      <formula1>$D$153:$D$157</formula1>
    </dataValidation>
    <dataValidation type="list" allowBlank="1" showInputMessage="1" showErrorMessage="1" sqref="L23 L34">
      <formula1>osSOC</formula1>
    </dataValidation>
    <dataValidation type="list" allowBlank="1" showInputMessage="1" showErrorMessage="1" sqref="C30:D30">
      <formula1>$C$131:$C$132</formula1>
    </dataValidation>
    <dataValidation type="list" allowBlank="1" showInputMessage="1" showErrorMessage="1" sqref="H6">
      <formula1>$B$105:$B$112</formula1>
    </dataValidation>
    <dataValidation type="list" allowBlank="1" showInputMessage="1" showErrorMessage="1" sqref="K5">
      <formula1>$D$115:$D$116</formula1>
    </dataValidation>
    <dataValidation type="list" allowBlank="1" showInputMessage="1" showErrorMessage="1" sqref="A5">
      <formula1>UserNeedCalc</formula1>
    </dataValidation>
    <dataValidation type="list" allowBlank="1" showInputMessage="1" showErrorMessage="1" sqref="L17">
      <formula1>$H$168:$H$169</formula1>
    </dataValidation>
    <dataValidation type="list" allowBlank="1" showInputMessage="1" showErrorMessage="1" sqref="A9">
      <formula1>$B$128:$B$130</formula1>
    </dataValidation>
    <dataValidation type="list" allowBlank="1" showInputMessage="1" showErrorMessage="1" sqref="K29 K21 K25">
      <formula1>$H$158:$H$160</formula1>
    </dataValidation>
    <dataValidation type="list" allowBlank="1" showInputMessage="1" showErrorMessage="1" sqref="K17">
      <formula1>$H$165:$H$166</formula1>
    </dataValidation>
    <dataValidation type="list" allowBlank="1" showInputMessage="1" showErrorMessage="1" sqref="H3">
      <formula1>$D$118:$D$119</formula1>
    </dataValidation>
    <dataValidation type="list" allowBlank="1" showInputMessage="1" showErrorMessage="1" sqref="A11">
      <formula1>$C$137:$C$138</formula1>
    </dataValidation>
    <dataValidation type="list" allowBlank="1" showInputMessage="1" showErrorMessage="1" sqref="F6">
      <formula1>$A$104:$A$114</formula1>
    </dataValidation>
    <dataValidation type="list" allowBlank="1" showInputMessage="1" showErrorMessage="1" sqref="D32">
      <formula1>$A$93:$A$94</formula1>
    </dataValidation>
    <dataValidation type="list" allowBlank="1" showInputMessage="1" showErrorMessage="1" sqref="C15:F15">
      <formula1>IF(D8=$A$94,hwFAVORITES,HWList)</formula1>
    </dataValidation>
    <dataValidation type="list" allowBlank="1" showInputMessage="1" showErrorMessage="1" sqref="E3:F3">
      <formula1>$K$167:$K$182</formula1>
    </dataValidation>
    <dataValidation type="list" allowBlank="1" showInputMessage="1" showErrorMessage="1" sqref="G6">
      <formula1>$H$105:$H$116</formula1>
    </dataValidation>
    <dataValidation type="list" allowBlank="1" showInputMessage="1" showErrorMessage="1" sqref="A10 A33">
      <formula1>$B$134:$B$135</formula1>
    </dataValidation>
    <dataValidation type="list" allowBlank="1" showInputMessage="1" showErrorMessage="1" sqref="J15">
      <formula1>$B$131:$B$132</formula1>
    </dataValidation>
    <dataValidation type="list" allowBlank="1" showInputMessage="1" showErrorMessage="1" sqref="E2">
      <formula1>WBlist</formula1>
    </dataValidation>
    <dataValidation type="list" allowBlank="1" showDropDown="1" showInputMessage="1" showErrorMessage="1" sqref="N23">
      <formula1>$H$165:$H$166</formula1>
    </dataValidation>
    <dataValidation type="list" allowBlank="1" showInputMessage="1" showErrorMessage="1" sqref="T24">
      <formula1>GPU_Clients</formula1>
    </dataValidation>
    <dataValidation type="list" allowBlank="1" showInputMessage="1" showErrorMessage="1" sqref="G12:G14">
      <formula1>$BB$2:$BB$33</formula1>
    </dataValidation>
    <dataValidation type="list" allowBlank="1" showInputMessage="1" showErrorMessage="1" sqref="J6">
      <formula1>IF(P2=N1,ImageryDataList,MapDataList)</formula1>
    </dataValidation>
    <dataValidation type="list" allowBlank="1" showInputMessage="1" showErrorMessage="1" sqref="K6">
      <formula1>IF(#REF!=O1,ImageryDataList,MapDataList)</formula1>
    </dataValidation>
    <dataValidation type="list" allowBlank="1" showInputMessage="1" showErrorMessage="1" sqref="AA3">
      <formula1>IF($D$8=$A$94,hwFAVORITES,ServerCandidates)</formula1>
    </dataValidation>
    <dataValidation type="list" allowBlank="1" showInputMessage="1" showErrorMessage="1" sqref="D8">
      <formula1>$C$93:$C$98</formula1>
    </dataValidation>
    <dataValidation type="list" allowBlank="1" showInputMessage="1" showErrorMessage="1" sqref="D33:F33 D9:F11">
      <formula1>IF($D$8=$C$93,Project,  IF($D$8=$C$94,Windows,  IF($D$8=$C$95,AmazonVM,  IF($D$8=$C$96,AzureVM,  IF($D$8=$C$97,UNIX,SADS)))))</formula1>
    </dataValidation>
  </dataValidations>
  <pageMargins left="0.7" right="0.7" top="0.75" bottom="0.75" header="0.3" footer="0.3"/>
  <pageSetup orientation="landscape" horizontalDpi="1200" verticalDpi="12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tabColor rgb="FF0000FF"/>
    <pageSetUpPr fitToPage="1"/>
  </sheetPr>
  <dimension ref="A1:BC346"/>
  <sheetViews>
    <sheetView showZeros="0" topLeftCell="A3" workbookViewId="0">
      <selection activeCell="U336" sqref="U336"/>
    </sheetView>
  </sheetViews>
  <sheetFormatPr baseColWidth="10" defaultColWidth="9.1640625" defaultRowHeight="15" customHeight="1" outlineLevelRow="2" outlineLevelCol="1" x14ac:dyDescent="0.2"/>
  <cols>
    <col min="1" max="1" width="69.1640625" style="25" bestFit="1" customWidth="1"/>
    <col min="2" max="2" width="6.6640625" style="9" customWidth="1"/>
    <col min="3" max="3" width="6.6640625" style="11" customWidth="1" outlineLevel="1"/>
    <col min="4" max="4" width="6.6640625" style="25" customWidth="1" outlineLevel="1"/>
    <col min="5" max="5" width="5.5" style="25" customWidth="1" outlineLevel="1"/>
    <col min="6" max="6" width="6.6640625" style="25" customWidth="1" outlineLevel="1"/>
    <col min="7" max="7" width="5.5" style="2715" customWidth="1" outlineLevel="1"/>
    <col min="8" max="8" width="6.6640625" style="25" customWidth="1" outlineLevel="1"/>
    <col min="9" max="9" width="7.5" style="25" customWidth="1" outlineLevel="1"/>
    <col min="10" max="11" width="6.6640625" style="25" customWidth="1" outlineLevel="1"/>
    <col min="12" max="13" width="6.6640625" style="9" customWidth="1" outlineLevel="1"/>
    <col min="14" max="14" width="4.33203125" style="2305" customWidth="1" outlineLevel="1"/>
    <col min="15" max="15" width="5.5" style="1963" customWidth="1" outlineLevel="1"/>
    <col min="16" max="16" width="6.6640625" style="9" customWidth="1" outlineLevel="1"/>
    <col min="17" max="17" width="3.33203125" style="25" customWidth="1"/>
    <col min="18" max="19" width="6.33203125" style="3203" hidden="1" customWidth="1"/>
    <col min="20" max="20" width="5.6640625" style="11" customWidth="1" outlineLevel="1"/>
    <col min="21" max="21" width="5.6640625" style="25" customWidth="1" outlineLevel="1"/>
    <col min="22" max="22" width="7.6640625" style="25" customWidth="1" outlineLevel="1"/>
    <col min="23" max="24" width="5.6640625" style="25" customWidth="1" outlineLevel="1"/>
    <col min="25" max="25" width="7" style="25" customWidth="1" outlineLevel="1"/>
    <col min="26" max="27" width="5.6640625" style="25" customWidth="1" outlineLevel="1"/>
    <col min="28" max="28" width="7.83203125" style="25" customWidth="1" outlineLevel="1"/>
    <col min="29" max="29" width="6.5" style="9" customWidth="1" outlineLevel="1"/>
    <col min="30" max="30" width="8" style="9" customWidth="1" outlineLevel="1"/>
    <col min="31" max="31" width="3" style="25" customWidth="1"/>
    <col min="32" max="32" width="62.83203125" style="25" hidden="1" customWidth="1" outlineLevel="1"/>
    <col min="33" max="33" width="3" style="25" customWidth="1" collapsed="1"/>
    <col min="34" max="37" width="5.6640625" style="25" hidden="1" customWidth="1"/>
    <col min="38" max="38" width="5.6640625" style="1297" hidden="1" customWidth="1"/>
    <col min="39" max="40" width="5.6640625" style="25" hidden="1" customWidth="1"/>
    <col min="41" max="53" width="3.6640625" style="25" hidden="1" customWidth="1"/>
    <col min="54" max="54" width="9.1640625" style="25"/>
    <col min="55" max="55" width="14.6640625" style="25" customWidth="1"/>
    <col min="56" max="16384" width="9.1640625" style="25"/>
  </cols>
  <sheetData>
    <row r="1" spans="1:55" ht="17" thickBot="1" x14ac:dyDescent="0.25">
      <c r="B1" s="10">
        <f>COLUMN()</f>
        <v>2</v>
      </c>
      <c r="C1" s="3007">
        <f>COLUMN()</f>
        <v>3</v>
      </c>
      <c r="D1" s="10">
        <f>COLUMN()</f>
        <v>4</v>
      </c>
      <c r="E1" s="10">
        <f>COLUMN()</f>
        <v>5</v>
      </c>
      <c r="F1" s="10">
        <f>COLUMN()</f>
        <v>6</v>
      </c>
      <c r="G1" s="10">
        <f>COLUMN()</f>
        <v>7</v>
      </c>
      <c r="H1" s="10">
        <f>COLUMN()</f>
        <v>8</v>
      </c>
      <c r="I1" s="10">
        <f>COLUMN()</f>
        <v>9</v>
      </c>
      <c r="J1" s="10">
        <f>COLUMN()</f>
        <v>10</v>
      </c>
      <c r="K1" s="10">
        <f>COLUMN()</f>
        <v>11</v>
      </c>
      <c r="L1" s="10">
        <f>COLUMN()</f>
        <v>12</v>
      </c>
      <c r="M1" s="10">
        <f>COLUMN()</f>
        <v>13</v>
      </c>
      <c r="N1" s="10">
        <f>COLUMN()</f>
        <v>14</v>
      </c>
      <c r="O1" s="10">
        <f>COLUMN()</f>
        <v>15</v>
      </c>
      <c r="P1" s="10">
        <f>COLUMN()</f>
        <v>16</v>
      </c>
      <c r="Q1" s="10">
        <f>COLUMN()</f>
        <v>17</v>
      </c>
      <c r="R1" s="10">
        <f>COLUMN()</f>
        <v>18</v>
      </c>
      <c r="S1" s="10">
        <f>COLUMN()</f>
        <v>19</v>
      </c>
      <c r="T1" s="10">
        <f>COLUMN()</f>
        <v>20</v>
      </c>
      <c r="U1" s="10">
        <f>COLUMN()</f>
        <v>21</v>
      </c>
      <c r="V1" s="10">
        <f>COLUMN()</f>
        <v>22</v>
      </c>
      <c r="W1" s="10">
        <f>COLUMN()</f>
        <v>23</v>
      </c>
      <c r="X1" s="10">
        <f>COLUMN()</f>
        <v>24</v>
      </c>
      <c r="Y1" s="10">
        <f>COLUMN()</f>
        <v>25</v>
      </c>
      <c r="Z1" s="10">
        <f>COLUMN()</f>
        <v>26</v>
      </c>
      <c r="AA1" s="10">
        <f>COLUMN()</f>
        <v>27</v>
      </c>
      <c r="AB1" s="10">
        <f>COLUMN()</f>
        <v>28</v>
      </c>
      <c r="AC1" s="10">
        <f>COLUMN()</f>
        <v>29</v>
      </c>
      <c r="AD1" s="25"/>
      <c r="AF1" s="10">
        <f>COLUMN()</f>
        <v>32</v>
      </c>
      <c r="AH1" s="10">
        <f>COLUMN()</f>
        <v>34</v>
      </c>
      <c r="AI1" s="10">
        <f>COLUMN()</f>
        <v>35</v>
      </c>
      <c r="AJ1" s="10">
        <f>COLUMN()</f>
        <v>36</v>
      </c>
      <c r="AK1" s="10">
        <f>COLUMN()</f>
        <v>37</v>
      </c>
      <c r="AL1" s="1321">
        <f>COLUMN()</f>
        <v>38</v>
      </c>
      <c r="AM1" s="10">
        <f>COLUMN()</f>
        <v>39</v>
      </c>
      <c r="AN1" s="10">
        <f>COLUMN()</f>
        <v>40</v>
      </c>
    </row>
    <row r="2" spans="1:55" ht="15" customHeight="1" x14ac:dyDescent="0.2">
      <c r="A2" s="150" t="s">
        <v>280</v>
      </c>
      <c r="B2" s="3396" t="s">
        <v>278</v>
      </c>
      <c r="C2" s="1924"/>
      <c r="D2" s="179" t="s">
        <v>402</v>
      </c>
      <c r="E2" s="180"/>
      <c r="F2" s="180"/>
      <c r="G2" s="2690"/>
      <c r="H2" s="180"/>
      <c r="I2" s="180"/>
      <c r="J2" s="180"/>
      <c r="K2" s="180"/>
      <c r="L2" s="177"/>
      <c r="M2" s="3372" t="s">
        <v>126</v>
      </c>
      <c r="N2" s="3390" t="s">
        <v>1208</v>
      </c>
      <c r="O2" s="3381" t="s">
        <v>1305</v>
      </c>
      <c r="P2" s="3375" t="s">
        <v>294</v>
      </c>
      <c r="Q2" s="3378" t="s">
        <v>13</v>
      </c>
      <c r="R2" s="3201"/>
      <c r="S2" s="3201"/>
      <c r="T2" s="1267" t="s">
        <v>56</v>
      </c>
      <c r="U2" s="180"/>
      <c r="V2" s="180"/>
      <c r="W2" s="180"/>
      <c r="X2" s="180"/>
      <c r="Y2" s="180"/>
      <c r="Z2" s="180"/>
      <c r="AA2" s="180"/>
      <c r="AB2" s="180"/>
      <c r="AC2" s="177"/>
      <c r="AD2" s="3375" t="s">
        <v>294</v>
      </c>
      <c r="AE2" s="3359" t="s">
        <v>53</v>
      </c>
      <c r="AF2" s="132" t="s">
        <v>391</v>
      </c>
      <c r="AG2" s="3359" t="s">
        <v>15</v>
      </c>
      <c r="AH2" s="26" t="s">
        <v>704</v>
      </c>
      <c r="AI2" s="1322"/>
      <c r="AJ2" s="1322"/>
      <c r="AK2" s="1322"/>
      <c r="AL2" s="1323"/>
      <c r="AM2" s="1322"/>
      <c r="AN2" s="1322"/>
      <c r="AO2" s="3359" t="s">
        <v>14</v>
      </c>
      <c r="AP2" s="2006"/>
      <c r="AQ2" s="2006"/>
      <c r="AR2" s="2006"/>
      <c r="AS2" s="2006"/>
      <c r="AT2" s="2006"/>
      <c r="AU2" s="2006"/>
      <c r="AV2" s="2006"/>
      <c r="AW2" s="2006"/>
      <c r="AX2" s="2006"/>
      <c r="AY2" s="2006"/>
      <c r="AZ2" s="3383"/>
      <c r="BA2" s="3383"/>
    </row>
    <row r="3" spans="1:55" ht="15" customHeight="1" x14ac:dyDescent="0.2">
      <c r="A3" s="151" t="s">
        <v>281</v>
      </c>
      <c r="B3" s="3397"/>
      <c r="C3" s="153"/>
      <c r="D3" s="3368" t="str">
        <f>Calculator!B101</f>
        <v>Arc18 Baseline 4 core (1 chip) 3600 MHz</v>
      </c>
      <c r="E3" s="3369"/>
      <c r="F3" s="3369"/>
      <c r="G3" s="3369"/>
      <c r="H3" s="3369"/>
      <c r="I3" s="59" t="s">
        <v>321</v>
      </c>
      <c r="J3" s="59"/>
      <c r="K3" s="144">
        <f>Calculator!I101</f>
        <v>74</v>
      </c>
      <c r="L3" s="145" t="s">
        <v>345</v>
      </c>
      <c r="M3" s="3373"/>
      <c r="N3" s="3391"/>
      <c r="O3" s="3382"/>
      <c r="P3" s="3376"/>
      <c r="Q3" s="3379"/>
      <c r="R3" s="3357" t="s">
        <v>1906</v>
      </c>
      <c r="S3" s="3358"/>
      <c r="T3" s="187"/>
      <c r="U3" s="3387" t="s">
        <v>1873</v>
      </c>
      <c r="V3" s="3388"/>
      <c r="W3" s="3388"/>
      <c r="X3" s="3388"/>
      <c r="Y3" s="3389"/>
      <c r="Z3" s="59" t="s">
        <v>321</v>
      </c>
      <c r="AA3" s="59"/>
      <c r="AB3" s="144">
        <f>VLOOKUP(U3,HWRange,7,FALSE)</f>
        <v>35</v>
      </c>
      <c r="AC3" s="145" t="s">
        <v>345</v>
      </c>
      <c r="AD3" s="3376"/>
      <c r="AE3" s="3360"/>
      <c r="AF3" s="133"/>
      <c r="AG3" s="3360"/>
      <c r="AH3" s="26" t="s">
        <v>705</v>
      </c>
      <c r="AI3" s="120"/>
      <c r="AJ3" s="120"/>
      <c r="AK3" s="120"/>
      <c r="AL3" s="1324"/>
      <c r="AM3" s="120"/>
      <c r="AN3" s="120"/>
      <c r="AO3" s="3360"/>
      <c r="AP3" s="2006"/>
      <c r="AQ3" s="2006"/>
      <c r="AR3" s="2006"/>
      <c r="AS3" s="2006"/>
      <c r="AT3" s="2006"/>
      <c r="AU3" s="2006"/>
      <c r="AV3" s="2006"/>
      <c r="AW3" s="2006"/>
      <c r="AX3" s="2006"/>
      <c r="AY3" s="2006"/>
      <c r="AZ3" s="3384"/>
      <c r="BA3" s="3384"/>
    </row>
    <row r="4" spans="1:55" ht="15" customHeight="1" x14ac:dyDescent="0.2">
      <c r="A4" s="151" t="s">
        <v>282</v>
      </c>
      <c r="B4" s="3397"/>
      <c r="C4" s="154" t="s">
        <v>303</v>
      </c>
      <c r="D4" s="26" t="s">
        <v>297</v>
      </c>
      <c r="E4" s="26"/>
      <c r="F4" s="26"/>
      <c r="G4" s="2691"/>
      <c r="H4" s="26"/>
      <c r="I4" s="26"/>
      <c r="J4" s="22" t="s">
        <v>369</v>
      </c>
      <c r="K4" s="26"/>
      <c r="L4" s="145" t="s">
        <v>292</v>
      </c>
      <c r="M4" s="3373"/>
      <c r="N4" s="3391"/>
      <c r="O4" s="3382"/>
      <c r="P4" s="3376"/>
      <c r="Q4" s="3379"/>
      <c r="R4" s="3357" t="s">
        <v>1564</v>
      </c>
      <c r="S4" s="3358"/>
      <c r="T4" s="1268" t="s">
        <v>303</v>
      </c>
      <c r="U4" s="26" t="s">
        <v>297</v>
      </c>
      <c r="V4" s="26"/>
      <c r="W4" s="26"/>
      <c r="X4" s="26"/>
      <c r="Y4" s="26"/>
      <c r="Z4" s="26"/>
      <c r="AA4" s="22" t="s">
        <v>369</v>
      </c>
      <c r="AB4" s="26"/>
      <c r="AC4" s="145" t="s">
        <v>292</v>
      </c>
      <c r="AD4" s="3376"/>
      <c r="AE4" s="3360"/>
      <c r="AF4" s="133"/>
      <c r="AG4" s="3360"/>
      <c r="AH4" s="26" t="s">
        <v>336</v>
      </c>
      <c r="AI4" s="26"/>
      <c r="AJ4" s="26" t="s">
        <v>332</v>
      </c>
      <c r="AK4" s="26"/>
      <c r="AL4" s="1325"/>
      <c r="AM4" s="1326" t="s">
        <v>369</v>
      </c>
      <c r="AN4" s="26"/>
      <c r="AO4" s="3360"/>
      <c r="AP4" s="2006"/>
      <c r="AQ4" s="2006"/>
      <c r="AR4" s="2006"/>
      <c r="AS4" s="2006"/>
      <c r="AT4" s="2006"/>
      <c r="AU4" s="2006"/>
      <c r="AV4" s="2006"/>
      <c r="AW4" s="2006"/>
      <c r="AX4" s="2006"/>
      <c r="AY4" s="2006"/>
      <c r="AZ4" s="3384"/>
      <c r="BA4" s="3384"/>
      <c r="BB4" s="1722">
        <f>Calculator!P21</f>
        <v>0</v>
      </c>
      <c r="BC4" s="300"/>
    </row>
    <row r="5" spans="1:55" ht="15" customHeight="1" thickBot="1" x14ac:dyDescent="0.25">
      <c r="A5" s="152" t="s">
        <v>101</v>
      </c>
      <c r="B5" s="3397"/>
      <c r="C5" s="154" t="s">
        <v>317</v>
      </c>
      <c r="D5" s="111" t="s">
        <v>303</v>
      </c>
      <c r="E5" s="111"/>
      <c r="F5" s="111" t="s">
        <v>304</v>
      </c>
      <c r="G5" s="2692"/>
      <c r="H5" s="111" t="s">
        <v>312</v>
      </c>
      <c r="I5" s="111" t="s">
        <v>329</v>
      </c>
      <c r="J5" s="111" t="s">
        <v>317</v>
      </c>
      <c r="K5" s="111" t="s">
        <v>329</v>
      </c>
      <c r="L5" s="145" t="s">
        <v>293</v>
      </c>
      <c r="M5" s="3373"/>
      <c r="N5" s="3391"/>
      <c r="O5" s="3382"/>
      <c r="P5" s="3376"/>
      <c r="Q5" s="3380"/>
      <c r="R5" s="3202"/>
      <c r="S5" s="3202"/>
      <c r="T5" s="1268" t="s">
        <v>317</v>
      </c>
      <c r="U5" s="111" t="s">
        <v>303</v>
      </c>
      <c r="V5" s="111"/>
      <c r="W5" s="111" t="s">
        <v>304</v>
      </c>
      <c r="X5" s="111"/>
      <c r="Y5" s="111" t="s">
        <v>312</v>
      </c>
      <c r="Z5" s="111" t="s">
        <v>329</v>
      </c>
      <c r="AA5" s="111" t="s">
        <v>317</v>
      </c>
      <c r="AB5" s="111" t="s">
        <v>329</v>
      </c>
      <c r="AC5" s="145" t="s">
        <v>293</v>
      </c>
      <c r="AD5" s="3376"/>
      <c r="AE5" s="3361"/>
      <c r="AF5" s="134"/>
      <c r="AG5" s="3361"/>
      <c r="AH5" s="1327" t="str">
        <f>D5</f>
        <v>Client</v>
      </c>
      <c r="AI5" s="1327"/>
      <c r="AJ5" s="1327" t="str">
        <f>F5</f>
        <v>Web</v>
      </c>
      <c r="AK5" s="1327"/>
      <c r="AL5" s="1328" t="str">
        <f t="shared" ref="AL5:AM8" si="0">H5</f>
        <v>SOC</v>
      </c>
      <c r="AM5" s="1327" t="str">
        <f t="shared" si="0"/>
        <v>Data</v>
      </c>
      <c r="AN5" s="1327"/>
      <c r="AO5" s="3361"/>
      <c r="AP5" s="2006"/>
      <c r="AQ5" s="2009" t="s">
        <v>871</v>
      </c>
      <c r="AR5" s="2006"/>
      <c r="AS5" s="2006"/>
      <c r="AT5" s="2006"/>
      <c r="AU5" s="2006"/>
      <c r="AV5" s="2006"/>
      <c r="AW5" s="2006"/>
      <c r="AX5" s="2006"/>
      <c r="AY5" s="2006"/>
      <c r="AZ5" s="3385"/>
      <c r="BA5" s="3385"/>
      <c r="BB5" s="1722">
        <f>Calculator!P25</f>
        <v>0</v>
      </c>
      <c r="BC5" s="300"/>
    </row>
    <row r="6" spans="1:55" ht="15" customHeight="1" thickBot="1" x14ac:dyDescent="0.25">
      <c r="A6" s="1077" t="s">
        <v>1469</v>
      </c>
      <c r="B6" s="1078" t="s">
        <v>426</v>
      </c>
      <c r="C6" s="1079" t="s">
        <v>308</v>
      </c>
      <c r="D6" s="1080" t="s">
        <v>303</v>
      </c>
      <c r="E6" s="1080" t="str">
        <f>Calculator!$E$74</f>
        <v>Citrix</v>
      </c>
      <c r="F6" s="1080" t="s">
        <v>304</v>
      </c>
      <c r="G6" s="2693" t="s">
        <v>970</v>
      </c>
      <c r="H6" s="1080" t="str">
        <f>Calculator!H74</f>
        <v>SOC</v>
      </c>
      <c r="I6" s="1080" t="str">
        <f>Calculator!I74</f>
        <v>DS/MDS</v>
      </c>
      <c r="J6" s="1080" t="s">
        <v>308</v>
      </c>
      <c r="K6" s="1080" t="str">
        <f>Calculator!K74</f>
        <v>DBMS</v>
      </c>
      <c r="L6" s="1081" t="s">
        <v>299</v>
      </c>
      <c r="M6" s="1082" t="s">
        <v>127</v>
      </c>
      <c r="N6" s="2291" t="s">
        <v>1206</v>
      </c>
      <c r="O6" s="2505" t="s">
        <v>1306</v>
      </c>
      <c r="P6" s="1083" t="s">
        <v>273</v>
      </c>
      <c r="Q6" s="1084"/>
      <c r="R6" s="3203" t="s">
        <v>1903</v>
      </c>
      <c r="S6" s="3203" t="s">
        <v>1905</v>
      </c>
      <c r="T6" s="1269" t="s">
        <v>308</v>
      </c>
      <c r="U6" s="1080" t="s">
        <v>303</v>
      </c>
      <c r="V6" s="1080" t="s">
        <v>9</v>
      </c>
      <c r="W6" s="1080" t="str">
        <f>F6</f>
        <v>Web</v>
      </c>
      <c r="X6" s="1080" t="str">
        <f>G6</f>
        <v>Portal</v>
      </c>
      <c r="Y6" s="1080" t="s">
        <v>312</v>
      </c>
      <c r="Z6" s="1080" t="s">
        <v>330</v>
      </c>
      <c r="AA6" s="1080" t="s">
        <v>308</v>
      </c>
      <c r="AB6" s="1080" t="s">
        <v>309</v>
      </c>
      <c r="AC6" s="1081" t="s">
        <v>299</v>
      </c>
      <c r="AD6" s="1083" t="s">
        <v>273</v>
      </c>
      <c r="AE6" s="1084"/>
      <c r="AF6" s="1086" t="str">
        <f>A6</f>
        <v>Project Workflows =========</v>
      </c>
      <c r="AG6" s="1087"/>
      <c r="AH6" s="1329" t="str">
        <f>D6</f>
        <v>Client</v>
      </c>
      <c r="AI6" s="1330" t="str">
        <f>E6</f>
        <v>Citrix</v>
      </c>
      <c r="AJ6" s="1330" t="str">
        <f>F6</f>
        <v>Web</v>
      </c>
      <c r="AK6" s="1330" t="str">
        <f>G6</f>
        <v>Portal</v>
      </c>
      <c r="AL6" s="1331" t="str">
        <f t="shared" si="0"/>
        <v>SOC</v>
      </c>
      <c r="AM6" s="1332" t="str">
        <f t="shared" si="0"/>
        <v>DS/MDS</v>
      </c>
      <c r="AN6" s="1333" t="str">
        <f>K6</f>
        <v>DBMS</v>
      </c>
      <c r="AO6" s="1084"/>
      <c r="AP6" s="2006"/>
      <c r="AQ6" s="2006"/>
      <c r="AR6" s="2006"/>
      <c r="AS6" s="2006"/>
      <c r="AT6" s="2006"/>
      <c r="AU6" s="2006"/>
      <c r="AV6" s="2006"/>
      <c r="AW6" s="2006"/>
      <c r="AX6" s="2006"/>
      <c r="AY6" s="2006"/>
      <c r="AZ6" s="2007"/>
      <c r="BA6" s="2007"/>
      <c r="BC6" s="300"/>
    </row>
    <row r="7" spans="1:55" ht="15" customHeight="1" x14ac:dyDescent="0.2">
      <c r="A7" s="1077" t="s">
        <v>555</v>
      </c>
      <c r="B7" s="1078" t="str">
        <f t="shared" ref="B7:D8" si="1">B$6</f>
        <v>Trips</v>
      </c>
      <c r="C7" s="1079" t="str">
        <f t="shared" si="1"/>
        <v>Mbpd</v>
      </c>
      <c r="D7" s="1080" t="str">
        <f t="shared" si="1"/>
        <v>Client</v>
      </c>
      <c r="E7" s="1080" t="str">
        <f t="shared" ref="E7:K7" si="2">E$6</f>
        <v>Citrix</v>
      </c>
      <c r="F7" s="1080" t="str">
        <f t="shared" si="2"/>
        <v>Web</v>
      </c>
      <c r="G7" s="1080" t="str">
        <f t="shared" si="2"/>
        <v>Portal</v>
      </c>
      <c r="H7" s="1080" t="str">
        <f t="shared" si="2"/>
        <v>SOC</v>
      </c>
      <c r="I7" s="1080" t="str">
        <f t="shared" si="2"/>
        <v>DS/MDS</v>
      </c>
      <c r="J7" s="1080" t="str">
        <f t="shared" si="2"/>
        <v>Mbpd</v>
      </c>
      <c r="K7" s="1080" t="str">
        <f t="shared" si="2"/>
        <v>DBMS</v>
      </c>
      <c r="L7" s="1081" t="str">
        <f>L$6</f>
        <v>sec</v>
      </c>
      <c r="M7" s="1082" t="str">
        <f>M$6</f>
        <v>DPM/c</v>
      </c>
      <c r="N7" s="2291" t="str">
        <f>N$6</f>
        <v>MT</v>
      </c>
      <c r="O7" s="2505" t="str">
        <f>O$6</f>
        <v xml:space="preserve">WF </v>
      </c>
      <c r="P7" s="1083" t="str">
        <f>P$6</f>
        <v>Total</v>
      </c>
      <c r="Q7" s="1084"/>
      <c r="R7" s="1083"/>
      <c r="S7" s="1083"/>
      <c r="T7" s="1269" t="s">
        <v>308</v>
      </c>
      <c r="U7" s="1080" t="s">
        <v>303</v>
      </c>
      <c r="V7" s="1080" t="s">
        <v>9</v>
      </c>
      <c r="W7" s="1080" t="str">
        <f>F7</f>
        <v>Web</v>
      </c>
      <c r="X7" s="1080" t="str">
        <f>G7</f>
        <v>Portal</v>
      </c>
      <c r="Y7" s="1080" t="s">
        <v>312</v>
      </c>
      <c r="Z7" s="1080" t="s">
        <v>330</v>
      </c>
      <c r="AA7" s="1080" t="s">
        <v>308</v>
      </c>
      <c r="AB7" s="1080" t="s">
        <v>309</v>
      </c>
      <c r="AC7" s="1081" t="s">
        <v>299</v>
      </c>
      <c r="AD7" s="1083" t="s">
        <v>273</v>
      </c>
      <c r="AE7" s="1084"/>
      <c r="AF7" s="1086" t="str">
        <f>A7</f>
        <v>Standard Workflows =========</v>
      </c>
      <c r="AG7" s="1087"/>
      <c r="AH7" s="1329" t="str">
        <f>D7</f>
        <v>Client</v>
      </c>
      <c r="AI7" s="1330" t="str">
        <f>E7</f>
        <v>Citrix</v>
      </c>
      <c r="AJ7" s="1330" t="str">
        <f>F7</f>
        <v>Web</v>
      </c>
      <c r="AK7" s="1330" t="str">
        <f>G7</f>
        <v>Portal</v>
      </c>
      <c r="AL7" s="1331" t="str">
        <f t="shared" si="0"/>
        <v>SOC</v>
      </c>
      <c r="AM7" s="1332" t="str">
        <f t="shared" si="0"/>
        <v>DS/MDS</v>
      </c>
      <c r="AN7" s="1333" t="str">
        <f>K7</f>
        <v>DBMS</v>
      </c>
      <c r="AO7" s="1084"/>
      <c r="AP7" s="2006"/>
      <c r="AQ7" s="2006"/>
      <c r="AR7" s="2006"/>
      <c r="AS7" s="2006"/>
      <c r="AT7" s="2006"/>
      <c r="AU7" s="2006"/>
      <c r="AV7" s="2006"/>
      <c r="AW7" s="2006"/>
      <c r="AX7" s="2006"/>
      <c r="AY7" s="2006"/>
      <c r="AZ7" s="2007"/>
      <c r="BA7" s="2007"/>
      <c r="BC7" s="300"/>
    </row>
    <row r="8" spans="1:55" ht="15" hidden="1" customHeight="1" outlineLevel="1" x14ac:dyDescent="0.2">
      <c r="A8" s="457" t="s">
        <v>1481</v>
      </c>
      <c r="B8" s="450" t="str">
        <f t="shared" si="1"/>
        <v>Trips</v>
      </c>
      <c r="C8" s="172" t="str">
        <f t="shared" si="1"/>
        <v>Mbpd</v>
      </c>
      <c r="D8" s="173" t="str">
        <f t="shared" si="1"/>
        <v>Client</v>
      </c>
      <c r="E8" s="173" t="str">
        <f t="shared" ref="E8:K8" si="3">E$6</f>
        <v>Citrix</v>
      </c>
      <c r="F8" s="173" t="str">
        <f t="shared" si="3"/>
        <v>Web</v>
      </c>
      <c r="G8" s="2694" t="str">
        <f t="shared" si="3"/>
        <v>Portal</v>
      </c>
      <c r="H8" s="173" t="str">
        <f t="shared" si="3"/>
        <v>SOC</v>
      </c>
      <c r="I8" s="173" t="str">
        <f t="shared" si="3"/>
        <v>DS/MDS</v>
      </c>
      <c r="J8" s="173" t="str">
        <f t="shared" si="3"/>
        <v>Mbpd</v>
      </c>
      <c r="K8" s="173" t="str">
        <f t="shared" si="3"/>
        <v>DBMS</v>
      </c>
      <c r="L8" s="178" t="s">
        <v>299</v>
      </c>
      <c r="M8" s="572" t="str">
        <f>M$6</f>
        <v>DPM/c</v>
      </c>
      <c r="N8" s="2292" t="str">
        <f>N$6</f>
        <v>MT</v>
      </c>
      <c r="O8" s="2506" t="str">
        <f>O$6</f>
        <v xml:space="preserve">WF </v>
      </c>
      <c r="P8" s="181" t="s">
        <v>273</v>
      </c>
      <c r="Q8" s="1084"/>
      <c r="R8" s="181"/>
      <c r="S8" s="181"/>
      <c r="T8" s="1270" t="s">
        <v>308</v>
      </c>
      <c r="U8" s="173" t="s">
        <v>303</v>
      </c>
      <c r="V8" s="173" t="str">
        <f>V$6</f>
        <v xml:space="preserve">WTS </v>
      </c>
      <c r="W8" s="173" t="str">
        <f>+W$6</f>
        <v>Web</v>
      </c>
      <c r="X8" s="173" t="str">
        <f>+X$6</f>
        <v>Portal</v>
      </c>
      <c r="Y8" s="173" t="s">
        <v>312</v>
      </c>
      <c r="Z8" s="173" t="s">
        <v>330</v>
      </c>
      <c r="AA8" s="173" t="s">
        <v>308</v>
      </c>
      <c r="AB8" s="173" t="s">
        <v>309</v>
      </c>
      <c r="AC8" s="178" t="s">
        <v>299</v>
      </c>
      <c r="AD8" s="181" t="s">
        <v>273</v>
      </c>
      <c r="AE8" s="1088"/>
      <c r="AF8" s="404" t="s">
        <v>1279</v>
      </c>
      <c r="AG8" s="1087"/>
      <c r="AH8" s="1338" t="str">
        <f>D8</f>
        <v>Client</v>
      </c>
      <c r="AI8" s="1339" t="str">
        <f>E8</f>
        <v>Citrix</v>
      </c>
      <c r="AJ8" s="1339" t="str">
        <f>F8</f>
        <v>Web</v>
      </c>
      <c r="AK8" s="1339" t="str">
        <f>G8</f>
        <v>Portal</v>
      </c>
      <c r="AL8" s="1340" t="str">
        <f t="shared" si="0"/>
        <v>SOC</v>
      </c>
      <c r="AM8" s="1341" t="str">
        <f t="shared" si="0"/>
        <v>DS/MDS</v>
      </c>
      <c r="AN8" s="1342" t="str">
        <f>K8</f>
        <v>DBMS</v>
      </c>
      <c r="AO8" s="1084"/>
      <c r="AP8" s="2006"/>
      <c r="AQ8" s="2006"/>
      <c r="AR8" s="2006"/>
      <c r="AS8" s="2006"/>
      <c r="AT8" s="2006"/>
      <c r="AU8" s="2006"/>
      <c r="AV8" s="2006"/>
      <c r="AW8" s="2006"/>
      <c r="AX8" s="2006"/>
      <c r="AY8" s="2006"/>
      <c r="AZ8" s="2007"/>
      <c r="BA8" s="2007"/>
    </row>
    <row r="9" spans="1:55" ht="15.75" hidden="1" customHeight="1" outlineLevel="2" x14ac:dyDescent="0.2">
      <c r="A9" s="458" t="s">
        <v>1284</v>
      </c>
      <c r="B9" s="451">
        <v>200</v>
      </c>
      <c r="C9" s="155">
        <v>26.367000000000001</v>
      </c>
      <c r="D9" s="68">
        <v>0.32540625000000001</v>
      </c>
      <c r="E9" s="27"/>
      <c r="F9" s="29">
        <v>0</v>
      </c>
      <c r="G9" s="2695">
        <v>0</v>
      </c>
      <c r="H9" s="29">
        <v>0</v>
      </c>
      <c r="I9" s="28">
        <v>0</v>
      </c>
      <c r="J9" s="129">
        <v>26.367000000000001</v>
      </c>
      <c r="K9" s="28">
        <v>3.6152634374999999E-2</v>
      </c>
      <c r="L9" s="146">
        <v>3</v>
      </c>
      <c r="M9" s="571">
        <v>10</v>
      </c>
      <c r="N9" s="2293">
        <v>1</v>
      </c>
      <c r="O9" s="2507" t="s">
        <v>336</v>
      </c>
      <c r="P9" s="182">
        <f>SUM(D9:I9,K9)</f>
        <v>0.361558884375</v>
      </c>
      <c r="Q9" s="1233"/>
      <c r="R9" s="3219">
        <f>F9+G9</f>
        <v>0</v>
      </c>
      <c r="S9" s="3219">
        <f>E9+H9+K9</f>
        <v>3.6152634374999999E-2</v>
      </c>
      <c r="T9" s="129">
        <f>C9</f>
        <v>26.367000000000001</v>
      </c>
      <c r="U9" s="68">
        <f>D9*$K$3/$AB$3</f>
        <v>0.68800178571428572</v>
      </c>
      <c r="V9" s="27"/>
      <c r="W9" s="363">
        <f t="shared" ref="W9:W10" si="4">F9*$K$3/$AB$3</f>
        <v>0</v>
      </c>
      <c r="X9" s="363">
        <f t="shared" ref="X9:X10" si="5">G9*$K$3/$AB$3</f>
        <v>0</v>
      </c>
      <c r="Y9" s="363">
        <f t="shared" ref="Y9:Y10" si="6">H9*$K$3/$AB$3</f>
        <v>0</v>
      </c>
      <c r="Z9" s="28">
        <f t="shared" ref="Z9:Z10" si="7">I9*$K$3/$AB$3</f>
        <v>0</v>
      </c>
      <c r="AA9" s="129">
        <f>J9</f>
        <v>26.367000000000001</v>
      </c>
      <c r="AB9" s="28">
        <f>K9*$K$3/$AB$3</f>
        <v>7.6436998392857142E-2</v>
      </c>
      <c r="AC9" s="364">
        <f>L9</f>
        <v>3</v>
      </c>
      <c r="AD9" s="182">
        <f>SUM(U9:Z9,AB9)</f>
        <v>0.76443878410714283</v>
      </c>
      <c r="AE9" s="1084"/>
      <c r="AF9" s="463" t="s">
        <v>1284</v>
      </c>
      <c r="AG9" s="1087"/>
      <c r="AH9" s="1343">
        <f>1-SUM(AI9:AN9)</f>
        <v>0.90000900009000095</v>
      </c>
      <c r="AI9" s="1344">
        <f t="shared" ref="AI9:AI10" si="8">E9/$P9</f>
        <v>0</v>
      </c>
      <c r="AJ9" s="1345">
        <f t="shared" ref="AJ9:AJ10" si="9">F9/$P9</f>
        <v>0</v>
      </c>
      <c r="AK9" s="1345">
        <f t="shared" ref="AK9:AK10" si="10">G9/$P9</f>
        <v>0</v>
      </c>
      <c r="AL9" s="1345">
        <f t="shared" ref="AL9:AL10" si="11">H9/$P9</f>
        <v>0</v>
      </c>
      <c r="AM9" s="1346">
        <f t="shared" ref="AM9:AM10" si="12">I9/$P9</f>
        <v>0</v>
      </c>
      <c r="AN9" s="1347">
        <f>K9/$P9</f>
        <v>9.9990999909999101E-2</v>
      </c>
      <c r="AO9" s="1084"/>
      <c r="AP9" s="2006" t="s">
        <v>872</v>
      </c>
      <c r="AQ9" s="2006"/>
      <c r="AR9" s="2006"/>
      <c r="AS9" s="2006"/>
      <c r="AT9" s="2006"/>
      <c r="AU9" s="2006"/>
      <c r="AV9" s="2006"/>
      <c r="AW9" s="2006"/>
      <c r="AX9" s="2006"/>
      <c r="AY9" s="2006"/>
      <c r="AZ9" s="2007"/>
      <c r="BA9" s="2007"/>
    </row>
    <row r="10" spans="1:55" ht="15" hidden="1" customHeight="1" outlineLevel="2" x14ac:dyDescent="0.2">
      <c r="A10" s="458" t="s">
        <v>1357</v>
      </c>
      <c r="B10" s="451">
        <v>300</v>
      </c>
      <c r="C10" s="155">
        <v>39.551000000000002</v>
      </c>
      <c r="D10" s="68">
        <v>0.48810937500000001</v>
      </c>
      <c r="E10" s="27">
        <v>0</v>
      </c>
      <c r="F10" s="29">
        <v>0</v>
      </c>
      <c r="G10" s="2695">
        <v>0</v>
      </c>
      <c r="H10" s="29">
        <v>0</v>
      </c>
      <c r="I10" s="28">
        <v>0</v>
      </c>
      <c r="J10" s="129">
        <v>39.551000000000002</v>
      </c>
      <c r="K10" s="28">
        <v>5.4228951562500002E-2</v>
      </c>
      <c r="L10" s="146">
        <v>3</v>
      </c>
      <c r="M10" s="571">
        <v>10</v>
      </c>
      <c r="N10" s="2293">
        <v>1</v>
      </c>
      <c r="O10" s="2507" t="s">
        <v>336</v>
      </c>
      <c r="P10" s="182">
        <f>SUM(D10:I10,K10)</f>
        <v>0.54233832656250003</v>
      </c>
      <c r="Q10" s="1084"/>
      <c r="R10" s="3219">
        <f t="shared" ref="R10:R11" si="13">F10+G10</f>
        <v>0</v>
      </c>
      <c r="S10" s="3219">
        <f t="shared" ref="S10:S11" si="14">E10+H10+K10</f>
        <v>5.4228951562500002E-2</v>
      </c>
      <c r="T10" s="129">
        <f>C10</f>
        <v>39.551000000000002</v>
      </c>
      <c r="U10" s="68">
        <f>D10*$K$3/$AB$3</f>
        <v>1.0320026785714287</v>
      </c>
      <c r="V10" s="27">
        <f>E10*$K$3/$AB$3</f>
        <v>0</v>
      </c>
      <c r="W10" s="363">
        <f t="shared" si="4"/>
        <v>0</v>
      </c>
      <c r="X10" s="363">
        <f t="shared" si="5"/>
        <v>0</v>
      </c>
      <c r="Y10" s="363">
        <f t="shared" si="6"/>
        <v>0</v>
      </c>
      <c r="Z10" s="28">
        <f t="shared" si="7"/>
        <v>0</v>
      </c>
      <c r="AA10" s="129">
        <f>J10</f>
        <v>39.551000000000002</v>
      </c>
      <c r="AB10" s="28">
        <f>K10*$K$3/$AB$3</f>
        <v>0.11465549758928571</v>
      </c>
      <c r="AC10" s="364">
        <f>L10</f>
        <v>3</v>
      </c>
      <c r="AD10" s="182">
        <f>SUM(U10:Z10,AB10)</f>
        <v>1.1466581761607144</v>
      </c>
      <c r="AE10" s="1084"/>
      <c r="AF10" s="463" t="s">
        <v>1357</v>
      </c>
      <c r="AG10" s="1087"/>
      <c r="AH10" s="1343">
        <f>1-SUM(AI10:AN10)</f>
        <v>0.90000900009000095</v>
      </c>
      <c r="AI10" s="1344">
        <f t="shared" si="8"/>
        <v>0</v>
      </c>
      <c r="AJ10" s="1345">
        <f t="shared" si="9"/>
        <v>0</v>
      </c>
      <c r="AK10" s="1345">
        <f t="shared" si="10"/>
        <v>0</v>
      </c>
      <c r="AL10" s="1345">
        <f t="shared" si="11"/>
        <v>0</v>
      </c>
      <c r="AM10" s="1346">
        <f t="shared" si="12"/>
        <v>0</v>
      </c>
      <c r="AN10" s="1347">
        <f>K10/$P10</f>
        <v>9.9990999909999101E-2</v>
      </c>
      <c r="AO10" s="1084"/>
      <c r="AP10" s="2006"/>
      <c r="AQ10" s="2006"/>
      <c r="AR10" s="2006"/>
      <c r="AS10" s="2006"/>
      <c r="AT10" s="2006"/>
      <c r="AU10" s="2006"/>
      <c r="AV10" s="2006"/>
      <c r="AW10" s="2006"/>
      <c r="AX10" s="2006"/>
      <c r="AY10" s="2006"/>
      <c r="AZ10" s="2007"/>
      <c r="BA10" s="2007"/>
    </row>
    <row r="11" spans="1:55" ht="15" hidden="1" customHeight="1" outlineLevel="2" x14ac:dyDescent="0.2">
      <c r="A11" s="458" t="s">
        <v>1485</v>
      </c>
      <c r="B11" s="451">
        <v>10</v>
      </c>
      <c r="C11" s="155">
        <v>8.41</v>
      </c>
      <c r="D11" s="68">
        <v>9.7621875000000038E-2</v>
      </c>
      <c r="E11" s="27">
        <v>0</v>
      </c>
      <c r="F11" s="29">
        <v>1.3837837837837838E-2</v>
      </c>
      <c r="G11" s="2695">
        <v>1.4875675675675677E-2</v>
      </c>
      <c r="H11" s="29">
        <v>1.6571953125000004E-2</v>
      </c>
      <c r="I11" s="28">
        <v>0</v>
      </c>
      <c r="J11" s="129">
        <v>7.91</v>
      </c>
      <c r="K11" s="28">
        <v>1.0845790312500004E-2</v>
      </c>
      <c r="L11" s="146">
        <v>3</v>
      </c>
      <c r="M11" s="571">
        <v>6</v>
      </c>
      <c r="N11" s="2293">
        <v>1</v>
      </c>
      <c r="O11" s="2507" t="s">
        <v>336</v>
      </c>
      <c r="P11" s="182">
        <f>SUM(D11:I11,K11)</f>
        <v>0.15375313195101356</v>
      </c>
      <c r="Q11" s="1084"/>
      <c r="R11" s="3219">
        <f t="shared" si="13"/>
        <v>2.8713513513513512E-2</v>
      </c>
      <c r="S11" s="3219">
        <f t="shared" si="14"/>
        <v>2.741774343750001E-2</v>
      </c>
      <c r="T11" s="129">
        <f>C11</f>
        <v>8.41</v>
      </c>
      <c r="U11" s="68">
        <f>D11*$K$3/$AB$3</f>
        <v>0.20640053571428579</v>
      </c>
      <c r="V11" s="27">
        <f>E11*$K$3/$AB$3</f>
        <v>0</v>
      </c>
      <c r="W11" s="363">
        <f>F11*$K$3/$AB$3</f>
        <v>2.9257142857142857E-2</v>
      </c>
      <c r="X11" s="363">
        <f>G11*$K$3/$AB$3</f>
        <v>3.1451428571428575E-2</v>
      </c>
      <c r="Y11" s="363">
        <f>H11*$K$3/$AB$3</f>
        <v>3.5037843750000006E-2</v>
      </c>
      <c r="Z11" s="28">
        <f>I11*$K$3/$AB$3</f>
        <v>0</v>
      </c>
      <c r="AA11" s="129">
        <f>J11</f>
        <v>7.91</v>
      </c>
      <c r="AB11" s="28">
        <f>K11*$K$3/$AB$3</f>
        <v>2.2931099517857153E-2</v>
      </c>
      <c r="AC11" s="364">
        <f>L11</f>
        <v>3</v>
      </c>
      <c r="AD11" s="182">
        <f>SUM(U11:Z11,AB11)</f>
        <v>0.32507805041071441</v>
      </c>
      <c r="AE11" s="1084"/>
      <c r="AF11" s="463" t="s">
        <v>1485</v>
      </c>
      <c r="AG11" s="1087"/>
      <c r="AH11" s="1343">
        <f>1-SUM(AI11:AN11)</f>
        <v>0.63492609068349126</v>
      </c>
      <c r="AI11" s="1344">
        <f>E11/$P11</f>
        <v>0</v>
      </c>
      <c r="AJ11" s="1345">
        <f>F11/$P11</f>
        <v>9.0000363974677505E-2</v>
      </c>
      <c r="AK11" s="1345">
        <f>G11/$P11</f>
        <v>9.6750391272778319E-2</v>
      </c>
      <c r="AL11" s="1345">
        <f>H11/$P11</f>
        <v>0.10778286539411699</v>
      </c>
      <c r="AM11" s="1346">
        <f>I11/$P11</f>
        <v>0</v>
      </c>
      <c r="AN11" s="1347">
        <f>K11/$P11</f>
        <v>7.0540288674935878E-2</v>
      </c>
      <c r="AO11" s="1084"/>
      <c r="AP11" s="2006"/>
      <c r="AQ11" s="2006"/>
      <c r="AR11" s="2006"/>
      <c r="AS11" s="2006"/>
      <c r="AT11" s="2006"/>
      <c r="AU11" s="2006"/>
      <c r="AV11" s="2006"/>
      <c r="AW11" s="2006"/>
      <c r="AX11" s="2006"/>
      <c r="AY11" s="2006"/>
      <c r="AZ11" s="2007"/>
      <c r="BA11" s="2007"/>
    </row>
    <row r="12" spans="1:55" ht="15" hidden="1" customHeight="1" outlineLevel="1" collapsed="1" x14ac:dyDescent="0.2">
      <c r="A12" s="457" t="s">
        <v>1483</v>
      </c>
      <c r="B12" s="450" t="str">
        <f t="shared" ref="B12:K12" si="15">B$6</f>
        <v>Trips</v>
      </c>
      <c r="C12" s="172" t="str">
        <f t="shared" si="15"/>
        <v>Mbpd</v>
      </c>
      <c r="D12" s="173" t="str">
        <f t="shared" si="15"/>
        <v>Client</v>
      </c>
      <c r="E12" s="173" t="str">
        <f t="shared" si="15"/>
        <v>Citrix</v>
      </c>
      <c r="F12" s="173" t="str">
        <f t="shared" si="15"/>
        <v>Web</v>
      </c>
      <c r="G12" s="2694" t="str">
        <f t="shared" si="15"/>
        <v>Portal</v>
      </c>
      <c r="H12" s="173" t="str">
        <f t="shared" si="15"/>
        <v>SOC</v>
      </c>
      <c r="I12" s="173" t="str">
        <f t="shared" si="15"/>
        <v>DS/MDS</v>
      </c>
      <c r="J12" s="173" t="str">
        <f t="shared" si="15"/>
        <v>Mbpd</v>
      </c>
      <c r="K12" s="173" t="str">
        <f t="shared" si="15"/>
        <v>DBMS</v>
      </c>
      <c r="L12" s="178" t="s">
        <v>299</v>
      </c>
      <c r="M12" s="572" t="str">
        <f>M$6</f>
        <v>DPM/c</v>
      </c>
      <c r="N12" s="2292" t="str">
        <f>N$6</f>
        <v>MT</v>
      </c>
      <c r="O12" s="2506" t="str">
        <f>O$6</f>
        <v xml:space="preserve">WF </v>
      </c>
      <c r="P12" s="181" t="s">
        <v>273</v>
      </c>
      <c r="Q12" s="1084"/>
      <c r="R12" s="181"/>
      <c r="S12" s="181"/>
      <c r="T12" s="1270" t="s">
        <v>308</v>
      </c>
      <c r="U12" s="173" t="s">
        <v>303</v>
      </c>
      <c r="V12" s="173" t="str">
        <f>V$6</f>
        <v xml:space="preserve">WTS </v>
      </c>
      <c r="W12" s="173" t="str">
        <f>+W$6</f>
        <v>Web</v>
      </c>
      <c r="X12" s="173" t="str">
        <f>+X$6</f>
        <v>Portal</v>
      </c>
      <c r="Y12" s="173" t="s">
        <v>312</v>
      </c>
      <c r="Z12" s="173" t="s">
        <v>330</v>
      </c>
      <c r="AA12" s="173" t="s">
        <v>308</v>
      </c>
      <c r="AB12" s="173" t="s">
        <v>309</v>
      </c>
      <c r="AC12" s="178" t="s">
        <v>299</v>
      </c>
      <c r="AD12" s="181" t="s">
        <v>273</v>
      </c>
      <c r="AE12" s="1088"/>
      <c r="AF12" s="404" t="s">
        <v>1280</v>
      </c>
      <c r="AG12" s="1087"/>
      <c r="AH12" s="1338" t="str">
        <f t="shared" ref="AH12:AM12" si="16">D12</f>
        <v>Client</v>
      </c>
      <c r="AI12" s="1339" t="str">
        <f t="shared" si="16"/>
        <v>Citrix</v>
      </c>
      <c r="AJ12" s="1339" t="str">
        <f t="shared" si="16"/>
        <v>Web</v>
      </c>
      <c r="AK12" s="1339" t="str">
        <f t="shared" si="16"/>
        <v>Portal</v>
      </c>
      <c r="AL12" s="1340" t="str">
        <f t="shared" si="16"/>
        <v>SOC</v>
      </c>
      <c r="AM12" s="1341" t="str">
        <f t="shared" si="16"/>
        <v>DS/MDS</v>
      </c>
      <c r="AN12" s="1342" t="str">
        <f>K12</f>
        <v>DBMS</v>
      </c>
      <c r="AO12" s="1084"/>
      <c r="AP12" s="2006"/>
      <c r="AQ12" s="2006"/>
      <c r="AR12" s="2006"/>
      <c r="AS12" s="2006"/>
      <c r="AT12" s="2006"/>
      <c r="AU12" s="2006"/>
      <c r="AV12" s="2006"/>
      <c r="AW12" s="2006"/>
      <c r="AX12" s="2006"/>
      <c r="AY12" s="2006"/>
      <c r="AZ12" s="2007"/>
      <c r="BA12" s="2007"/>
    </row>
    <row r="13" spans="1:55" ht="15.75" hidden="1" customHeight="1" outlineLevel="2" x14ac:dyDescent="0.2">
      <c r="A13" s="458" t="s">
        <v>1285</v>
      </c>
      <c r="B13" s="451">
        <v>10</v>
      </c>
      <c r="C13" s="155">
        <v>0.73799999999999999</v>
      </c>
      <c r="D13" s="68">
        <v>2.0756756756756756E-2</v>
      </c>
      <c r="E13" s="27">
        <v>0.32540625000000001</v>
      </c>
      <c r="F13" s="29">
        <v>0</v>
      </c>
      <c r="G13" s="2695">
        <v>0</v>
      </c>
      <c r="H13" s="29">
        <v>0</v>
      </c>
      <c r="I13" s="28">
        <v>0</v>
      </c>
      <c r="J13" s="129">
        <v>26.367000000000001</v>
      </c>
      <c r="K13" s="28">
        <v>3.6152634374999999E-2</v>
      </c>
      <c r="L13" s="146">
        <v>3</v>
      </c>
      <c r="M13" s="571">
        <v>10</v>
      </c>
      <c r="N13" s="2293">
        <v>1</v>
      </c>
      <c r="O13" s="2507" t="s">
        <v>336</v>
      </c>
      <c r="P13" s="182">
        <f t="shared" ref="P13:P16" si="17">SUM(D13:I13,K13)</f>
        <v>0.38231564113175676</v>
      </c>
      <c r="Q13" s="1233"/>
      <c r="R13" s="3219">
        <f>F13+G13</f>
        <v>0</v>
      </c>
      <c r="S13" s="3219">
        <f>E13+H13+K13</f>
        <v>0.361558884375</v>
      </c>
      <c r="T13" s="129">
        <f>C13</f>
        <v>0.73799999999999999</v>
      </c>
      <c r="U13" s="68">
        <f t="shared" ref="U13:Z13" si="18">D13*$K$3/$AB$3</f>
        <v>4.3885714285714285E-2</v>
      </c>
      <c r="V13" s="27">
        <f t="shared" si="18"/>
        <v>0.68800178571428572</v>
      </c>
      <c r="W13" s="363">
        <f t="shared" si="18"/>
        <v>0</v>
      </c>
      <c r="X13" s="363">
        <f t="shared" si="18"/>
        <v>0</v>
      </c>
      <c r="Y13" s="363">
        <f t="shared" si="18"/>
        <v>0</v>
      </c>
      <c r="Z13" s="28">
        <f t="shared" si="18"/>
        <v>0</v>
      </c>
      <c r="AA13" s="129">
        <f>J13</f>
        <v>26.367000000000001</v>
      </c>
      <c r="AB13" s="28">
        <f>K13*$K$3/$AB$3</f>
        <v>7.6436998392857142E-2</v>
      </c>
      <c r="AC13" s="364">
        <f>L13</f>
        <v>3</v>
      </c>
      <c r="AD13" s="182">
        <f>SUM(U13:Z13,AB13)</f>
        <v>0.80832449839285714</v>
      </c>
      <c r="AE13" s="1084"/>
      <c r="AF13" s="463" t="s">
        <v>1285</v>
      </c>
      <c r="AG13" s="1087"/>
      <c r="AH13" s="1343">
        <f t="shared" ref="AH13:AH16" si="19">1-SUM(AI13:AN13)</f>
        <v>5.4292198706051287E-2</v>
      </c>
      <c r="AI13" s="1344">
        <f t="shared" ref="AI13:AM16" si="20">E13/$P13</f>
        <v>0.85114553261988002</v>
      </c>
      <c r="AJ13" s="1345">
        <f t="shared" si="20"/>
        <v>0</v>
      </c>
      <c r="AK13" s="1345">
        <f t="shared" si="20"/>
        <v>0</v>
      </c>
      <c r="AL13" s="1345">
        <f t="shared" si="20"/>
        <v>0</v>
      </c>
      <c r="AM13" s="1346">
        <f t="shared" si="20"/>
        <v>0</v>
      </c>
      <c r="AN13" s="1347">
        <f t="shared" ref="AN13:AN16" si="21">K13/$P13</f>
        <v>9.4562268674068667E-2</v>
      </c>
      <c r="AO13" s="1084"/>
      <c r="AP13" s="2006" t="s">
        <v>872</v>
      </c>
      <c r="AQ13" s="2006"/>
      <c r="AR13" s="2006"/>
      <c r="AS13" s="2006"/>
      <c r="AT13" s="2006"/>
      <c r="AU13" s="2006"/>
      <c r="AV13" s="2006"/>
      <c r="AW13" s="2006"/>
      <c r="AX13" s="2006"/>
      <c r="AY13" s="2006"/>
      <c r="AZ13" s="2007"/>
      <c r="BA13" s="2007"/>
    </row>
    <row r="14" spans="1:55" ht="15" hidden="1" customHeight="1" outlineLevel="2" x14ac:dyDescent="0.2">
      <c r="A14" s="458" t="s">
        <v>1362</v>
      </c>
      <c r="B14" s="451">
        <v>10</v>
      </c>
      <c r="C14" s="155">
        <v>1.107</v>
      </c>
      <c r="D14" s="68">
        <v>2.0756756756756756E-2</v>
      </c>
      <c r="E14" s="27">
        <v>0.48810937500000001</v>
      </c>
      <c r="F14" s="29">
        <v>0</v>
      </c>
      <c r="G14" s="2695">
        <v>0</v>
      </c>
      <c r="H14" s="29">
        <v>0</v>
      </c>
      <c r="I14" s="28">
        <v>0</v>
      </c>
      <c r="J14" s="129">
        <v>39.551000000000002</v>
      </c>
      <c r="K14" s="28">
        <v>5.4228951562500002E-2</v>
      </c>
      <c r="L14" s="146">
        <v>3</v>
      </c>
      <c r="M14" s="571">
        <v>10</v>
      </c>
      <c r="N14" s="2293">
        <v>1</v>
      </c>
      <c r="O14" s="2507" t="s">
        <v>336</v>
      </c>
      <c r="P14" s="182">
        <f t="shared" si="17"/>
        <v>0.56309508331925673</v>
      </c>
      <c r="Q14" s="1084"/>
      <c r="R14" s="3219">
        <f t="shared" ref="R14:R15" si="22">F14+G14</f>
        <v>0</v>
      </c>
      <c r="S14" s="3219">
        <f t="shared" ref="S14:S15" si="23">E14+H14+K14</f>
        <v>0.54233832656250003</v>
      </c>
      <c r="T14" s="129">
        <f>C14</f>
        <v>1.107</v>
      </c>
      <c r="U14" s="68">
        <f t="shared" ref="U14:U16" si="24">D14*$K$3/$AB$3</f>
        <v>4.3885714285714285E-2</v>
      </c>
      <c r="V14" s="27">
        <f t="shared" ref="V14:V15" si="25">E14*$K$3/$AB$3</f>
        <v>1.0320026785714287</v>
      </c>
      <c r="W14" s="363">
        <f t="shared" ref="W14:W16" si="26">F14*$K$3/$AB$3</f>
        <v>0</v>
      </c>
      <c r="X14" s="363">
        <f t="shared" ref="X14:X16" si="27">G14*$K$3/$AB$3</f>
        <v>0</v>
      </c>
      <c r="Y14" s="363">
        <f t="shared" ref="Y14:Y16" si="28">H14*$K$3/$AB$3</f>
        <v>0</v>
      </c>
      <c r="Z14" s="28">
        <f t="shared" ref="Z14:Z16" si="29">I14*$K$3/$AB$3</f>
        <v>0</v>
      </c>
      <c r="AA14" s="129">
        <f t="shared" ref="AA14:AA16" si="30">J14</f>
        <v>39.551000000000002</v>
      </c>
      <c r="AB14" s="28">
        <f t="shared" ref="AB14:AB16" si="31">K14*$K$3/$AB$3</f>
        <v>0.11465549758928571</v>
      </c>
      <c r="AC14" s="364">
        <f t="shared" ref="AC14:AC16" si="32">L14</f>
        <v>3</v>
      </c>
      <c r="AD14" s="182">
        <f t="shared" ref="AD14:AD16" si="33">SUM(U14:Z14,AB14)</f>
        <v>1.1905438904464287</v>
      </c>
      <c r="AE14" s="1084"/>
      <c r="AF14" s="463" t="s">
        <v>1362</v>
      </c>
      <c r="AG14" s="1087"/>
      <c r="AH14" s="1343">
        <f t="shared" si="19"/>
        <v>3.6861903738179658E-2</v>
      </c>
      <c r="AI14" s="1344">
        <f t="shared" si="20"/>
        <v>0.86683295496518797</v>
      </c>
      <c r="AJ14" s="1345">
        <f t="shared" si="20"/>
        <v>0</v>
      </c>
      <c r="AK14" s="1345">
        <f t="shared" si="20"/>
        <v>0</v>
      </c>
      <c r="AL14" s="1345">
        <f t="shared" si="20"/>
        <v>0</v>
      </c>
      <c r="AM14" s="1346">
        <f t="shared" si="20"/>
        <v>0</v>
      </c>
      <c r="AN14" s="1347">
        <f t="shared" si="21"/>
        <v>9.6305141296632382E-2</v>
      </c>
      <c r="AO14" s="1084"/>
      <c r="AP14" s="2006"/>
      <c r="AQ14" s="2006"/>
      <c r="AR14" s="2006"/>
      <c r="AS14" s="2006"/>
      <c r="AT14" s="2006"/>
      <c r="AU14" s="2006"/>
      <c r="AV14" s="2006"/>
      <c r="AW14" s="2006"/>
      <c r="AX14" s="2006"/>
      <c r="AY14" s="2006"/>
      <c r="AZ14" s="2007"/>
      <c r="BA14" s="2007"/>
    </row>
    <row r="15" spans="1:55" ht="15.75" hidden="1" customHeight="1" outlineLevel="2" x14ac:dyDescent="0.2">
      <c r="A15" s="458" t="s">
        <v>1286</v>
      </c>
      <c r="B15" s="451">
        <v>10</v>
      </c>
      <c r="C15" s="155">
        <v>5.274</v>
      </c>
      <c r="D15" s="68">
        <v>2.0756756756756756E-2</v>
      </c>
      <c r="E15" s="27">
        <v>0.32540625000000001</v>
      </c>
      <c r="F15" s="29">
        <v>0</v>
      </c>
      <c r="G15" s="2695">
        <v>0</v>
      </c>
      <c r="H15" s="29">
        <v>0</v>
      </c>
      <c r="I15" s="28">
        <v>0</v>
      </c>
      <c r="J15" s="129">
        <v>26.367000000000001</v>
      </c>
      <c r="K15" s="28">
        <v>3.6152634374999999E-2</v>
      </c>
      <c r="L15" s="146">
        <v>3</v>
      </c>
      <c r="M15" s="571">
        <v>10</v>
      </c>
      <c r="N15" s="2293">
        <v>1</v>
      </c>
      <c r="O15" s="2507" t="s">
        <v>336</v>
      </c>
      <c r="P15" s="182">
        <f t="shared" si="17"/>
        <v>0.38231564113175676</v>
      </c>
      <c r="Q15" s="1233"/>
      <c r="R15" s="3219">
        <f t="shared" si="22"/>
        <v>0</v>
      </c>
      <c r="S15" s="3219">
        <f t="shared" si="23"/>
        <v>0.361558884375</v>
      </c>
      <c r="T15" s="129">
        <v>5.2729999999999997</v>
      </c>
      <c r="U15" s="68">
        <f t="shared" si="24"/>
        <v>4.3885714285714285E-2</v>
      </c>
      <c r="V15" s="27">
        <f t="shared" si="25"/>
        <v>0.68800178571428572</v>
      </c>
      <c r="W15" s="363">
        <f t="shared" si="26"/>
        <v>0</v>
      </c>
      <c r="X15" s="363">
        <f t="shared" si="27"/>
        <v>0</v>
      </c>
      <c r="Y15" s="363">
        <f t="shared" si="28"/>
        <v>0</v>
      </c>
      <c r="Z15" s="28">
        <f t="shared" si="29"/>
        <v>0</v>
      </c>
      <c r="AA15" s="129">
        <f t="shared" si="30"/>
        <v>26.367000000000001</v>
      </c>
      <c r="AB15" s="28">
        <f t="shared" si="31"/>
        <v>7.6436998392857142E-2</v>
      </c>
      <c r="AC15" s="364">
        <f t="shared" si="32"/>
        <v>3</v>
      </c>
      <c r="AD15" s="182">
        <f t="shared" si="33"/>
        <v>0.80832449839285714</v>
      </c>
      <c r="AE15" s="1084"/>
      <c r="AF15" s="463" t="s">
        <v>1286</v>
      </c>
      <c r="AG15" s="1087"/>
      <c r="AH15" s="1343">
        <f t="shared" si="19"/>
        <v>5.4292198706051287E-2</v>
      </c>
      <c r="AI15" s="1344">
        <f t="shared" si="20"/>
        <v>0.85114553261988002</v>
      </c>
      <c r="AJ15" s="1345">
        <f t="shared" si="20"/>
        <v>0</v>
      </c>
      <c r="AK15" s="1345">
        <f t="shared" si="20"/>
        <v>0</v>
      </c>
      <c r="AL15" s="1345">
        <f t="shared" si="20"/>
        <v>0</v>
      </c>
      <c r="AM15" s="1346">
        <f t="shared" si="20"/>
        <v>0</v>
      </c>
      <c r="AN15" s="1347">
        <f t="shared" si="21"/>
        <v>9.4562268674068667E-2</v>
      </c>
      <c r="AO15" s="1084"/>
      <c r="AP15" s="2006"/>
      <c r="AQ15" s="2006"/>
      <c r="AR15" s="2006"/>
      <c r="AS15" s="2006"/>
      <c r="AT15" s="2006"/>
      <c r="AU15" s="2006"/>
      <c r="AV15" s="2006"/>
      <c r="AW15" s="2006"/>
      <c r="AX15" s="2006"/>
      <c r="AY15" s="2006"/>
      <c r="AZ15" s="2007"/>
      <c r="BA15" s="2007"/>
    </row>
    <row r="16" spans="1:55" ht="15.75" hidden="1" customHeight="1" outlineLevel="2" x14ac:dyDescent="0.2">
      <c r="A16" s="458" t="s">
        <v>1363</v>
      </c>
      <c r="B16" s="451">
        <v>10</v>
      </c>
      <c r="C16" s="155">
        <v>7.91</v>
      </c>
      <c r="D16" s="68">
        <v>2.0756756756756756E-2</v>
      </c>
      <c r="E16" s="27">
        <v>0.48810937500000001</v>
      </c>
      <c r="F16" s="29">
        <v>0</v>
      </c>
      <c r="G16" s="2695">
        <v>0</v>
      </c>
      <c r="H16" s="29">
        <v>0</v>
      </c>
      <c r="I16" s="28">
        <v>0</v>
      </c>
      <c r="J16" s="129">
        <v>26.367000000000001</v>
      </c>
      <c r="K16" s="28">
        <v>5.4228951562500002E-2</v>
      </c>
      <c r="L16" s="146">
        <v>3</v>
      </c>
      <c r="M16" s="571">
        <v>10</v>
      </c>
      <c r="N16" s="2293">
        <v>1</v>
      </c>
      <c r="O16" s="2507" t="s">
        <v>336</v>
      </c>
      <c r="P16" s="182">
        <f t="shared" si="17"/>
        <v>0.56309508331925673</v>
      </c>
      <c r="Q16" s="1233"/>
      <c r="R16" s="3219">
        <f t="shared" ref="R16" si="34">F16+G16</f>
        <v>0</v>
      </c>
      <c r="S16" s="3219">
        <f t="shared" ref="S16" si="35">E16+H16+K16</f>
        <v>0.54233832656250003</v>
      </c>
      <c r="T16" s="129">
        <v>5.2729999999999997</v>
      </c>
      <c r="U16" s="68">
        <f t="shared" si="24"/>
        <v>4.3885714285714285E-2</v>
      </c>
      <c r="V16" s="27">
        <f>E16*$K$3/$AB$3</f>
        <v>1.0320026785714287</v>
      </c>
      <c r="W16" s="363">
        <f t="shared" si="26"/>
        <v>0</v>
      </c>
      <c r="X16" s="363">
        <f t="shared" si="27"/>
        <v>0</v>
      </c>
      <c r="Y16" s="363">
        <f t="shared" si="28"/>
        <v>0</v>
      </c>
      <c r="Z16" s="28">
        <f t="shared" si="29"/>
        <v>0</v>
      </c>
      <c r="AA16" s="129">
        <f t="shared" si="30"/>
        <v>26.367000000000001</v>
      </c>
      <c r="AB16" s="28">
        <f t="shared" si="31"/>
        <v>0.11465549758928571</v>
      </c>
      <c r="AC16" s="364">
        <f t="shared" si="32"/>
        <v>3</v>
      </c>
      <c r="AD16" s="182">
        <f t="shared" si="33"/>
        <v>1.1905438904464287</v>
      </c>
      <c r="AE16" s="1084"/>
      <c r="AF16" s="463" t="s">
        <v>1363</v>
      </c>
      <c r="AG16" s="1087"/>
      <c r="AH16" s="1343">
        <f t="shared" si="19"/>
        <v>3.6861903738179658E-2</v>
      </c>
      <c r="AI16" s="1344">
        <f t="shared" si="20"/>
        <v>0.86683295496518797</v>
      </c>
      <c r="AJ16" s="1345">
        <f t="shared" si="20"/>
        <v>0</v>
      </c>
      <c r="AK16" s="1345">
        <f t="shared" si="20"/>
        <v>0</v>
      </c>
      <c r="AL16" s="1345">
        <f t="shared" si="20"/>
        <v>0</v>
      </c>
      <c r="AM16" s="1346">
        <f t="shared" si="20"/>
        <v>0</v>
      </c>
      <c r="AN16" s="1347">
        <f t="shared" si="21"/>
        <v>9.6305141296632382E-2</v>
      </c>
      <c r="AO16" s="1084"/>
      <c r="AP16" s="2006"/>
      <c r="AQ16" s="2006"/>
      <c r="AR16" s="2006"/>
      <c r="AS16" s="2006"/>
      <c r="AT16" s="2006"/>
      <c r="AU16" s="2006"/>
      <c r="AV16" s="2006"/>
      <c r="AW16" s="2006"/>
      <c r="AX16" s="2006"/>
      <c r="AY16" s="2006"/>
      <c r="AZ16" s="2007"/>
      <c r="BA16" s="2007"/>
    </row>
    <row r="17" spans="1:55" ht="15" hidden="1" customHeight="1" outlineLevel="1" collapsed="1" x14ac:dyDescent="0.2">
      <c r="A17" s="457" t="s">
        <v>1482</v>
      </c>
      <c r="B17" s="450" t="str">
        <f t="shared" ref="B17:K17" si="36">B$6</f>
        <v>Trips</v>
      </c>
      <c r="C17" s="172" t="str">
        <f t="shared" si="36"/>
        <v>Mbpd</v>
      </c>
      <c r="D17" s="173" t="str">
        <f t="shared" si="36"/>
        <v>Client</v>
      </c>
      <c r="E17" s="173" t="str">
        <f t="shared" si="36"/>
        <v>Citrix</v>
      </c>
      <c r="F17" s="173" t="str">
        <f t="shared" si="36"/>
        <v>Web</v>
      </c>
      <c r="G17" s="2694" t="str">
        <f t="shared" si="36"/>
        <v>Portal</v>
      </c>
      <c r="H17" s="173" t="str">
        <f t="shared" si="36"/>
        <v>SOC</v>
      </c>
      <c r="I17" s="173" t="str">
        <f t="shared" si="36"/>
        <v>DS/MDS</v>
      </c>
      <c r="J17" s="173" t="str">
        <f t="shared" si="36"/>
        <v>Mbpd</v>
      </c>
      <c r="K17" s="173" t="str">
        <f t="shared" si="36"/>
        <v>DBMS</v>
      </c>
      <c r="L17" s="178" t="s">
        <v>299</v>
      </c>
      <c r="M17" s="572" t="str">
        <f>M$6</f>
        <v>DPM/c</v>
      </c>
      <c r="N17" s="2292" t="str">
        <f>N$6</f>
        <v>MT</v>
      </c>
      <c r="O17" s="2506" t="str">
        <f>O$6</f>
        <v xml:space="preserve">WF </v>
      </c>
      <c r="P17" s="181" t="s">
        <v>273</v>
      </c>
      <c r="Q17" s="1084"/>
      <c r="R17" s="181"/>
      <c r="S17" s="181"/>
      <c r="T17" s="1270" t="s">
        <v>308</v>
      </c>
      <c r="U17" s="173" t="s">
        <v>303</v>
      </c>
      <c r="V17" s="173" t="str">
        <f>V$6</f>
        <v xml:space="preserve">WTS </v>
      </c>
      <c r="W17" s="173" t="str">
        <f>+W$6</f>
        <v>Web</v>
      </c>
      <c r="X17" s="173" t="str">
        <f>+X$6</f>
        <v>Portal</v>
      </c>
      <c r="Y17" s="173" t="s">
        <v>312</v>
      </c>
      <c r="Z17" s="173" t="s">
        <v>330</v>
      </c>
      <c r="AA17" s="173" t="s">
        <v>308</v>
      </c>
      <c r="AB17" s="173" t="s">
        <v>309</v>
      </c>
      <c r="AC17" s="178" t="s">
        <v>299</v>
      </c>
      <c r="AD17" s="181" t="s">
        <v>273</v>
      </c>
      <c r="AE17" s="1088"/>
      <c r="AF17" s="404" t="s">
        <v>1279</v>
      </c>
      <c r="AG17" s="1087"/>
      <c r="AH17" s="1338" t="str">
        <f t="shared" ref="AH17:AM17" si="37">D17</f>
        <v>Client</v>
      </c>
      <c r="AI17" s="1339" t="str">
        <f t="shared" si="37"/>
        <v>Citrix</v>
      </c>
      <c r="AJ17" s="1339" t="str">
        <f t="shared" si="37"/>
        <v>Web</v>
      </c>
      <c r="AK17" s="1339" t="str">
        <f t="shared" si="37"/>
        <v>Portal</v>
      </c>
      <c r="AL17" s="1340" t="str">
        <f t="shared" si="37"/>
        <v>SOC</v>
      </c>
      <c r="AM17" s="1341" t="str">
        <f t="shared" si="37"/>
        <v>DS/MDS</v>
      </c>
      <c r="AN17" s="1342" t="str">
        <f>K17</f>
        <v>DBMS</v>
      </c>
      <c r="AO17" s="1084"/>
      <c r="AP17" s="2006"/>
      <c r="AQ17" s="2006"/>
      <c r="AR17" s="2006"/>
      <c r="AS17" s="2006"/>
      <c r="AT17" s="2006"/>
      <c r="AU17" s="2006"/>
      <c r="AV17" s="2006"/>
      <c r="AW17" s="2006"/>
      <c r="AX17" s="2006"/>
      <c r="AY17" s="2006"/>
      <c r="AZ17" s="2007"/>
      <c r="BA17" s="2007"/>
    </row>
    <row r="18" spans="1:55" ht="15" hidden="1" customHeight="1" outlineLevel="2" x14ac:dyDescent="0.2">
      <c r="A18" s="458" t="s">
        <v>1358</v>
      </c>
      <c r="B18" s="451">
        <v>100</v>
      </c>
      <c r="C18" s="155">
        <v>26.367000000000001</v>
      </c>
      <c r="D18" s="68">
        <v>0.32540625000000001</v>
      </c>
      <c r="E18" s="27">
        <v>0</v>
      </c>
      <c r="F18" s="29">
        <v>0</v>
      </c>
      <c r="G18" s="2695">
        <v>0</v>
      </c>
      <c r="H18" s="29">
        <v>0</v>
      </c>
      <c r="I18" s="28">
        <v>0</v>
      </c>
      <c r="J18" s="129">
        <v>26.367000000000001</v>
      </c>
      <c r="K18" s="28">
        <v>3.6152634374999999E-2</v>
      </c>
      <c r="L18" s="146">
        <v>3</v>
      </c>
      <c r="M18" s="571">
        <v>10</v>
      </c>
      <c r="N18" s="2293">
        <v>2</v>
      </c>
      <c r="O18" s="2507" t="s">
        <v>336</v>
      </c>
      <c r="P18" s="182">
        <f t="shared" ref="P18:P23" si="38">SUM(D18:I18,K18)</f>
        <v>0.361558884375</v>
      </c>
      <c r="Q18" s="1084"/>
      <c r="R18" s="3219">
        <f>F18+G18</f>
        <v>0</v>
      </c>
      <c r="S18" s="3219">
        <f>E18+H18+K18</f>
        <v>3.6152634374999999E-2</v>
      </c>
      <c r="T18" s="129">
        <f t="shared" ref="T18:T23" si="39">C18</f>
        <v>26.367000000000001</v>
      </c>
      <c r="U18" s="68">
        <f t="shared" ref="U18:Z19" si="40">D18*$K$3/$AB$3</f>
        <v>0.68800178571428572</v>
      </c>
      <c r="V18" s="27">
        <f t="shared" si="40"/>
        <v>0</v>
      </c>
      <c r="W18" s="363">
        <f t="shared" si="40"/>
        <v>0</v>
      </c>
      <c r="X18" s="363">
        <f t="shared" si="40"/>
        <v>0</v>
      </c>
      <c r="Y18" s="363">
        <f t="shared" si="40"/>
        <v>0</v>
      </c>
      <c r="Z18" s="28">
        <f t="shared" si="40"/>
        <v>0</v>
      </c>
      <c r="AA18" s="129">
        <f t="shared" ref="AA18:AA23" si="41">J18</f>
        <v>26.367000000000001</v>
      </c>
      <c r="AB18" s="28">
        <f t="shared" ref="AB18:AB23" si="42">K18*$K$3/$AB$3</f>
        <v>7.6436998392857142E-2</v>
      </c>
      <c r="AC18" s="364">
        <f t="shared" ref="AC18:AC23" si="43">L18</f>
        <v>3</v>
      </c>
      <c r="AD18" s="182">
        <f t="shared" ref="AD18:AD23" si="44">SUM(U18:Z18,AB18)</f>
        <v>0.76443878410714283</v>
      </c>
      <c r="AE18" s="1084"/>
      <c r="AF18" s="463" t="s">
        <v>1358</v>
      </c>
      <c r="AG18" s="1087"/>
      <c r="AH18" s="1343">
        <f t="shared" ref="AH18:AH23" si="45">1-SUM(AI18:AN18)</f>
        <v>0.90000900009000095</v>
      </c>
      <c r="AI18" s="1344">
        <f t="shared" ref="AI18:AM19" si="46">E18/$P18</f>
        <v>0</v>
      </c>
      <c r="AJ18" s="1345">
        <f t="shared" si="46"/>
        <v>0</v>
      </c>
      <c r="AK18" s="1345">
        <f t="shared" si="46"/>
        <v>0</v>
      </c>
      <c r="AL18" s="1345">
        <f t="shared" si="46"/>
        <v>0</v>
      </c>
      <c r="AM18" s="1346">
        <f t="shared" si="46"/>
        <v>0</v>
      </c>
      <c r="AN18" s="1347">
        <f t="shared" ref="AN18:AN23" si="47">K18/$P18</f>
        <v>9.9990999909999101E-2</v>
      </c>
      <c r="AO18" s="1084"/>
      <c r="AP18" s="2006"/>
      <c r="AQ18" s="2006"/>
      <c r="AR18" s="2006"/>
      <c r="AS18" s="2006"/>
      <c r="AT18" s="2006"/>
      <c r="AU18" s="2006"/>
      <c r="AV18" s="2006"/>
      <c r="AW18" s="2006"/>
      <c r="AX18" s="2006"/>
      <c r="AY18" s="2006"/>
      <c r="AZ18" s="2007"/>
      <c r="BA18" s="2007"/>
    </row>
    <row r="19" spans="1:55" ht="15" hidden="1" customHeight="1" outlineLevel="2" x14ac:dyDescent="0.2">
      <c r="A19" s="458" t="s">
        <v>1359</v>
      </c>
      <c r="B19" s="451">
        <v>150</v>
      </c>
      <c r="C19" s="155">
        <v>39.551000000000002</v>
      </c>
      <c r="D19" s="68">
        <v>0.48810937500000001</v>
      </c>
      <c r="E19" s="27">
        <v>0</v>
      </c>
      <c r="F19" s="29">
        <v>0</v>
      </c>
      <c r="G19" s="2695">
        <v>0</v>
      </c>
      <c r="H19" s="29">
        <v>0</v>
      </c>
      <c r="I19" s="28">
        <v>0</v>
      </c>
      <c r="J19" s="129">
        <v>39.551000000000002</v>
      </c>
      <c r="K19" s="28">
        <v>5.4228951562500002E-2</v>
      </c>
      <c r="L19" s="146">
        <v>3</v>
      </c>
      <c r="M19" s="571">
        <v>10</v>
      </c>
      <c r="N19" s="2293">
        <v>2</v>
      </c>
      <c r="O19" s="2507" t="s">
        <v>336</v>
      </c>
      <c r="P19" s="182">
        <f t="shared" si="38"/>
        <v>0.54233832656250003</v>
      </c>
      <c r="Q19" s="1084"/>
      <c r="R19" s="3219">
        <f t="shared" ref="R19:R23" si="48">F19+G19</f>
        <v>0</v>
      </c>
      <c r="S19" s="3219">
        <f t="shared" ref="S19:S23" si="49">E19+H19+K19</f>
        <v>5.4228951562500002E-2</v>
      </c>
      <c r="T19" s="129">
        <f t="shared" si="39"/>
        <v>39.551000000000002</v>
      </c>
      <c r="U19" s="68">
        <f t="shared" si="40"/>
        <v>1.0320026785714287</v>
      </c>
      <c r="V19" s="27">
        <f t="shared" si="40"/>
        <v>0</v>
      </c>
      <c r="W19" s="363">
        <f t="shared" si="40"/>
        <v>0</v>
      </c>
      <c r="X19" s="363">
        <f t="shared" si="40"/>
        <v>0</v>
      </c>
      <c r="Y19" s="363">
        <f t="shared" si="40"/>
        <v>0</v>
      </c>
      <c r="Z19" s="28">
        <f t="shared" si="40"/>
        <v>0</v>
      </c>
      <c r="AA19" s="129">
        <f t="shared" si="41"/>
        <v>39.551000000000002</v>
      </c>
      <c r="AB19" s="28">
        <f t="shared" si="42"/>
        <v>0.11465549758928571</v>
      </c>
      <c r="AC19" s="364">
        <f t="shared" si="43"/>
        <v>3</v>
      </c>
      <c r="AD19" s="182">
        <f t="shared" si="44"/>
        <v>1.1466581761607144</v>
      </c>
      <c r="AE19" s="1084"/>
      <c r="AF19" s="463" t="s">
        <v>1359</v>
      </c>
      <c r="AG19" s="1087"/>
      <c r="AH19" s="1343">
        <f t="shared" si="45"/>
        <v>0.90000900009000095</v>
      </c>
      <c r="AI19" s="1344">
        <f t="shared" si="46"/>
        <v>0</v>
      </c>
      <c r="AJ19" s="1345">
        <f t="shared" si="46"/>
        <v>0</v>
      </c>
      <c r="AK19" s="1345">
        <f t="shared" si="46"/>
        <v>0</v>
      </c>
      <c r="AL19" s="1345">
        <f t="shared" si="46"/>
        <v>0</v>
      </c>
      <c r="AM19" s="1346">
        <f t="shared" si="46"/>
        <v>0</v>
      </c>
      <c r="AN19" s="1347">
        <f t="shared" si="47"/>
        <v>9.9990999909999101E-2</v>
      </c>
      <c r="AO19" s="1084"/>
      <c r="AP19" s="2006"/>
      <c r="AQ19" s="2006"/>
      <c r="AR19" s="2006"/>
      <c r="AS19" s="2006"/>
      <c r="AT19" s="2006"/>
      <c r="AU19" s="2006"/>
      <c r="AV19" s="2006"/>
      <c r="AW19" s="2006"/>
      <c r="AX19" s="2006"/>
      <c r="AY19" s="2006"/>
      <c r="AZ19" s="2007"/>
      <c r="BA19" s="2007"/>
    </row>
    <row r="20" spans="1:55" ht="15" hidden="1" customHeight="1" outlineLevel="2" x14ac:dyDescent="0.2">
      <c r="A20" s="458" t="s">
        <v>1874</v>
      </c>
      <c r="B20" s="451">
        <v>10</v>
      </c>
      <c r="C20" s="155">
        <v>7.91</v>
      </c>
      <c r="D20" s="68">
        <v>0.48810937500000007</v>
      </c>
      <c r="E20" s="27">
        <v>0</v>
      </c>
      <c r="F20" s="29">
        <v>1.3837837837837839E-2</v>
      </c>
      <c r="G20" s="2695">
        <v>1.4875675675675677E-2</v>
      </c>
      <c r="H20" s="29">
        <v>1.6571953125000004E-2</v>
      </c>
      <c r="I20" s="28">
        <v>0</v>
      </c>
      <c r="J20" s="129">
        <v>7.91</v>
      </c>
      <c r="K20" s="28">
        <v>1.0845790312500004E-2</v>
      </c>
      <c r="L20" s="146">
        <v>3</v>
      </c>
      <c r="M20" s="571">
        <v>6</v>
      </c>
      <c r="N20" s="2293">
        <v>2</v>
      </c>
      <c r="O20" s="2507" t="s">
        <v>336</v>
      </c>
      <c r="P20" s="182">
        <f t="shared" si="38"/>
        <v>0.54424063195101369</v>
      </c>
      <c r="Q20" s="1084"/>
      <c r="R20" s="3219">
        <f t="shared" si="48"/>
        <v>2.8713513513513516E-2</v>
      </c>
      <c r="S20" s="3219">
        <f t="shared" si="49"/>
        <v>2.741774343750001E-2</v>
      </c>
      <c r="T20" s="129">
        <f t="shared" si="39"/>
        <v>7.91</v>
      </c>
      <c r="U20" s="68">
        <f t="shared" ref="U20" si="50">D20*$K$3/$AB$3</f>
        <v>1.0320026785714287</v>
      </c>
      <c r="V20" s="27">
        <f t="shared" ref="V20" si="51">E20*$K$3/$AB$3</f>
        <v>0</v>
      </c>
      <c r="W20" s="363">
        <f t="shared" ref="W20" si="52">F20*$K$3/$AB$3</f>
        <v>2.9257142857142857E-2</v>
      </c>
      <c r="X20" s="363">
        <f t="shared" ref="X20" si="53">G20*$K$3/$AB$3</f>
        <v>3.1451428571428575E-2</v>
      </c>
      <c r="Y20" s="363">
        <f t="shared" ref="Y20" si="54">H20*$K$3/$AB$3</f>
        <v>3.5037843750000006E-2</v>
      </c>
      <c r="Z20" s="28">
        <f t="shared" ref="Z20" si="55">I20*$K$3/$AB$3</f>
        <v>0</v>
      </c>
      <c r="AA20" s="129">
        <f t="shared" si="41"/>
        <v>7.91</v>
      </c>
      <c r="AB20" s="28">
        <f t="shared" si="42"/>
        <v>2.2931099517857153E-2</v>
      </c>
      <c r="AC20" s="364">
        <f t="shared" si="43"/>
        <v>3</v>
      </c>
      <c r="AD20" s="182">
        <f t="shared" si="44"/>
        <v>1.1506801932678574</v>
      </c>
      <c r="AE20" s="1084"/>
      <c r="AF20" s="463" t="s">
        <v>1874</v>
      </c>
      <c r="AG20" s="1087"/>
      <c r="AH20" s="1343">
        <f t="shared" si="45"/>
        <v>0.89686316372632424</v>
      </c>
      <c r="AI20" s="1344">
        <f t="shared" ref="AI20" si="56">E20/$P20</f>
        <v>0</v>
      </c>
      <c r="AJ20" s="1345">
        <f t="shared" ref="AJ20" si="57">F20/$P20</f>
        <v>2.5425955037997536E-2</v>
      </c>
      <c r="AK20" s="1345">
        <f t="shared" ref="AK20" si="58">G20/$P20</f>
        <v>2.7332901665847349E-2</v>
      </c>
      <c r="AL20" s="1345">
        <f t="shared" ref="AL20" si="59">H20/$P20</f>
        <v>3.0449680071831943E-2</v>
      </c>
      <c r="AM20" s="1346">
        <f t="shared" ref="AM20" si="60">I20/$P20</f>
        <v>0</v>
      </c>
      <c r="AN20" s="1347">
        <f t="shared" si="47"/>
        <v>1.9928299497998927E-2</v>
      </c>
      <c r="AO20" s="1084"/>
      <c r="AP20" s="2006"/>
      <c r="AQ20" s="2006"/>
      <c r="AR20" s="2006"/>
      <c r="AS20" s="2006"/>
      <c r="AT20" s="2006"/>
      <c r="AU20" s="2006"/>
      <c r="AV20" s="2006"/>
      <c r="AW20" s="2006"/>
      <c r="AX20" s="2006"/>
      <c r="AY20" s="2006"/>
      <c r="AZ20" s="2007"/>
      <c r="BA20" s="2007"/>
    </row>
    <row r="21" spans="1:55" ht="15" hidden="1" customHeight="1" outlineLevel="2" x14ac:dyDescent="0.2">
      <c r="A21" s="458" t="s">
        <v>1360</v>
      </c>
      <c r="B21" s="451">
        <v>10</v>
      </c>
      <c r="C21" s="155">
        <v>8.41</v>
      </c>
      <c r="D21" s="68">
        <v>9.7621874999999997E-2</v>
      </c>
      <c r="E21" s="27">
        <v>0</v>
      </c>
      <c r="F21" s="29">
        <v>1.3837837837837838E-2</v>
      </c>
      <c r="G21" s="2695">
        <v>1.4875675675675677E-2</v>
      </c>
      <c r="H21" s="29">
        <v>1.6571953125000004E-2</v>
      </c>
      <c r="I21" s="28">
        <v>0</v>
      </c>
      <c r="J21" s="129">
        <v>7.91</v>
      </c>
      <c r="K21" s="28">
        <v>1.0845790312500004E-2</v>
      </c>
      <c r="L21" s="146">
        <v>3</v>
      </c>
      <c r="M21" s="571">
        <v>6</v>
      </c>
      <c r="N21" s="2293">
        <v>2</v>
      </c>
      <c r="O21" s="2507" t="s">
        <v>336</v>
      </c>
      <c r="P21" s="182">
        <f t="shared" si="38"/>
        <v>0.15375313195101351</v>
      </c>
      <c r="Q21" s="1084"/>
      <c r="R21" s="3219">
        <f t="shared" si="48"/>
        <v>2.8713513513513512E-2</v>
      </c>
      <c r="S21" s="3219">
        <f t="shared" si="49"/>
        <v>2.741774343750001E-2</v>
      </c>
      <c r="T21" s="129">
        <f t="shared" si="39"/>
        <v>8.41</v>
      </c>
      <c r="U21" s="68">
        <f t="shared" ref="U21:Z21" si="61">D21*$K$3/$AB$3</f>
        <v>0.20640053571428571</v>
      </c>
      <c r="V21" s="27">
        <f t="shared" si="61"/>
        <v>0</v>
      </c>
      <c r="W21" s="363">
        <f t="shared" si="61"/>
        <v>2.9257142857142857E-2</v>
      </c>
      <c r="X21" s="363">
        <f t="shared" si="61"/>
        <v>3.1451428571428575E-2</v>
      </c>
      <c r="Y21" s="363">
        <f t="shared" si="61"/>
        <v>3.5037843750000006E-2</v>
      </c>
      <c r="Z21" s="28">
        <f t="shared" si="61"/>
        <v>0</v>
      </c>
      <c r="AA21" s="129">
        <f t="shared" si="41"/>
        <v>7.91</v>
      </c>
      <c r="AB21" s="28">
        <f t="shared" si="42"/>
        <v>2.2931099517857153E-2</v>
      </c>
      <c r="AC21" s="364">
        <f t="shared" si="43"/>
        <v>3</v>
      </c>
      <c r="AD21" s="182">
        <f t="shared" si="44"/>
        <v>0.3250780504107143</v>
      </c>
      <c r="AE21" s="1084"/>
      <c r="AF21" s="463" t="s">
        <v>1360</v>
      </c>
      <c r="AG21" s="1087"/>
      <c r="AH21" s="1343">
        <f t="shared" si="45"/>
        <v>0.63492609068349126</v>
      </c>
      <c r="AI21" s="1344">
        <f>E21/$P21</f>
        <v>0</v>
      </c>
      <c r="AJ21" s="1345">
        <f>F21/$P21</f>
        <v>9.0000363974677533E-2</v>
      </c>
      <c r="AK21" s="1345">
        <f>G21/$P21</f>
        <v>9.675039127277836E-2</v>
      </c>
      <c r="AL21" s="1345">
        <f>H21/$P21</f>
        <v>0.10778286539411704</v>
      </c>
      <c r="AM21" s="1346">
        <f>I21/$P21</f>
        <v>0</v>
      </c>
      <c r="AN21" s="1347">
        <f t="shared" si="47"/>
        <v>7.0540288674935905E-2</v>
      </c>
      <c r="AO21" s="1084"/>
      <c r="AP21" s="2006"/>
      <c r="AQ21" s="2006"/>
      <c r="AR21" s="2006"/>
      <c r="AS21" s="2006"/>
      <c r="AT21" s="2006"/>
      <c r="AU21" s="2006"/>
      <c r="AV21" s="2006"/>
      <c r="AW21" s="2006"/>
      <c r="AX21" s="2006"/>
      <c r="AY21" s="2006"/>
      <c r="AZ21" s="2007"/>
      <c r="BA21" s="2007"/>
    </row>
    <row r="22" spans="1:55" ht="16" hidden="1" outlineLevel="2" x14ac:dyDescent="0.2">
      <c r="A22" s="458" t="s">
        <v>1875</v>
      </c>
      <c r="B22" s="451">
        <v>10</v>
      </c>
      <c r="C22" s="155">
        <v>7.91</v>
      </c>
      <c r="D22" s="68">
        <v>0.97621875000000014</v>
      </c>
      <c r="E22" s="27">
        <v>0</v>
      </c>
      <c r="F22" s="29">
        <v>1.3837837837837839E-2</v>
      </c>
      <c r="G22" s="2695">
        <v>1.4875675675675677E-2</v>
      </c>
      <c r="H22" s="29">
        <v>1.6571953125000004E-2</v>
      </c>
      <c r="I22" s="28">
        <v>0</v>
      </c>
      <c r="J22" s="129">
        <v>7.91</v>
      </c>
      <c r="K22" s="28">
        <v>1.0845790312500004E-2</v>
      </c>
      <c r="L22" s="146">
        <v>3</v>
      </c>
      <c r="M22" s="571">
        <v>6</v>
      </c>
      <c r="N22" s="2293">
        <v>2</v>
      </c>
      <c r="O22" s="2507" t="s">
        <v>336</v>
      </c>
      <c r="P22" s="182">
        <f t="shared" si="38"/>
        <v>1.0323500069510136</v>
      </c>
      <c r="Q22" s="1084"/>
      <c r="R22" s="3219">
        <f t="shared" si="48"/>
        <v>2.8713513513513516E-2</v>
      </c>
      <c r="S22" s="3219">
        <f t="shared" si="49"/>
        <v>2.741774343750001E-2</v>
      </c>
      <c r="T22" s="129">
        <f t="shared" si="39"/>
        <v>7.91</v>
      </c>
      <c r="U22" s="68">
        <f t="shared" ref="U22" si="62">D22*$K$3/$AB$3</f>
        <v>2.0640053571428574</v>
      </c>
      <c r="V22" s="27">
        <f t="shared" ref="V22" si="63">E22*$K$3/$AB$3</f>
        <v>0</v>
      </c>
      <c r="W22" s="363">
        <f t="shared" ref="W22" si="64">F22*$K$3/$AB$3</f>
        <v>2.9257142857142857E-2</v>
      </c>
      <c r="X22" s="363">
        <f t="shared" ref="X22" si="65">G22*$K$3/$AB$3</f>
        <v>3.1451428571428575E-2</v>
      </c>
      <c r="Y22" s="363">
        <f t="shared" ref="Y22" si="66">H22*$K$3/$AB$3</f>
        <v>3.5037843750000006E-2</v>
      </c>
      <c r="Z22" s="28">
        <f t="shared" ref="Z22" si="67">I22*$K$3/$AB$3</f>
        <v>0</v>
      </c>
      <c r="AA22" s="129">
        <f t="shared" si="41"/>
        <v>7.91</v>
      </c>
      <c r="AB22" s="28">
        <f t="shared" si="42"/>
        <v>2.2931099517857153E-2</v>
      </c>
      <c r="AC22" s="364">
        <f t="shared" si="43"/>
        <v>3</v>
      </c>
      <c r="AD22" s="182">
        <f t="shared" si="44"/>
        <v>2.1826828718392863</v>
      </c>
      <c r="AE22" s="1084"/>
      <c r="AF22" s="463" t="s">
        <v>1875</v>
      </c>
      <c r="AG22" s="1087"/>
      <c r="AH22" s="1343">
        <f t="shared" si="45"/>
        <v>0.94562768772889927</v>
      </c>
      <c r="AI22" s="1344">
        <f t="shared" ref="AI22" si="68">E22/$P22</f>
        <v>0</v>
      </c>
      <c r="AJ22" s="1345">
        <f t="shared" ref="AJ22" si="69">F22/$P22</f>
        <v>1.3404211502557255E-2</v>
      </c>
      <c r="AK22" s="1345">
        <f t="shared" ref="AK22" si="70">G22/$P22</f>
        <v>1.4409527365249048E-2</v>
      </c>
      <c r="AL22" s="1345">
        <f t="shared" ref="AL22" si="71">H22/$P22</f>
        <v>1.6052649792626352E-2</v>
      </c>
      <c r="AM22" s="1346">
        <f t="shared" ref="AM22" si="72">I22/$P22</f>
        <v>0</v>
      </c>
      <c r="AN22" s="1347">
        <f t="shared" si="47"/>
        <v>1.0505923610668074E-2</v>
      </c>
      <c r="AO22" s="1084"/>
      <c r="AP22" s="2006"/>
      <c r="AQ22" s="2006"/>
      <c r="AR22" s="2006"/>
      <c r="AS22" s="2006"/>
      <c r="AT22" s="2006"/>
      <c r="AU22" s="2006"/>
      <c r="AV22" s="2006"/>
      <c r="AW22" s="2006"/>
      <c r="AX22" s="2006"/>
      <c r="AY22" s="2006"/>
      <c r="AZ22" s="2007"/>
      <c r="BA22" s="2007"/>
    </row>
    <row r="23" spans="1:55" ht="16" hidden="1" outlineLevel="2" x14ac:dyDescent="0.2">
      <c r="A23" s="458" t="s">
        <v>1361</v>
      </c>
      <c r="B23" s="451">
        <v>150</v>
      </c>
      <c r="C23" s="155">
        <v>39.551000000000002</v>
      </c>
      <c r="D23" s="68">
        <v>0.97621875000000002</v>
      </c>
      <c r="E23" s="27">
        <v>0</v>
      </c>
      <c r="F23" s="29">
        <v>0</v>
      </c>
      <c r="G23" s="2695">
        <v>0</v>
      </c>
      <c r="H23" s="29">
        <v>0</v>
      </c>
      <c r="I23" s="28">
        <v>0</v>
      </c>
      <c r="J23" s="129">
        <v>39.551000000000002</v>
      </c>
      <c r="K23" s="28">
        <v>5.4228951562500002E-2</v>
      </c>
      <c r="L23" s="146">
        <v>3</v>
      </c>
      <c r="M23" s="571">
        <v>10</v>
      </c>
      <c r="N23" s="2293">
        <v>2</v>
      </c>
      <c r="O23" s="2507" t="s">
        <v>336</v>
      </c>
      <c r="P23" s="182">
        <f t="shared" si="38"/>
        <v>1.0304477015625</v>
      </c>
      <c r="Q23" s="1084"/>
      <c r="R23" s="3219">
        <f t="shared" si="48"/>
        <v>0</v>
      </c>
      <c r="S23" s="3219">
        <f t="shared" si="49"/>
        <v>5.4228951562500002E-2</v>
      </c>
      <c r="T23" s="129">
        <f t="shared" si="39"/>
        <v>39.551000000000002</v>
      </c>
      <c r="U23" s="68">
        <f t="shared" ref="U23:Z23" si="73">D23*$K$3/$AB$3</f>
        <v>2.0640053571428574</v>
      </c>
      <c r="V23" s="27">
        <f t="shared" si="73"/>
        <v>0</v>
      </c>
      <c r="W23" s="363">
        <f t="shared" si="73"/>
        <v>0</v>
      </c>
      <c r="X23" s="363">
        <f t="shared" si="73"/>
        <v>0</v>
      </c>
      <c r="Y23" s="363">
        <f t="shared" si="73"/>
        <v>0</v>
      </c>
      <c r="Z23" s="28">
        <f t="shared" si="73"/>
        <v>0</v>
      </c>
      <c r="AA23" s="129">
        <f t="shared" si="41"/>
        <v>39.551000000000002</v>
      </c>
      <c r="AB23" s="28">
        <f t="shared" si="42"/>
        <v>0.11465549758928571</v>
      </c>
      <c r="AC23" s="364">
        <f t="shared" si="43"/>
        <v>3</v>
      </c>
      <c r="AD23" s="182">
        <f t="shared" si="44"/>
        <v>2.1786608547321431</v>
      </c>
      <c r="AE23" s="1084"/>
      <c r="AF23" s="463" t="s">
        <v>1361</v>
      </c>
      <c r="AG23" s="1087"/>
      <c r="AH23" s="1343">
        <f t="shared" si="45"/>
        <v>0.94737340722845909</v>
      </c>
      <c r="AI23" s="1344">
        <f>E23/$P23</f>
        <v>0</v>
      </c>
      <c r="AJ23" s="1345">
        <f>F23/$P23</f>
        <v>0</v>
      </c>
      <c r="AK23" s="1345">
        <f>G23/$P23</f>
        <v>0</v>
      </c>
      <c r="AL23" s="1345">
        <f>H23/$P23</f>
        <v>0</v>
      </c>
      <c r="AM23" s="1346">
        <f>I23/$P23</f>
        <v>0</v>
      </c>
      <c r="AN23" s="1347">
        <f t="shared" si="47"/>
        <v>5.2626592771540907E-2</v>
      </c>
      <c r="AO23" s="1084"/>
      <c r="AP23" s="2006"/>
      <c r="AQ23" s="2006"/>
      <c r="AR23" s="2006"/>
      <c r="AS23" s="2006"/>
      <c r="AT23" s="2006"/>
      <c r="AU23" s="2006"/>
      <c r="AV23" s="2006"/>
      <c r="AW23" s="2006"/>
      <c r="AX23" s="2006"/>
      <c r="AY23" s="2006"/>
      <c r="AZ23" s="2007"/>
      <c r="BA23" s="2007"/>
    </row>
    <row r="24" spans="1:55" ht="15" hidden="1" customHeight="1" outlineLevel="1" collapsed="1" x14ac:dyDescent="0.2">
      <c r="A24" s="457" t="s">
        <v>1484</v>
      </c>
      <c r="B24" s="450" t="str">
        <f t="shared" ref="B24:C24" si="74">B$6</f>
        <v>Trips</v>
      </c>
      <c r="C24" s="172" t="str">
        <f t="shared" si="74"/>
        <v>Mbpd</v>
      </c>
      <c r="D24" s="173" t="s">
        <v>303</v>
      </c>
      <c r="E24" s="173" t="s">
        <v>9</v>
      </c>
      <c r="F24" s="173" t="s">
        <v>304</v>
      </c>
      <c r="G24" s="2694" t="s">
        <v>970</v>
      </c>
      <c r="H24" s="173" t="s">
        <v>312</v>
      </c>
      <c r="I24" s="173" t="s">
        <v>330</v>
      </c>
      <c r="J24" s="173" t="s">
        <v>308</v>
      </c>
      <c r="K24" s="173" t="s">
        <v>309</v>
      </c>
      <c r="L24" s="178" t="s">
        <v>299</v>
      </c>
      <c r="M24" s="572" t="str">
        <f>M$6</f>
        <v>DPM/c</v>
      </c>
      <c r="N24" s="2292" t="str">
        <f>N$6</f>
        <v>MT</v>
      </c>
      <c r="O24" s="2506" t="str">
        <f>O$6</f>
        <v xml:space="preserve">WF </v>
      </c>
      <c r="P24" s="181" t="s">
        <v>273</v>
      </c>
      <c r="Q24" s="1084"/>
      <c r="R24" s="181"/>
      <c r="S24" s="181"/>
      <c r="T24" s="1270" t="s">
        <v>308</v>
      </c>
      <c r="U24" s="173" t="s">
        <v>303</v>
      </c>
      <c r="V24" s="173" t="str">
        <f>V$6</f>
        <v xml:space="preserve">WTS </v>
      </c>
      <c r="W24" s="173" t="str">
        <f>+W$6</f>
        <v>Web</v>
      </c>
      <c r="X24" s="173" t="str">
        <f>+X$6</f>
        <v>Portal</v>
      </c>
      <c r="Y24" s="173" t="s">
        <v>312</v>
      </c>
      <c r="Z24" s="173" t="s">
        <v>330</v>
      </c>
      <c r="AA24" s="173" t="s">
        <v>308</v>
      </c>
      <c r="AB24" s="173" t="s">
        <v>309</v>
      </c>
      <c r="AC24" s="178" t="s">
        <v>299</v>
      </c>
      <c r="AD24" s="181" t="s">
        <v>273</v>
      </c>
      <c r="AE24" s="1088"/>
      <c r="AF24" s="404" t="s">
        <v>1280</v>
      </c>
      <c r="AG24" s="1087"/>
      <c r="AH24" s="1338" t="str">
        <f t="shared" ref="AH24:AM24" si="75">D24</f>
        <v>Client</v>
      </c>
      <c r="AI24" s="1339" t="str">
        <f t="shared" si="75"/>
        <v xml:space="preserve">WTS </v>
      </c>
      <c r="AJ24" s="1339" t="str">
        <f t="shared" si="75"/>
        <v>Web</v>
      </c>
      <c r="AK24" s="1339" t="str">
        <f t="shared" si="75"/>
        <v>Portal</v>
      </c>
      <c r="AL24" s="1340" t="str">
        <f t="shared" si="75"/>
        <v>SOC</v>
      </c>
      <c r="AM24" s="1341" t="str">
        <f t="shared" si="75"/>
        <v>SDE</v>
      </c>
      <c r="AN24" s="1342" t="str">
        <f>K24</f>
        <v>DBMS</v>
      </c>
      <c r="AO24" s="1084"/>
      <c r="AP24" s="2006"/>
      <c r="AQ24" s="2006"/>
      <c r="AR24" s="2006"/>
      <c r="AS24" s="2006"/>
      <c r="AT24" s="2006"/>
      <c r="AU24" s="2006"/>
      <c r="AV24" s="2006"/>
      <c r="AW24" s="2006"/>
      <c r="AX24" s="2006"/>
      <c r="AY24" s="2006"/>
      <c r="AZ24" s="2007"/>
      <c r="BA24" s="2007"/>
    </row>
    <row r="25" spans="1:55" ht="15" hidden="1" customHeight="1" outlineLevel="2" x14ac:dyDescent="0.2">
      <c r="A25" s="458" t="s">
        <v>1287</v>
      </c>
      <c r="B25" s="451">
        <v>10</v>
      </c>
      <c r="C25" s="155">
        <v>0.73799999999999999</v>
      </c>
      <c r="D25" s="68">
        <v>2.0756756756756756E-2</v>
      </c>
      <c r="E25" s="27">
        <v>0.32540625000000001</v>
      </c>
      <c r="F25" s="29">
        <v>0</v>
      </c>
      <c r="G25" s="2695">
        <v>0</v>
      </c>
      <c r="H25" s="29">
        <v>0</v>
      </c>
      <c r="I25" s="28">
        <v>0</v>
      </c>
      <c r="J25" s="129">
        <v>26.367000000000001</v>
      </c>
      <c r="K25" s="28">
        <v>3.6152634374999999E-2</v>
      </c>
      <c r="L25" s="146">
        <v>3</v>
      </c>
      <c r="M25" s="571">
        <v>10</v>
      </c>
      <c r="N25" s="2293">
        <v>2</v>
      </c>
      <c r="O25" s="2507" t="s">
        <v>336</v>
      </c>
      <c r="P25" s="182">
        <f t="shared" ref="P25:P30" si="76">SUM(D25:I25,K25)</f>
        <v>0.38231564113175676</v>
      </c>
      <c r="Q25" s="1084"/>
      <c r="R25" s="3219">
        <f t="shared" ref="R25" si="77">F25+G25</f>
        <v>0</v>
      </c>
      <c r="S25" s="3219">
        <f t="shared" ref="S25" si="78">E25+H25+K25</f>
        <v>0.361558884375</v>
      </c>
      <c r="T25" s="129">
        <f t="shared" ref="T25:T30" si="79">C25</f>
        <v>0.73799999999999999</v>
      </c>
      <c r="U25" s="68">
        <f t="shared" ref="U25:Z30" si="80">D25*$K$3/$AB$3</f>
        <v>4.3885714285714285E-2</v>
      </c>
      <c r="V25" s="27">
        <f t="shared" si="80"/>
        <v>0.68800178571428572</v>
      </c>
      <c r="W25" s="363">
        <f t="shared" si="80"/>
        <v>0</v>
      </c>
      <c r="X25" s="363">
        <f t="shared" si="80"/>
        <v>0</v>
      </c>
      <c r="Y25" s="363">
        <f t="shared" si="80"/>
        <v>0</v>
      </c>
      <c r="Z25" s="28">
        <f t="shared" si="80"/>
        <v>0</v>
      </c>
      <c r="AA25" s="129">
        <f t="shared" ref="AA25:AA30" si="81">J25</f>
        <v>26.367000000000001</v>
      </c>
      <c r="AB25" s="28">
        <f t="shared" ref="AB25:AB30" si="82">K25*$K$3/$AB$3</f>
        <v>7.6436998392857142E-2</v>
      </c>
      <c r="AC25" s="364">
        <f t="shared" ref="AC25:AC30" si="83">L25</f>
        <v>3</v>
      </c>
      <c r="AD25" s="182">
        <f t="shared" ref="AD25:AD30" si="84">SUM(U25:Z25,AB25)</f>
        <v>0.80832449839285714</v>
      </c>
      <c r="AE25" s="1084"/>
      <c r="AF25" s="463" t="s">
        <v>1287</v>
      </c>
      <c r="AG25" s="1087"/>
      <c r="AH25" s="1343">
        <f t="shared" ref="AH25:AH30" si="85">1-SUM(AI25:AN25)</f>
        <v>5.4292198706051287E-2</v>
      </c>
      <c r="AI25" s="1344">
        <f t="shared" ref="AI25:AM30" si="86">E25/$P25</f>
        <v>0.85114553261988002</v>
      </c>
      <c r="AJ25" s="1345">
        <f t="shared" si="86"/>
        <v>0</v>
      </c>
      <c r="AK25" s="1345">
        <f t="shared" si="86"/>
        <v>0</v>
      </c>
      <c r="AL25" s="1345">
        <f t="shared" si="86"/>
        <v>0</v>
      </c>
      <c r="AM25" s="1346">
        <f t="shared" si="86"/>
        <v>0</v>
      </c>
      <c r="AN25" s="1347">
        <f t="shared" ref="AN25:AN30" si="87">K25/$P25</f>
        <v>9.4562268674068667E-2</v>
      </c>
      <c r="AO25" s="1084"/>
      <c r="AP25" s="2006"/>
      <c r="AQ25" s="2006"/>
      <c r="AR25" s="2006"/>
      <c r="AS25" s="2006"/>
      <c r="AT25" s="2006"/>
      <c r="AU25" s="2006"/>
      <c r="AV25" s="2006"/>
      <c r="AW25" s="2006"/>
      <c r="AX25" s="2006"/>
      <c r="AY25" s="2006"/>
      <c r="AZ25" s="2007"/>
      <c r="BA25" s="2007"/>
    </row>
    <row r="26" spans="1:55" ht="15" hidden="1" customHeight="1" outlineLevel="2" x14ac:dyDescent="0.2">
      <c r="A26" s="458" t="s">
        <v>1365</v>
      </c>
      <c r="B26" s="451">
        <v>10</v>
      </c>
      <c r="C26" s="155">
        <v>1.107</v>
      </c>
      <c r="D26" s="68">
        <v>2.0756756756756756E-2</v>
      </c>
      <c r="E26" s="27">
        <v>0.48810937500000001</v>
      </c>
      <c r="F26" s="29">
        <v>0</v>
      </c>
      <c r="G26" s="2695">
        <v>0</v>
      </c>
      <c r="H26" s="29">
        <v>0</v>
      </c>
      <c r="I26" s="28">
        <v>0</v>
      </c>
      <c r="J26" s="129">
        <v>39.551000000000002</v>
      </c>
      <c r="K26" s="28">
        <v>5.4228951562500002E-2</v>
      </c>
      <c r="L26" s="146">
        <v>3</v>
      </c>
      <c r="M26" s="571">
        <v>10</v>
      </c>
      <c r="N26" s="2293">
        <v>2</v>
      </c>
      <c r="O26" s="2507" t="s">
        <v>336</v>
      </c>
      <c r="P26" s="182">
        <f t="shared" si="76"/>
        <v>0.56309508331925673</v>
      </c>
      <c r="Q26" s="1084"/>
      <c r="R26" s="3219">
        <f t="shared" ref="R26:R30" si="88">F26+G26</f>
        <v>0</v>
      </c>
      <c r="S26" s="3219">
        <f t="shared" ref="S26:S30" si="89">E26+H26+K26</f>
        <v>0.54233832656250003</v>
      </c>
      <c r="T26" s="129">
        <f t="shared" si="79"/>
        <v>1.107</v>
      </c>
      <c r="U26" s="68">
        <f t="shared" si="80"/>
        <v>4.3885714285714285E-2</v>
      </c>
      <c r="V26" s="27">
        <f t="shared" si="80"/>
        <v>1.0320026785714287</v>
      </c>
      <c r="W26" s="363">
        <f t="shared" si="80"/>
        <v>0</v>
      </c>
      <c r="X26" s="363">
        <f t="shared" si="80"/>
        <v>0</v>
      </c>
      <c r="Y26" s="363">
        <f t="shared" si="80"/>
        <v>0</v>
      </c>
      <c r="Z26" s="28">
        <f t="shared" si="80"/>
        <v>0</v>
      </c>
      <c r="AA26" s="129">
        <f t="shared" si="81"/>
        <v>39.551000000000002</v>
      </c>
      <c r="AB26" s="28">
        <f t="shared" si="82"/>
        <v>0.11465549758928571</v>
      </c>
      <c r="AC26" s="364">
        <f t="shared" si="83"/>
        <v>3</v>
      </c>
      <c r="AD26" s="182">
        <f t="shared" si="84"/>
        <v>1.1905438904464287</v>
      </c>
      <c r="AE26" s="1084"/>
      <c r="AF26" s="463" t="s">
        <v>1365</v>
      </c>
      <c r="AG26" s="1087"/>
      <c r="AH26" s="1343">
        <f t="shared" si="85"/>
        <v>3.6861903738179658E-2</v>
      </c>
      <c r="AI26" s="1344">
        <f t="shared" si="86"/>
        <v>0.86683295496518797</v>
      </c>
      <c r="AJ26" s="1345">
        <f t="shared" si="86"/>
        <v>0</v>
      </c>
      <c r="AK26" s="1345">
        <f t="shared" si="86"/>
        <v>0</v>
      </c>
      <c r="AL26" s="1345">
        <f t="shared" si="86"/>
        <v>0</v>
      </c>
      <c r="AM26" s="1346">
        <f t="shared" si="86"/>
        <v>0</v>
      </c>
      <c r="AN26" s="1347">
        <f t="shared" si="87"/>
        <v>9.6305141296632382E-2</v>
      </c>
      <c r="AO26" s="1084"/>
      <c r="AP26" s="2006"/>
      <c r="AQ26" s="2006"/>
      <c r="AR26" s="2006"/>
      <c r="AS26" s="2006"/>
      <c r="AT26" s="2006"/>
      <c r="AU26" s="2006"/>
      <c r="AV26" s="2006"/>
      <c r="AW26" s="2006"/>
      <c r="AX26" s="2006"/>
      <c r="AY26" s="2006"/>
      <c r="AZ26" s="2007"/>
      <c r="BA26" s="2007"/>
    </row>
    <row r="27" spans="1:55" ht="16" hidden="1" outlineLevel="2" x14ac:dyDescent="0.2">
      <c r="A27" s="458" t="s">
        <v>1288</v>
      </c>
      <c r="B27" s="451">
        <v>10</v>
      </c>
      <c r="C27" s="155">
        <v>5.274</v>
      </c>
      <c r="D27" s="68">
        <v>2.0756756756756756E-2</v>
      </c>
      <c r="E27" s="27">
        <v>0.32540625000000001</v>
      </c>
      <c r="F27" s="29">
        <v>0</v>
      </c>
      <c r="G27" s="2695">
        <v>0</v>
      </c>
      <c r="H27" s="29">
        <v>0</v>
      </c>
      <c r="I27" s="28">
        <v>0</v>
      </c>
      <c r="J27" s="129">
        <v>26.367000000000001</v>
      </c>
      <c r="K27" s="28">
        <v>3.6152634374999999E-2</v>
      </c>
      <c r="L27" s="146">
        <v>3</v>
      </c>
      <c r="M27" s="571">
        <v>10</v>
      </c>
      <c r="N27" s="2293">
        <v>2</v>
      </c>
      <c r="O27" s="2507" t="s">
        <v>336</v>
      </c>
      <c r="P27" s="182">
        <f t="shared" si="76"/>
        <v>0.38231564113175676</v>
      </c>
      <c r="Q27" s="1084"/>
      <c r="R27" s="3219">
        <f t="shared" si="88"/>
        <v>0</v>
      </c>
      <c r="S27" s="3219">
        <f t="shared" si="89"/>
        <v>0.361558884375</v>
      </c>
      <c r="T27" s="129">
        <f t="shared" si="79"/>
        <v>5.274</v>
      </c>
      <c r="U27" s="68">
        <f t="shared" si="80"/>
        <v>4.3885714285714285E-2</v>
      </c>
      <c r="V27" s="27">
        <f t="shared" si="80"/>
        <v>0.68800178571428572</v>
      </c>
      <c r="W27" s="363">
        <f t="shared" si="80"/>
        <v>0</v>
      </c>
      <c r="X27" s="363">
        <f t="shared" si="80"/>
        <v>0</v>
      </c>
      <c r="Y27" s="363">
        <f t="shared" si="80"/>
        <v>0</v>
      </c>
      <c r="Z27" s="28">
        <f t="shared" si="80"/>
        <v>0</v>
      </c>
      <c r="AA27" s="129">
        <f t="shared" si="81"/>
        <v>26.367000000000001</v>
      </c>
      <c r="AB27" s="28">
        <f t="shared" si="82"/>
        <v>7.6436998392857142E-2</v>
      </c>
      <c r="AC27" s="364">
        <f t="shared" si="83"/>
        <v>3</v>
      </c>
      <c r="AD27" s="182">
        <f t="shared" si="84"/>
        <v>0.80832449839285714</v>
      </c>
      <c r="AE27" s="1084"/>
      <c r="AF27" s="463" t="s">
        <v>1288</v>
      </c>
      <c r="AG27" s="1087"/>
      <c r="AH27" s="1343">
        <f t="shared" si="85"/>
        <v>5.4292198706051287E-2</v>
      </c>
      <c r="AI27" s="1344">
        <f t="shared" si="86"/>
        <v>0.85114553261988002</v>
      </c>
      <c r="AJ27" s="1345">
        <f t="shared" si="86"/>
        <v>0</v>
      </c>
      <c r="AK27" s="1345">
        <f t="shared" si="86"/>
        <v>0</v>
      </c>
      <c r="AL27" s="1345">
        <f t="shared" si="86"/>
        <v>0</v>
      </c>
      <c r="AM27" s="1346">
        <f t="shared" si="86"/>
        <v>0</v>
      </c>
      <c r="AN27" s="1347">
        <f t="shared" si="87"/>
        <v>9.4562268674068667E-2</v>
      </c>
      <c r="AO27" s="1084"/>
      <c r="AP27" s="2006"/>
      <c r="AQ27" s="2006"/>
      <c r="AR27" s="2006"/>
      <c r="AS27" s="2006"/>
      <c r="AT27" s="2006"/>
      <c r="AU27" s="2006"/>
      <c r="AV27" s="2006"/>
      <c r="AW27" s="2006"/>
      <c r="AX27" s="2006"/>
      <c r="AY27" s="2006"/>
      <c r="AZ27" s="2007"/>
      <c r="BA27" s="2007"/>
    </row>
    <row r="28" spans="1:55" ht="15" hidden="1" customHeight="1" outlineLevel="2" x14ac:dyDescent="0.2">
      <c r="A28" s="458" t="s">
        <v>1364</v>
      </c>
      <c r="B28" s="451">
        <v>10</v>
      </c>
      <c r="C28" s="155">
        <v>7.91</v>
      </c>
      <c r="D28" s="68">
        <v>2.0756756756756756E-2</v>
      </c>
      <c r="E28" s="27">
        <v>0.48810937500000001</v>
      </c>
      <c r="F28" s="29">
        <v>0</v>
      </c>
      <c r="G28" s="2695">
        <v>0</v>
      </c>
      <c r="H28" s="29">
        <v>0</v>
      </c>
      <c r="I28" s="28">
        <v>0</v>
      </c>
      <c r="J28" s="129">
        <v>39.551000000000002</v>
      </c>
      <c r="K28" s="28">
        <v>5.4228951562500002E-2</v>
      </c>
      <c r="L28" s="146">
        <v>3</v>
      </c>
      <c r="M28" s="571">
        <v>10</v>
      </c>
      <c r="N28" s="2293">
        <v>2</v>
      </c>
      <c r="O28" s="2507" t="s">
        <v>336</v>
      </c>
      <c r="P28" s="182">
        <f t="shared" si="76"/>
        <v>0.56309508331925673</v>
      </c>
      <c r="Q28" s="1084"/>
      <c r="R28" s="3219">
        <f t="shared" si="88"/>
        <v>0</v>
      </c>
      <c r="S28" s="3219">
        <f t="shared" si="89"/>
        <v>0.54233832656250003</v>
      </c>
      <c r="T28" s="129">
        <f t="shared" si="79"/>
        <v>7.91</v>
      </c>
      <c r="U28" s="68">
        <f t="shared" si="80"/>
        <v>4.3885714285714285E-2</v>
      </c>
      <c r="V28" s="27">
        <f t="shared" si="80"/>
        <v>1.0320026785714287</v>
      </c>
      <c r="W28" s="363">
        <f t="shared" si="80"/>
        <v>0</v>
      </c>
      <c r="X28" s="363">
        <f t="shared" si="80"/>
        <v>0</v>
      </c>
      <c r="Y28" s="363">
        <f t="shared" si="80"/>
        <v>0</v>
      </c>
      <c r="Z28" s="28">
        <f t="shared" si="80"/>
        <v>0</v>
      </c>
      <c r="AA28" s="129">
        <f t="shared" si="81"/>
        <v>39.551000000000002</v>
      </c>
      <c r="AB28" s="28">
        <f t="shared" si="82"/>
        <v>0.11465549758928571</v>
      </c>
      <c r="AC28" s="364">
        <f t="shared" si="83"/>
        <v>3</v>
      </c>
      <c r="AD28" s="182">
        <f t="shared" si="84"/>
        <v>1.1905438904464287</v>
      </c>
      <c r="AE28" s="1084"/>
      <c r="AF28" s="463" t="s">
        <v>1364</v>
      </c>
      <c r="AG28" s="1087"/>
      <c r="AH28" s="1343">
        <f t="shared" si="85"/>
        <v>3.6861903738179658E-2</v>
      </c>
      <c r="AI28" s="1344">
        <f t="shared" si="86"/>
        <v>0.86683295496518797</v>
      </c>
      <c r="AJ28" s="1345">
        <f t="shared" si="86"/>
        <v>0</v>
      </c>
      <c r="AK28" s="1345">
        <f t="shared" si="86"/>
        <v>0</v>
      </c>
      <c r="AL28" s="1345">
        <f t="shared" si="86"/>
        <v>0</v>
      </c>
      <c r="AM28" s="1346">
        <f t="shared" si="86"/>
        <v>0</v>
      </c>
      <c r="AN28" s="1347">
        <f t="shared" si="87"/>
        <v>9.6305141296632382E-2</v>
      </c>
      <c r="AO28" s="1084"/>
      <c r="AP28" s="2006"/>
      <c r="AQ28" s="2006"/>
      <c r="AR28" s="2006"/>
      <c r="AS28" s="2006"/>
      <c r="AT28" s="2006"/>
      <c r="AU28" s="2006"/>
      <c r="AV28" s="2006"/>
      <c r="AW28" s="2006"/>
      <c r="AX28" s="2006"/>
      <c r="AY28" s="2006"/>
      <c r="AZ28" s="2007"/>
      <c r="BA28" s="2007"/>
    </row>
    <row r="29" spans="1:55" ht="16" hidden="1" outlineLevel="2" x14ac:dyDescent="0.2">
      <c r="A29" s="458" t="s">
        <v>1368</v>
      </c>
      <c r="B29" s="451">
        <v>10</v>
      </c>
      <c r="C29" s="155">
        <v>5.5369999999999999</v>
      </c>
      <c r="D29" s="68">
        <v>2.0756756756756756E-2</v>
      </c>
      <c r="E29" s="27">
        <v>0.97621875000000002</v>
      </c>
      <c r="F29" s="29">
        <v>0</v>
      </c>
      <c r="G29" s="2695">
        <v>0</v>
      </c>
      <c r="H29" s="29">
        <v>0</v>
      </c>
      <c r="I29" s="28">
        <v>0</v>
      </c>
      <c r="J29" s="129">
        <v>39.551000000000002</v>
      </c>
      <c r="K29" s="28">
        <v>5.4228951562500002E-2</v>
      </c>
      <c r="L29" s="146">
        <v>3</v>
      </c>
      <c r="M29" s="571">
        <v>10</v>
      </c>
      <c r="N29" s="2293">
        <v>2</v>
      </c>
      <c r="O29" s="2507" t="s">
        <v>336</v>
      </c>
      <c r="P29" s="182">
        <f t="shared" si="76"/>
        <v>1.0512044583192568</v>
      </c>
      <c r="Q29" s="1084"/>
      <c r="R29" s="3219">
        <f t="shared" si="88"/>
        <v>0</v>
      </c>
      <c r="S29" s="3219">
        <f t="shared" si="89"/>
        <v>1.0304477015625</v>
      </c>
      <c r="T29" s="129">
        <f t="shared" si="79"/>
        <v>5.5369999999999999</v>
      </c>
      <c r="U29" s="68">
        <f t="shared" si="80"/>
        <v>4.3885714285714285E-2</v>
      </c>
      <c r="V29" s="27">
        <f t="shared" si="80"/>
        <v>2.0640053571428574</v>
      </c>
      <c r="W29" s="363">
        <f t="shared" si="80"/>
        <v>0</v>
      </c>
      <c r="X29" s="363">
        <f t="shared" si="80"/>
        <v>0</v>
      </c>
      <c r="Y29" s="363">
        <f t="shared" si="80"/>
        <v>0</v>
      </c>
      <c r="Z29" s="28">
        <f t="shared" si="80"/>
        <v>0</v>
      </c>
      <c r="AA29" s="129">
        <f t="shared" si="81"/>
        <v>39.551000000000002</v>
      </c>
      <c r="AB29" s="28">
        <f t="shared" si="82"/>
        <v>0.11465549758928571</v>
      </c>
      <c r="AC29" s="364">
        <f t="shared" si="83"/>
        <v>3</v>
      </c>
      <c r="AD29" s="182">
        <f t="shared" si="84"/>
        <v>2.2225465690178572</v>
      </c>
      <c r="AE29" s="1084"/>
      <c r="AF29" s="463" t="s">
        <v>1368</v>
      </c>
      <c r="AG29" s="1087"/>
      <c r="AH29" s="1343">
        <f t="shared" si="85"/>
        <v>1.9745689425579638E-2</v>
      </c>
      <c r="AI29" s="1344">
        <f t="shared" si="86"/>
        <v>0.92866686615927274</v>
      </c>
      <c r="AJ29" s="1345">
        <f t="shared" si="86"/>
        <v>0</v>
      </c>
      <c r="AK29" s="1345">
        <f t="shared" si="86"/>
        <v>0</v>
      </c>
      <c r="AL29" s="1345">
        <f t="shared" si="86"/>
        <v>0</v>
      </c>
      <c r="AM29" s="1346">
        <f t="shared" si="86"/>
        <v>0</v>
      </c>
      <c r="AN29" s="1347">
        <f t="shared" si="87"/>
        <v>5.15874444151476E-2</v>
      </c>
      <c r="AO29" s="1084"/>
      <c r="AP29" s="2006"/>
      <c r="AQ29" s="2006"/>
      <c r="AR29" s="2006"/>
      <c r="AS29" s="2006"/>
      <c r="AT29" s="2006"/>
      <c r="AU29" s="2006"/>
      <c r="AV29" s="2006"/>
      <c r="AW29" s="2006"/>
      <c r="AX29" s="2006"/>
      <c r="AY29" s="2006"/>
      <c r="AZ29" s="2007"/>
      <c r="BA29" s="2007"/>
    </row>
    <row r="30" spans="1:55" ht="15" hidden="1" customHeight="1" outlineLevel="2" x14ac:dyDescent="0.2">
      <c r="A30" s="458" t="s">
        <v>1369</v>
      </c>
      <c r="B30" s="451">
        <v>10</v>
      </c>
      <c r="C30" s="155">
        <v>39.552</v>
      </c>
      <c r="D30" s="68">
        <v>2.0756756756756756E-2</v>
      </c>
      <c r="E30" s="27">
        <v>0.97621875000000002</v>
      </c>
      <c r="F30" s="29">
        <v>0</v>
      </c>
      <c r="G30" s="2695">
        <v>0</v>
      </c>
      <c r="H30" s="29">
        <v>0</v>
      </c>
      <c r="I30" s="28">
        <v>0</v>
      </c>
      <c r="J30" s="129">
        <v>39.551000000000002</v>
      </c>
      <c r="K30" s="28">
        <v>5.4228951562500002E-2</v>
      </c>
      <c r="L30" s="146">
        <v>3</v>
      </c>
      <c r="M30" s="571">
        <v>10</v>
      </c>
      <c r="N30" s="2293">
        <v>2</v>
      </c>
      <c r="O30" s="2507" t="s">
        <v>336</v>
      </c>
      <c r="P30" s="182">
        <f t="shared" si="76"/>
        <v>1.0512044583192568</v>
      </c>
      <c r="Q30" s="1084"/>
      <c r="R30" s="3219">
        <f t="shared" si="88"/>
        <v>0</v>
      </c>
      <c r="S30" s="3219">
        <f t="shared" si="89"/>
        <v>1.0304477015625</v>
      </c>
      <c r="T30" s="129">
        <f t="shared" si="79"/>
        <v>39.552</v>
      </c>
      <c r="U30" s="68">
        <f t="shared" si="80"/>
        <v>4.3885714285714285E-2</v>
      </c>
      <c r="V30" s="27">
        <f t="shared" si="80"/>
        <v>2.0640053571428574</v>
      </c>
      <c r="W30" s="363">
        <f t="shared" si="80"/>
        <v>0</v>
      </c>
      <c r="X30" s="363">
        <f t="shared" si="80"/>
        <v>0</v>
      </c>
      <c r="Y30" s="363">
        <f t="shared" si="80"/>
        <v>0</v>
      </c>
      <c r="Z30" s="28">
        <f t="shared" si="80"/>
        <v>0</v>
      </c>
      <c r="AA30" s="129">
        <f t="shared" si="81"/>
        <v>39.551000000000002</v>
      </c>
      <c r="AB30" s="28">
        <f t="shared" si="82"/>
        <v>0.11465549758928571</v>
      </c>
      <c r="AC30" s="364">
        <f t="shared" si="83"/>
        <v>3</v>
      </c>
      <c r="AD30" s="182">
        <f t="shared" si="84"/>
        <v>2.2225465690178572</v>
      </c>
      <c r="AE30" s="1084"/>
      <c r="AF30" s="463" t="s">
        <v>1369</v>
      </c>
      <c r="AG30" s="1087"/>
      <c r="AH30" s="1343">
        <f t="shared" si="85"/>
        <v>1.9745689425579638E-2</v>
      </c>
      <c r="AI30" s="1344">
        <f t="shared" si="86"/>
        <v>0.92866686615927274</v>
      </c>
      <c r="AJ30" s="1345">
        <f t="shared" si="86"/>
        <v>0</v>
      </c>
      <c r="AK30" s="1345">
        <f t="shared" si="86"/>
        <v>0</v>
      </c>
      <c r="AL30" s="1345">
        <f t="shared" si="86"/>
        <v>0</v>
      </c>
      <c r="AM30" s="1346">
        <f t="shared" si="86"/>
        <v>0</v>
      </c>
      <c r="AN30" s="1347">
        <f t="shared" si="87"/>
        <v>5.15874444151476E-2</v>
      </c>
      <c r="AO30" s="1084"/>
      <c r="AP30" s="2006"/>
      <c r="AQ30" s="2006"/>
      <c r="AR30" s="2006"/>
      <c r="AS30" s="2006"/>
      <c r="AT30" s="2006"/>
      <c r="AU30" s="2006"/>
      <c r="AV30" s="2006"/>
      <c r="AW30" s="2006"/>
      <c r="AX30" s="2006"/>
      <c r="AY30" s="2006"/>
      <c r="AZ30" s="2007"/>
      <c r="BA30" s="2007"/>
    </row>
    <row r="31" spans="1:55" ht="15" hidden="1" customHeight="1" outlineLevel="1" collapsed="1" x14ac:dyDescent="0.2">
      <c r="A31" s="457" t="s">
        <v>1478</v>
      </c>
      <c r="B31" s="450" t="str">
        <f t="shared" ref="B31:K31" si="90">B$6</f>
        <v>Trips</v>
      </c>
      <c r="C31" s="172" t="str">
        <f t="shared" si="90"/>
        <v>Mbpd</v>
      </c>
      <c r="D31" s="173" t="str">
        <f t="shared" si="90"/>
        <v>Client</v>
      </c>
      <c r="E31" s="173" t="str">
        <f t="shared" si="90"/>
        <v>Citrix</v>
      </c>
      <c r="F31" s="173" t="str">
        <f t="shared" si="90"/>
        <v>Web</v>
      </c>
      <c r="G31" s="2694" t="str">
        <f t="shared" si="90"/>
        <v>Portal</v>
      </c>
      <c r="H31" s="173" t="str">
        <f t="shared" si="90"/>
        <v>SOC</v>
      </c>
      <c r="I31" s="173" t="str">
        <f t="shared" si="90"/>
        <v>DS/MDS</v>
      </c>
      <c r="J31" s="173" t="str">
        <f t="shared" si="90"/>
        <v>Mbpd</v>
      </c>
      <c r="K31" s="173" t="str">
        <f t="shared" si="90"/>
        <v>DBMS</v>
      </c>
      <c r="L31" s="178" t="s">
        <v>299</v>
      </c>
      <c r="M31" s="572" t="str">
        <f>M$6</f>
        <v>DPM/c</v>
      </c>
      <c r="N31" s="2292" t="str">
        <f>N$6</f>
        <v>MT</v>
      </c>
      <c r="O31" s="2506" t="str">
        <f>O$6</f>
        <v xml:space="preserve">WF </v>
      </c>
      <c r="P31" s="181" t="s">
        <v>273</v>
      </c>
      <c r="Q31" s="1084"/>
      <c r="R31" s="181"/>
      <c r="S31" s="181"/>
      <c r="T31" s="1270" t="s">
        <v>308</v>
      </c>
      <c r="U31" s="173" t="s">
        <v>303</v>
      </c>
      <c r="V31" s="173" t="str">
        <f>V$6</f>
        <v xml:space="preserve">WTS </v>
      </c>
      <c r="W31" s="173" t="str">
        <f>+W$6</f>
        <v>Web</v>
      </c>
      <c r="X31" s="173" t="str">
        <f>+X$6</f>
        <v>Portal</v>
      </c>
      <c r="Y31" s="173" t="s">
        <v>312</v>
      </c>
      <c r="Z31" s="173" t="s">
        <v>330</v>
      </c>
      <c r="AA31" s="173" t="s">
        <v>308</v>
      </c>
      <c r="AB31" s="173" t="s">
        <v>309</v>
      </c>
      <c r="AC31" s="178" t="s">
        <v>299</v>
      </c>
      <c r="AD31" s="181" t="s">
        <v>273</v>
      </c>
      <c r="AE31" s="1084"/>
      <c r="AF31" s="404" t="s">
        <v>1281</v>
      </c>
      <c r="AG31" s="1087"/>
      <c r="AH31" s="1338" t="str">
        <f t="shared" ref="AH31:AM31" si="91">D31</f>
        <v>Client</v>
      </c>
      <c r="AI31" s="1339" t="str">
        <f t="shared" si="91"/>
        <v>Citrix</v>
      </c>
      <c r="AJ31" s="1339" t="str">
        <f t="shared" si="91"/>
        <v>Web</v>
      </c>
      <c r="AK31" s="1339" t="str">
        <f t="shared" si="91"/>
        <v>Portal</v>
      </c>
      <c r="AL31" s="1340" t="str">
        <f t="shared" si="91"/>
        <v>SOC</v>
      </c>
      <c r="AM31" s="1341" t="str">
        <f t="shared" si="91"/>
        <v>DS/MDS</v>
      </c>
      <c r="AN31" s="1342" t="str">
        <f>K31</f>
        <v>DBMS</v>
      </c>
      <c r="AO31" s="1084"/>
      <c r="AP31" s="2006"/>
      <c r="AQ31" s="2006"/>
      <c r="AR31" s="2006"/>
      <c r="AS31" s="2006"/>
      <c r="AT31" s="2006"/>
      <c r="AU31" s="2006"/>
      <c r="AV31" s="2006"/>
      <c r="AW31" s="2006"/>
      <c r="AX31" s="2006"/>
      <c r="AY31" s="2006"/>
      <c r="AZ31" s="2007"/>
      <c r="BA31" s="2007"/>
    </row>
    <row r="32" spans="1:55" ht="15" hidden="1" customHeight="1" outlineLevel="2" x14ac:dyDescent="0.2">
      <c r="A32" s="459" t="s">
        <v>1371</v>
      </c>
      <c r="B32" s="451">
        <v>10</v>
      </c>
      <c r="C32" s="155">
        <v>2.1339999999999999</v>
      </c>
      <c r="D32" s="68">
        <v>2.0756756756756756E-2</v>
      </c>
      <c r="E32" s="27">
        <v>0</v>
      </c>
      <c r="F32" s="1931">
        <v>1.3837837837837838E-2</v>
      </c>
      <c r="G32" s="2655">
        <v>1.4875675675675677E-2</v>
      </c>
      <c r="H32" s="29">
        <v>0.16564488281249998</v>
      </c>
      <c r="I32" s="28">
        <v>0</v>
      </c>
      <c r="J32" s="129">
        <v>20.010000000000002</v>
      </c>
      <c r="K32" s="28">
        <v>2.8312533046874994E-2</v>
      </c>
      <c r="L32" s="146">
        <v>3</v>
      </c>
      <c r="M32" s="571">
        <v>6</v>
      </c>
      <c r="N32" s="2293">
        <v>1</v>
      </c>
      <c r="O32" s="2507" t="s">
        <v>332</v>
      </c>
      <c r="P32" s="182">
        <f t="shared" ref="P32:P39" si="92">SUM(D32:I32,K32)</f>
        <v>0.24342768612964524</v>
      </c>
      <c r="Q32" s="1215"/>
      <c r="R32" s="3219">
        <f t="shared" ref="R32" si="93">F32+G32</f>
        <v>2.8713513513513512E-2</v>
      </c>
      <c r="S32" s="3219">
        <f t="shared" ref="S32" si="94">E32+H32+K32</f>
        <v>0.19395741585937498</v>
      </c>
      <c r="T32" s="129">
        <f t="shared" ref="T32:T39" si="95">C32</f>
        <v>2.1339999999999999</v>
      </c>
      <c r="U32" s="68">
        <f t="shared" ref="U32:U39" si="96">D32*$K$3/$AB$3</f>
        <v>4.3885714285714285E-2</v>
      </c>
      <c r="V32" s="27">
        <f t="shared" ref="V32:V39" si="97">E32*$K$3/$AB$3</f>
        <v>0</v>
      </c>
      <c r="W32" s="363">
        <f t="shared" ref="W32:W39" si="98">F32*$K$3/$AB$3</f>
        <v>2.9257142857142857E-2</v>
      </c>
      <c r="X32" s="363">
        <f t="shared" ref="X32:X39" si="99">G32*$K$3/$AB$3</f>
        <v>3.1451428571428575E-2</v>
      </c>
      <c r="Y32" s="363">
        <f t="shared" ref="Y32:Y39" si="100">H32*$K$3/$AB$3</f>
        <v>0.35022060937499994</v>
      </c>
      <c r="Z32" s="28">
        <f t="shared" ref="Z32:Z39" si="101">I32*$K$3/$AB$3</f>
        <v>0</v>
      </c>
      <c r="AA32" s="129">
        <f t="shared" ref="AA32:AA39" si="102">J32</f>
        <v>20.010000000000002</v>
      </c>
      <c r="AB32" s="28">
        <f t="shared" ref="AB32:AB39" si="103">K32*$K$3/$AB$3</f>
        <v>5.9860784156249992E-2</v>
      </c>
      <c r="AC32" s="364">
        <f t="shared" ref="AC32:AC39" si="104">L32</f>
        <v>3</v>
      </c>
      <c r="AD32" s="182">
        <f t="shared" ref="AD32:AD39" si="105">SUM(U32:Z32,AB32)</f>
        <v>0.51467567924553559</v>
      </c>
      <c r="AE32" s="1084"/>
      <c r="AF32" s="462" t="s">
        <v>1371</v>
      </c>
      <c r="AG32" s="1087"/>
      <c r="AH32" s="1343">
        <f>1-SUM(AI32:AN32)</f>
        <v>8.5268677062896092E-2</v>
      </c>
      <c r="AI32" s="1344">
        <f t="shared" ref="AI32:AI39" si="106">E32/$P32</f>
        <v>0</v>
      </c>
      <c r="AJ32" s="1345">
        <f t="shared" ref="AJ32:AJ39" si="107">F32/$P32</f>
        <v>5.6845784708597413E-2</v>
      </c>
      <c r="AK32" s="1345">
        <f t="shared" ref="AK32:AK39" si="108">G32/$P32</f>
        <v>6.1109218561742222E-2</v>
      </c>
      <c r="AL32" s="1345">
        <f t="shared" ref="AL32:AL39" si="109">H32/$P32</f>
        <v>0.68046854261384415</v>
      </c>
      <c r="AM32" s="1346">
        <f t="shared" ref="AM32:AM39" si="110">I32/$P32</f>
        <v>0</v>
      </c>
      <c r="AN32" s="1347">
        <f t="shared" ref="AN32:AN39" si="111">K32/$P32</f>
        <v>0.11630777705292011</v>
      </c>
      <c r="AO32" s="1084"/>
      <c r="AP32" s="2008" t="s">
        <v>874</v>
      </c>
      <c r="AQ32" s="2006"/>
      <c r="AR32" s="2006"/>
      <c r="AS32" s="2006"/>
      <c r="AT32" s="2006"/>
      <c r="AU32" s="2006"/>
      <c r="AV32" s="2006"/>
      <c r="AW32" s="2006"/>
      <c r="AX32" s="2006"/>
      <c r="AY32" s="2006"/>
      <c r="AZ32" s="2007"/>
      <c r="BA32" s="2007"/>
      <c r="BB32" s="1722"/>
      <c r="BC32" s="1722"/>
    </row>
    <row r="33" spans="1:55" ht="15" hidden="1" customHeight="1" outlineLevel="2" x14ac:dyDescent="0.2">
      <c r="A33" s="459" t="s">
        <v>1291</v>
      </c>
      <c r="B33" s="451">
        <v>10</v>
      </c>
      <c r="C33" s="155">
        <v>2.1339999999999999</v>
      </c>
      <c r="D33" s="68">
        <v>2.0756756756756756E-2</v>
      </c>
      <c r="E33" s="27">
        <v>0</v>
      </c>
      <c r="F33" s="1931">
        <v>6.9189189189189189E-3</v>
      </c>
      <c r="G33" s="2655">
        <v>0</v>
      </c>
      <c r="H33" s="29">
        <v>0.11042992187499999</v>
      </c>
      <c r="I33" s="28">
        <v>0</v>
      </c>
      <c r="J33" s="129">
        <v>13.34</v>
      </c>
      <c r="K33" s="28">
        <v>1.8875022031250001E-2</v>
      </c>
      <c r="L33" s="146">
        <v>3</v>
      </c>
      <c r="M33" s="571">
        <v>6</v>
      </c>
      <c r="N33" s="2293">
        <v>1</v>
      </c>
      <c r="O33" s="2507" t="s">
        <v>332</v>
      </c>
      <c r="P33" s="182">
        <f t="shared" si="92"/>
        <v>0.15698061958192566</v>
      </c>
      <c r="Q33" s="1084"/>
      <c r="R33" s="3219">
        <f t="shared" ref="R33:R39" si="112">F33+G33</f>
        <v>6.9189189189189189E-3</v>
      </c>
      <c r="S33" s="3219">
        <f t="shared" ref="S33:S39" si="113">E33+H33+K33</f>
        <v>0.12930494390625</v>
      </c>
      <c r="T33" s="129">
        <f t="shared" si="95"/>
        <v>2.1339999999999999</v>
      </c>
      <c r="U33" s="68">
        <f t="shared" si="96"/>
        <v>4.3885714285714285E-2</v>
      </c>
      <c r="V33" s="27">
        <f t="shared" si="97"/>
        <v>0</v>
      </c>
      <c r="W33" s="363">
        <f t="shared" si="98"/>
        <v>1.4628571428571428E-2</v>
      </c>
      <c r="X33" s="363">
        <f t="shared" si="99"/>
        <v>0</v>
      </c>
      <c r="Y33" s="363">
        <f t="shared" si="100"/>
        <v>0.23348040624999997</v>
      </c>
      <c r="Z33" s="28">
        <f t="shared" si="101"/>
        <v>0</v>
      </c>
      <c r="AA33" s="129">
        <f t="shared" si="102"/>
        <v>13.34</v>
      </c>
      <c r="AB33" s="28">
        <f t="shared" si="103"/>
        <v>3.9907189437500004E-2</v>
      </c>
      <c r="AC33" s="364">
        <f t="shared" si="104"/>
        <v>3</v>
      </c>
      <c r="AD33" s="182">
        <f t="shared" si="105"/>
        <v>0.33190188140178567</v>
      </c>
      <c r="AE33" s="1084"/>
      <c r="AF33" s="462" t="s">
        <v>1291</v>
      </c>
      <c r="AG33" s="1087"/>
      <c r="AH33" s="1343">
        <f t="shared" ref="AH33:AH39" si="114">1-SUM(AI33:AN33)</f>
        <v>0.13222496389705052</v>
      </c>
      <c r="AI33" s="1344">
        <f t="shared" si="106"/>
        <v>0</v>
      </c>
      <c r="AJ33" s="1345">
        <f t="shared" si="107"/>
        <v>4.4074987965683536E-2</v>
      </c>
      <c r="AK33" s="1345">
        <f t="shared" si="108"/>
        <v>0</v>
      </c>
      <c r="AL33" s="1345">
        <f t="shared" si="109"/>
        <v>0.70346213544767155</v>
      </c>
      <c r="AM33" s="1346">
        <f t="shared" si="110"/>
        <v>0</v>
      </c>
      <c r="AN33" s="1347">
        <f t="shared" si="111"/>
        <v>0.12023791268959434</v>
      </c>
      <c r="AO33" s="1084"/>
      <c r="AP33" s="2006" t="s">
        <v>873</v>
      </c>
      <c r="AQ33" s="2006"/>
      <c r="AR33" s="2006"/>
      <c r="AS33" s="2006"/>
      <c r="AT33" s="2006"/>
      <c r="AU33" s="2006"/>
      <c r="AV33" s="2006"/>
      <c r="AW33" s="2006"/>
      <c r="AX33" s="2006"/>
      <c r="AY33" s="2006"/>
      <c r="AZ33" s="2007"/>
      <c r="BA33" s="2007"/>
      <c r="BB33" s="1941">
        <f>P33-D33</f>
        <v>0.13622386282516891</v>
      </c>
      <c r="BC33" s="1941">
        <f>SUM(E33:H33)+K33</f>
        <v>0.13622386282516891</v>
      </c>
    </row>
    <row r="34" spans="1:55" ht="15" hidden="1" customHeight="1" outlineLevel="2" x14ac:dyDescent="0.2">
      <c r="A34" s="459" t="s">
        <v>1372</v>
      </c>
      <c r="B34" s="451">
        <v>10</v>
      </c>
      <c r="C34" s="155">
        <v>2.1339999999999999</v>
      </c>
      <c r="D34" s="68">
        <v>2.0756756756756756E-2</v>
      </c>
      <c r="E34" s="27">
        <v>0</v>
      </c>
      <c r="F34" s="1931">
        <v>6.9189189189189189E-3</v>
      </c>
      <c r="G34" s="2655">
        <v>0</v>
      </c>
      <c r="H34" s="29">
        <v>0.16564488281249998</v>
      </c>
      <c r="I34" s="28">
        <v>0</v>
      </c>
      <c r="J34" s="129">
        <v>20.010000000000002</v>
      </c>
      <c r="K34" s="28">
        <v>2.8312533046874994E-2</v>
      </c>
      <c r="L34" s="146">
        <v>3</v>
      </c>
      <c r="M34" s="571">
        <v>6</v>
      </c>
      <c r="N34" s="2293">
        <v>1</v>
      </c>
      <c r="O34" s="2507" t="s">
        <v>332</v>
      </c>
      <c r="P34" s="182">
        <f t="shared" si="92"/>
        <v>0.22163309153505065</v>
      </c>
      <c r="Q34" s="1084"/>
      <c r="R34" s="3219">
        <f t="shared" si="112"/>
        <v>6.9189189189189189E-3</v>
      </c>
      <c r="S34" s="3219">
        <f t="shared" si="113"/>
        <v>0.19395741585937498</v>
      </c>
      <c r="T34" s="129">
        <f t="shared" si="95"/>
        <v>2.1339999999999999</v>
      </c>
      <c r="U34" s="68">
        <f t="shared" si="96"/>
        <v>4.3885714285714285E-2</v>
      </c>
      <c r="V34" s="27">
        <f t="shared" si="97"/>
        <v>0</v>
      </c>
      <c r="W34" s="363">
        <f t="shared" si="98"/>
        <v>1.4628571428571428E-2</v>
      </c>
      <c r="X34" s="363">
        <f t="shared" si="99"/>
        <v>0</v>
      </c>
      <c r="Y34" s="363">
        <f t="shared" si="100"/>
        <v>0.35022060937499994</v>
      </c>
      <c r="Z34" s="28">
        <f t="shared" si="101"/>
        <v>0</v>
      </c>
      <c r="AA34" s="129">
        <f t="shared" si="102"/>
        <v>20.010000000000002</v>
      </c>
      <c r="AB34" s="28">
        <f t="shared" si="103"/>
        <v>5.9860784156249992E-2</v>
      </c>
      <c r="AC34" s="364">
        <f t="shared" si="104"/>
        <v>3</v>
      </c>
      <c r="AD34" s="182">
        <f t="shared" si="105"/>
        <v>0.46859567924553563</v>
      </c>
      <c r="AE34" s="1084"/>
      <c r="AF34" s="462" t="s">
        <v>1372</v>
      </c>
      <c r="AG34" s="1087"/>
      <c r="AH34" s="1343">
        <f t="shared" si="114"/>
        <v>9.3653689586665978E-2</v>
      </c>
      <c r="AI34" s="1344">
        <f t="shared" si="106"/>
        <v>0</v>
      </c>
      <c r="AJ34" s="1345">
        <f t="shared" si="107"/>
        <v>3.1217896528888654E-2</v>
      </c>
      <c r="AK34" s="1345">
        <f t="shared" si="108"/>
        <v>0</v>
      </c>
      <c r="AL34" s="1345">
        <f t="shared" si="109"/>
        <v>0.74738335176046444</v>
      </c>
      <c r="AM34" s="1346">
        <f t="shared" si="110"/>
        <v>0</v>
      </c>
      <c r="AN34" s="1347">
        <f t="shared" si="111"/>
        <v>0.12774506212398093</v>
      </c>
      <c r="AO34" s="1084"/>
      <c r="AP34" s="2006" t="s">
        <v>873</v>
      </c>
      <c r="AQ34" s="2006"/>
      <c r="AR34" s="2006"/>
      <c r="AS34" s="2006"/>
      <c r="AT34" s="2006"/>
      <c r="AU34" s="2006"/>
      <c r="AV34" s="2006"/>
      <c r="AW34" s="2006"/>
      <c r="AX34" s="2006"/>
      <c r="AY34" s="2006"/>
      <c r="AZ34" s="2007"/>
      <c r="BA34" s="2007"/>
      <c r="BB34" s="1941">
        <f>P34-D34</f>
        <v>0.20087633477829389</v>
      </c>
      <c r="BC34" s="1722"/>
    </row>
    <row r="35" spans="1:55" ht="15" hidden="1" customHeight="1" outlineLevel="2" x14ac:dyDescent="0.2">
      <c r="A35" s="459" t="s">
        <v>1373</v>
      </c>
      <c r="B35" s="451">
        <v>10</v>
      </c>
      <c r="C35" s="155">
        <v>2.6339999999999999</v>
      </c>
      <c r="D35" s="68">
        <v>2.0756756756756756E-2</v>
      </c>
      <c r="E35" s="27">
        <v>0</v>
      </c>
      <c r="F35" s="1931">
        <v>6.9189189189189189E-3</v>
      </c>
      <c r="G35" s="2655">
        <v>0</v>
      </c>
      <c r="H35" s="29">
        <v>0.16564488281249998</v>
      </c>
      <c r="I35" s="28">
        <v>0</v>
      </c>
      <c r="J35" s="129">
        <v>20.010000000000002</v>
      </c>
      <c r="K35" s="28">
        <v>2.8312533046874994E-2</v>
      </c>
      <c r="L35" s="146">
        <v>3</v>
      </c>
      <c r="M35" s="571">
        <v>6</v>
      </c>
      <c r="N35" s="2293">
        <v>1</v>
      </c>
      <c r="O35" s="2507" t="s">
        <v>332</v>
      </c>
      <c r="P35" s="182">
        <f t="shared" si="92"/>
        <v>0.22163309153505065</v>
      </c>
      <c r="Q35" s="1084"/>
      <c r="R35" s="3219">
        <f t="shared" si="112"/>
        <v>6.9189189189189189E-3</v>
      </c>
      <c r="S35" s="3219">
        <f t="shared" si="113"/>
        <v>0.19395741585937498</v>
      </c>
      <c r="T35" s="129">
        <f t="shared" si="95"/>
        <v>2.6339999999999999</v>
      </c>
      <c r="U35" s="68">
        <f t="shared" si="96"/>
        <v>4.3885714285714285E-2</v>
      </c>
      <c r="V35" s="27">
        <f t="shared" si="97"/>
        <v>0</v>
      </c>
      <c r="W35" s="363">
        <f t="shared" si="98"/>
        <v>1.4628571428571428E-2</v>
      </c>
      <c r="X35" s="363">
        <f t="shared" si="99"/>
        <v>0</v>
      </c>
      <c r="Y35" s="363">
        <f t="shared" si="100"/>
        <v>0.35022060937499994</v>
      </c>
      <c r="Z35" s="28">
        <f t="shared" si="101"/>
        <v>0</v>
      </c>
      <c r="AA35" s="129">
        <f t="shared" si="102"/>
        <v>20.010000000000002</v>
      </c>
      <c r="AB35" s="28">
        <f t="shared" si="103"/>
        <v>5.9860784156249992E-2</v>
      </c>
      <c r="AC35" s="364">
        <f t="shared" si="104"/>
        <v>3</v>
      </c>
      <c r="AD35" s="182">
        <f t="shared" si="105"/>
        <v>0.46859567924553563</v>
      </c>
      <c r="AE35" s="1084"/>
      <c r="AF35" s="462" t="s">
        <v>1373</v>
      </c>
      <c r="AG35" s="1087"/>
      <c r="AH35" s="1343">
        <f t="shared" si="114"/>
        <v>9.3653689586665978E-2</v>
      </c>
      <c r="AI35" s="1344">
        <f t="shared" si="106"/>
        <v>0</v>
      </c>
      <c r="AJ35" s="1345">
        <f t="shared" si="107"/>
        <v>3.1217896528888654E-2</v>
      </c>
      <c r="AK35" s="1345">
        <f t="shared" si="108"/>
        <v>0</v>
      </c>
      <c r="AL35" s="1345">
        <f t="shared" si="109"/>
        <v>0.74738335176046444</v>
      </c>
      <c r="AM35" s="1346">
        <f t="shared" si="110"/>
        <v>0</v>
      </c>
      <c r="AN35" s="1347">
        <f t="shared" si="111"/>
        <v>0.12774506212398093</v>
      </c>
      <c r="AO35" s="1084"/>
      <c r="AP35" s="2006" t="s">
        <v>873</v>
      </c>
      <c r="AQ35" s="2006"/>
      <c r="AR35" s="2006"/>
      <c r="AS35" s="2006"/>
      <c r="AT35" s="2006"/>
      <c r="AU35" s="2006"/>
      <c r="AV35" s="2006"/>
      <c r="AW35" s="2006"/>
      <c r="AX35" s="2006"/>
      <c r="AY35" s="2006"/>
      <c r="AZ35" s="2007"/>
      <c r="BA35" s="2007"/>
      <c r="BB35" s="1941">
        <f>+BB34*0.666</f>
        <v>0.13378363896234374</v>
      </c>
      <c r="BC35" s="1722"/>
    </row>
    <row r="36" spans="1:55" ht="15" hidden="1" customHeight="1" outlineLevel="2" x14ac:dyDescent="0.2">
      <c r="A36" s="459" t="s">
        <v>1374</v>
      </c>
      <c r="B36" s="451">
        <v>10</v>
      </c>
      <c r="C36" s="155">
        <v>1.994</v>
      </c>
      <c r="D36" s="68">
        <v>2.0756756756756756E-2</v>
      </c>
      <c r="E36" s="27">
        <v>0</v>
      </c>
      <c r="F36" s="1931">
        <v>6.9189189189189189E-3</v>
      </c>
      <c r="G36" s="2655">
        <v>0</v>
      </c>
      <c r="H36" s="29">
        <v>6.6257953125000005E-2</v>
      </c>
      <c r="I36" s="28">
        <v>0</v>
      </c>
      <c r="J36" s="129">
        <v>8.0039999999999996</v>
      </c>
      <c r="K36" s="28">
        <v>1.1325013218750001E-2</v>
      </c>
      <c r="L36" s="146">
        <v>3</v>
      </c>
      <c r="M36" s="571">
        <v>6</v>
      </c>
      <c r="N36" s="2293">
        <v>1</v>
      </c>
      <c r="O36" s="2507" t="s">
        <v>332</v>
      </c>
      <c r="P36" s="182">
        <f t="shared" si="92"/>
        <v>0.10525864201942568</v>
      </c>
      <c r="Q36" s="1084"/>
      <c r="R36" s="3219">
        <f t="shared" si="112"/>
        <v>6.9189189189189189E-3</v>
      </c>
      <c r="S36" s="3219">
        <f t="shared" si="113"/>
        <v>7.7582966343750004E-2</v>
      </c>
      <c r="T36" s="129">
        <f t="shared" si="95"/>
        <v>1.994</v>
      </c>
      <c r="U36" s="68">
        <f t="shared" si="96"/>
        <v>4.3885714285714285E-2</v>
      </c>
      <c r="V36" s="27">
        <f t="shared" si="97"/>
        <v>0</v>
      </c>
      <c r="W36" s="363">
        <f t="shared" si="98"/>
        <v>1.4628571428571428E-2</v>
      </c>
      <c r="X36" s="363">
        <f t="shared" si="99"/>
        <v>0</v>
      </c>
      <c r="Y36" s="363">
        <f t="shared" si="100"/>
        <v>0.14008824375000004</v>
      </c>
      <c r="Z36" s="28">
        <f t="shared" si="101"/>
        <v>0</v>
      </c>
      <c r="AA36" s="129">
        <f t="shared" si="102"/>
        <v>8.0039999999999996</v>
      </c>
      <c r="AB36" s="28">
        <f t="shared" si="103"/>
        <v>2.3944313662500001E-2</v>
      </c>
      <c r="AC36" s="364">
        <f t="shared" si="104"/>
        <v>3</v>
      </c>
      <c r="AD36" s="182">
        <f t="shared" si="105"/>
        <v>0.22254684312678574</v>
      </c>
      <c r="AE36" s="1084"/>
      <c r="AF36" s="462" t="s">
        <v>1374</v>
      </c>
      <c r="AG36" s="1087"/>
      <c r="AH36" s="1343">
        <f t="shared" si="114"/>
        <v>0.19719764912914273</v>
      </c>
      <c r="AI36" s="1344">
        <f t="shared" si="106"/>
        <v>0</v>
      </c>
      <c r="AJ36" s="1345">
        <f t="shared" si="107"/>
        <v>6.5732549709714275E-2</v>
      </c>
      <c r="AK36" s="1345">
        <f t="shared" si="108"/>
        <v>0</v>
      </c>
      <c r="AL36" s="1345">
        <f t="shared" si="109"/>
        <v>0.62947755978812625</v>
      </c>
      <c r="AM36" s="1346">
        <f t="shared" si="110"/>
        <v>0</v>
      </c>
      <c r="AN36" s="1347">
        <f t="shared" si="111"/>
        <v>0.10759224137301665</v>
      </c>
      <c r="AO36" s="1084"/>
      <c r="AP36" s="2006" t="s">
        <v>873</v>
      </c>
      <c r="AQ36" s="2006"/>
      <c r="AR36" s="2006"/>
      <c r="AS36" s="2006"/>
      <c r="AT36" s="2006"/>
      <c r="AU36" s="2006"/>
      <c r="AV36" s="2006"/>
      <c r="AW36" s="2006"/>
      <c r="AX36" s="2006"/>
      <c r="AY36" s="2006"/>
      <c r="AZ36" s="2007"/>
      <c r="BA36" s="2007"/>
      <c r="BB36" s="1722"/>
      <c r="BC36" s="1722"/>
    </row>
    <row r="37" spans="1:55" ht="15" hidden="1" customHeight="1" outlineLevel="2" x14ac:dyDescent="0.2">
      <c r="A37" s="459" t="s">
        <v>1425</v>
      </c>
      <c r="B37" s="451">
        <v>10</v>
      </c>
      <c r="C37" s="155">
        <v>4.5019999999999998</v>
      </c>
      <c r="D37" s="68">
        <v>7.5059923986486518E-2</v>
      </c>
      <c r="E37" s="27">
        <v>0</v>
      </c>
      <c r="F37" s="1931">
        <v>1.3837837837837838E-2</v>
      </c>
      <c r="G37" s="2655">
        <v>1.4875675675675677E-2</v>
      </c>
      <c r="H37" s="29">
        <v>1.2741914062500003E-2</v>
      </c>
      <c r="I37" s="28">
        <v>0</v>
      </c>
      <c r="J37" s="129">
        <v>4.0019999999999998</v>
      </c>
      <c r="K37" s="28">
        <v>5.6625066093750022E-3</v>
      </c>
      <c r="L37" s="146">
        <v>3</v>
      </c>
      <c r="M37" s="571">
        <v>6</v>
      </c>
      <c r="N37" s="2293">
        <v>1</v>
      </c>
      <c r="O37" s="2507" t="s">
        <v>332</v>
      </c>
      <c r="P37" s="182">
        <f t="shared" si="92"/>
        <v>0.12217785817187503</v>
      </c>
      <c r="Q37" s="1084"/>
      <c r="R37" s="3219">
        <f t="shared" si="112"/>
        <v>2.8713513513513512E-2</v>
      </c>
      <c r="S37" s="3219">
        <f t="shared" si="113"/>
        <v>1.8404420671875005E-2</v>
      </c>
      <c r="T37" s="129">
        <f t="shared" si="95"/>
        <v>4.5019999999999998</v>
      </c>
      <c r="U37" s="68">
        <f t="shared" si="96"/>
        <v>0.15869812500000005</v>
      </c>
      <c r="V37" s="27">
        <f t="shared" si="97"/>
        <v>0</v>
      </c>
      <c r="W37" s="363">
        <f t="shared" si="98"/>
        <v>2.9257142857142857E-2</v>
      </c>
      <c r="X37" s="363">
        <f t="shared" si="99"/>
        <v>3.1451428571428575E-2</v>
      </c>
      <c r="Y37" s="363">
        <f t="shared" si="100"/>
        <v>2.6940046875000009E-2</v>
      </c>
      <c r="Z37" s="28">
        <f t="shared" si="101"/>
        <v>0</v>
      </c>
      <c r="AA37" s="129">
        <f t="shared" si="102"/>
        <v>4.0019999999999998</v>
      </c>
      <c r="AB37" s="28">
        <f t="shared" si="103"/>
        <v>1.1972156831250004E-2</v>
      </c>
      <c r="AC37" s="364">
        <f t="shared" si="104"/>
        <v>3</v>
      </c>
      <c r="AD37" s="182">
        <f t="shared" si="105"/>
        <v>0.25831890013482151</v>
      </c>
      <c r="AE37" s="1084"/>
      <c r="AF37" s="462" t="s">
        <v>1375</v>
      </c>
      <c r="AG37" s="1087"/>
      <c r="AH37" s="1343">
        <f t="shared" si="114"/>
        <v>0.61434964656930835</v>
      </c>
      <c r="AI37" s="1344">
        <f t="shared" si="106"/>
        <v>0</v>
      </c>
      <c r="AJ37" s="1345">
        <f t="shared" si="107"/>
        <v>0.11325978409583272</v>
      </c>
      <c r="AK37" s="1345">
        <f t="shared" si="108"/>
        <v>0.12175426790302019</v>
      </c>
      <c r="AL37" s="1345">
        <f t="shared" si="109"/>
        <v>0.10428987914140038</v>
      </c>
      <c r="AM37" s="1346">
        <f t="shared" si="110"/>
        <v>0</v>
      </c>
      <c r="AN37" s="1347">
        <f t="shared" si="111"/>
        <v>4.6346422290438331E-2</v>
      </c>
      <c r="AO37" s="1084"/>
      <c r="AP37" s="2006" t="s">
        <v>878</v>
      </c>
      <c r="AQ37" s="2006"/>
      <c r="AR37" s="2006"/>
      <c r="AS37" s="2006"/>
      <c r="AT37" s="2006"/>
      <c r="AU37" s="2006"/>
      <c r="AV37" s="2006"/>
      <c r="AW37" s="2006"/>
      <c r="AX37" s="2006"/>
      <c r="AY37" s="2006"/>
      <c r="AZ37" s="2007"/>
      <c r="BA37" s="2007"/>
      <c r="BB37" s="1722"/>
      <c r="BC37" s="1722"/>
    </row>
    <row r="38" spans="1:55" ht="15" hidden="1" customHeight="1" outlineLevel="2" x14ac:dyDescent="0.2">
      <c r="A38" s="459" t="s">
        <v>1376</v>
      </c>
      <c r="B38" s="451">
        <v>10</v>
      </c>
      <c r="C38" s="155">
        <v>2.1339999999999999</v>
      </c>
      <c r="D38" s="68">
        <v>2.0756756756756756E-2</v>
      </c>
      <c r="E38" s="27">
        <v>0</v>
      </c>
      <c r="F38" s="1931">
        <v>6.9189189189189189E-3</v>
      </c>
      <c r="G38" s="2695">
        <v>0</v>
      </c>
      <c r="H38" s="29">
        <v>0.25343667070312503</v>
      </c>
      <c r="I38" s="28">
        <v>0</v>
      </c>
      <c r="J38" s="129">
        <v>20.010000000000002</v>
      </c>
      <c r="K38" s="28">
        <v>2.8312533046874994E-2</v>
      </c>
      <c r="L38" s="146">
        <v>3</v>
      </c>
      <c r="M38" s="571">
        <v>6</v>
      </c>
      <c r="N38" s="2293">
        <v>1</v>
      </c>
      <c r="O38" s="2507" t="s">
        <v>332</v>
      </c>
      <c r="P38" s="182">
        <f t="shared" si="92"/>
        <v>0.3094248794256757</v>
      </c>
      <c r="Q38" s="1084"/>
      <c r="R38" s="3219">
        <f t="shared" si="112"/>
        <v>6.9189189189189189E-3</v>
      </c>
      <c r="S38" s="3219">
        <f t="shared" si="113"/>
        <v>0.28174920375000001</v>
      </c>
      <c r="T38" s="129">
        <f t="shared" si="95"/>
        <v>2.1339999999999999</v>
      </c>
      <c r="U38" s="68">
        <f t="shared" si="96"/>
        <v>4.3885714285714285E-2</v>
      </c>
      <c r="V38" s="27">
        <f t="shared" si="97"/>
        <v>0</v>
      </c>
      <c r="W38" s="363">
        <f t="shared" si="98"/>
        <v>1.4628571428571428E-2</v>
      </c>
      <c r="X38" s="363">
        <f t="shared" si="99"/>
        <v>0</v>
      </c>
      <c r="Y38" s="363">
        <f t="shared" si="100"/>
        <v>0.53583753234375009</v>
      </c>
      <c r="Z38" s="28">
        <f t="shared" si="101"/>
        <v>0</v>
      </c>
      <c r="AA38" s="129">
        <f t="shared" si="102"/>
        <v>20.010000000000002</v>
      </c>
      <c r="AB38" s="28">
        <f t="shared" si="103"/>
        <v>5.9860784156249992E-2</v>
      </c>
      <c r="AC38" s="364">
        <f t="shared" si="104"/>
        <v>3</v>
      </c>
      <c r="AD38" s="182">
        <f t="shared" si="105"/>
        <v>0.65421260221428579</v>
      </c>
      <c r="AE38" s="1084"/>
      <c r="AF38" s="462" t="s">
        <v>1376</v>
      </c>
      <c r="AG38" s="1087"/>
      <c r="AH38" s="1343">
        <f t="shared" si="114"/>
        <v>6.7081731744659368E-2</v>
      </c>
      <c r="AI38" s="1344">
        <f t="shared" si="106"/>
        <v>0</v>
      </c>
      <c r="AJ38" s="1345">
        <f t="shared" si="107"/>
        <v>2.2360577248219798E-2</v>
      </c>
      <c r="AK38" s="1345">
        <f t="shared" si="108"/>
        <v>0</v>
      </c>
      <c r="AL38" s="1345">
        <f t="shared" si="109"/>
        <v>0.81905718497339153</v>
      </c>
      <c r="AM38" s="1346">
        <f t="shared" si="110"/>
        <v>0</v>
      </c>
      <c r="AN38" s="1347">
        <f t="shared" si="111"/>
        <v>9.1500506033729279E-2</v>
      </c>
      <c r="AO38" s="1084"/>
      <c r="AP38" s="2006" t="s">
        <v>876</v>
      </c>
      <c r="AQ38" s="2006"/>
      <c r="AR38" s="2006"/>
      <c r="AS38" s="2006"/>
      <c r="AT38" s="2006"/>
      <c r="AU38" s="2006"/>
      <c r="AV38" s="2006"/>
      <c r="AW38" s="2006"/>
      <c r="AX38" s="2006"/>
      <c r="AY38" s="2006"/>
      <c r="AZ38" s="2007"/>
      <c r="BA38" s="2007"/>
      <c r="BB38" s="1722"/>
      <c r="BC38" s="1722"/>
    </row>
    <row r="39" spans="1:55" ht="15" hidden="1" customHeight="1" outlineLevel="2" x14ac:dyDescent="0.2">
      <c r="A39" s="459" t="s">
        <v>1377</v>
      </c>
      <c r="B39" s="451">
        <v>10</v>
      </c>
      <c r="C39" s="155">
        <v>2.1339999999999999</v>
      </c>
      <c r="D39" s="68">
        <v>2.0756756756756756E-2</v>
      </c>
      <c r="E39" s="27">
        <v>0</v>
      </c>
      <c r="F39" s="1931">
        <v>6.9189189189189189E-3</v>
      </c>
      <c r="G39" s="2695">
        <v>0</v>
      </c>
      <c r="H39" s="29">
        <v>0.26867599992187502</v>
      </c>
      <c r="I39" s="28">
        <v>0</v>
      </c>
      <c r="J39" s="129">
        <v>20.010000000000002</v>
      </c>
      <c r="K39" s="28">
        <v>2.8312533046874994E-2</v>
      </c>
      <c r="L39" s="146">
        <v>3</v>
      </c>
      <c r="M39" s="571">
        <v>6</v>
      </c>
      <c r="N39" s="2293">
        <v>1</v>
      </c>
      <c r="O39" s="2507" t="s">
        <v>332</v>
      </c>
      <c r="P39" s="182">
        <f t="shared" si="92"/>
        <v>0.32466420864442569</v>
      </c>
      <c r="Q39" s="1084"/>
      <c r="R39" s="3219">
        <f t="shared" si="112"/>
        <v>6.9189189189189189E-3</v>
      </c>
      <c r="S39" s="3219">
        <f t="shared" si="113"/>
        <v>0.29698853296875</v>
      </c>
      <c r="T39" s="129">
        <f t="shared" si="95"/>
        <v>2.1339999999999999</v>
      </c>
      <c r="U39" s="68">
        <f t="shared" si="96"/>
        <v>4.3885714285714285E-2</v>
      </c>
      <c r="V39" s="27">
        <f t="shared" si="97"/>
        <v>0</v>
      </c>
      <c r="W39" s="363">
        <f t="shared" si="98"/>
        <v>1.4628571428571428E-2</v>
      </c>
      <c r="X39" s="363">
        <f t="shared" si="99"/>
        <v>0</v>
      </c>
      <c r="Y39" s="363">
        <f t="shared" si="100"/>
        <v>0.56805782840625008</v>
      </c>
      <c r="Z39" s="28">
        <f t="shared" si="101"/>
        <v>0</v>
      </c>
      <c r="AA39" s="129">
        <f t="shared" si="102"/>
        <v>20.010000000000002</v>
      </c>
      <c r="AB39" s="28">
        <f t="shared" si="103"/>
        <v>5.9860784156249992E-2</v>
      </c>
      <c r="AC39" s="364">
        <f t="shared" si="104"/>
        <v>3</v>
      </c>
      <c r="AD39" s="182">
        <f t="shared" si="105"/>
        <v>0.68643289827678577</v>
      </c>
      <c r="AE39" s="1084"/>
      <c r="AF39" s="462" t="s">
        <v>1377</v>
      </c>
      <c r="AG39" s="1087"/>
      <c r="AH39" s="1343">
        <f t="shared" si="114"/>
        <v>6.3932999708907534E-2</v>
      </c>
      <c r="AI39" s="1344">
        <f t="shared" si="106"/>
        <v>0</v>
      </c>
      <c r="AJ39" s="1345">
        <f t="shared" si="107"/>
        <v>2.1310999902969172E-2</v>
      </c>
      <c r="AK39" s="1345">
        <f t="shared" si="108"/>
        <v>0</v>
      </c>
      <c r="AL39" s="1345">
        <f t="shared" si="109"/>
        <v>0.82755041291333309</v>
      </c>
      <c r="AM39" s="1346">
        <f t="shared" si="110"/>
        <v>0</v>
      </c>
      <c r="AN39" s="1347">
        <f t="shared" si="111"/>
        <v>8.720558747479018E-2</v>
      </c>
      <c r="AO39" s="1084"/>
      <c r="AP39" s="2006" t="s">
        <v>876</v>
      </c>
      <c r="AQ39" s="2006"/>
      <c r="AR39" s="2006"/>
      <c r="AS39" s="2006"/>
      <c r="AT39" s="2006"/>
      <c r="AU39" s="2006"/>
      <c r="AV39" s="2006"/>
      <c r="AW39" s="2006"/>
      <c r="AX39" s="2006"/>
      <c r="AY39" s="2006"/>
      <c r="AZ39" s="2007"/>
      <c r="BA39" s="2007"/>
      <c r="BB39" s="1722"/>
      <c r="BC39" s="1722"/>
    </row>
    <row r="40" spans="1:55" ht="15" hidden="1" customHeight="1" outlineLevel="1" collapsed="1" x14ac:dyDescent="0.2">
      <c r="A40" s="457" t="s">
        <v>1479</v>
      </c>
      <c r="B40" s="450" t="str">
        <f>B$6</f>
        <v>Trips</v>
      </c>
      <c r="C40" s="172" t="str">
        <f t="shared" ref="C40" si="115">C$6</f>
        <v>Mbpd</v>
      </c>
      <c r="D40" s="173" t="s">
        <v>303</v>
      </c>
      <c r="E40" s="173" t="s">
        <v>9</v>
      </c>
      <c r="F40" s="173" t="s">
        <v>304</v>
      </c>
      <c r="G40" s="2694" t="s">
        <v>970</v>
      </c>
      <c r="H40" s="173" t="s">
        <v>312</v>
      </c>
      <c r="I40" s="173" t="s">
        <v>330</v>
      </c>
      <c r="J40" s="173" t="s">
        <v>308</v>
      </c>
      <c r="K40" s="173" t="s">
        <v>309</v>
      </c>
      <c r="L40" s="178" t="s">
        <v>299</v>
      </c>
      <c r="M40" s="572" t="str">
        <f>M$6</f>
        <v>DPM/c</v>
      </c>
      <c r="N40" s="2292" t="str">
        <f>N$6</f>
        <v>MT</v>
      </c>
      <c r="O40" s="2506" t="str">
        <f>O$6</f>
        <v xml:space="preserve">WF </v>
      </c>
      <c r="P40" s="181" t="s">
        <v>273</v>
      </c>
      <c r="Q40" s="1084"/>
      <c r="R40" s="181"/>
      <c r="S40" s="181"/>
      <c r="T40" s="1270" t="s">
        <v>308</v>
      </c>
      <c r="U40" s="173" t="s">
        <v>303</v>
      </c>
      <c r="V40" s="173" t="str">
        <f>V$6</f>
        <v xml:space="preserve">WTS </v>
      </c>
      <c r="W40" s="173" t="str">
        <f>+W$6</f>
        <v>Web</v>
      </c>
      <c r="X40" s="173" t="str">
        <f>+X$6</f>
        <v>Portal</v>
      </c>
      <c r="Y40" s="173" t="s">
        <v>312</v>
      </c>
      <c r="Z40" s="173" t="s">
        <v>330</v>
      </c>
      <c r="AA40" s="173" t="s">
        <v>308</v>
      </c>
      <c r="AB40" s="173" t="s">
        <v>309</v>
      </c>
      <c r="AC40" s="178" t="s">
        <v>299</v>
      </c>
      <c r="AD40" s="181" t="s">
        <v>273</v>
      </c>
      <c r="AE40" s="1084"/>
      <c r="AF40" s="404" t="s">
        <v>1282</v>
      </c>
      <c r="AG40" s="1087"/>
      <c r="AH40" s="1338" t="str">
        <f t="shared" ref="AH40:AM40" si="116">D40</f>
        <v>Client</v>
      </c>
      <c r="AI40" s="1339" t="str">
        <f t="shared" si="116"/>
        <v xml:space="preserve">WTS </v>
      </c>
      <c r="AJ40" s="1339" t="str">
        <f t="shared" si="116"/>
        <v>Web</v>
      </c>
      <c r="AK40" s="1339" t="str">
        <f t="shared" si="116"/>
        <v>Portal</v>
      </c>
      <c r="AL40" s="1340" t="str">
        <f t="shared" si="116"/>
        <v>SOC</v>
      </c>
      <c r="AM40" s="1341" t="str">
        <f t="shared" si="116"/>
        <v>SDE</v>
      </c>
      <c r="AN40" s="1342" t="str">
        <f>K40</f>
        <v>DBMS</v>
      </c>
      <c r="AO40" s="1084"/>
      <c r="AP40" s="2006"/>
      <c r="AQ40" s="2006"/>
      <c r="AR40" s="2006"/>
      <c r="AS40" s="2006"/>
      <c r="AT40" s="2006"/>
      <c r="AU40" s="2006"/>
      <c r="AV40" s="2006"/>
      <c r="AW40" s="2006"/>
      <c r="AX40" s="2006"/>
      <c r="AY40" s="2006"/>
      <c r="AZ40" s="2007"/>
      <c r="BA40" s="2007"/>
    </row>
    <row r="41" spans="1:55" ht="15" hidden="1" customHeight="1" outlineLevel="2" x14ac:dyDescent="0.2">
      <c r="A41" s="459" t="s">
        <v>1294</v>
      </c>
      <c r="B41" s="451">
        <v>10</v>
      </c>
      <c r="C41" s="155">
        <v>1.3340000000000001</v>
      </c>
      <c r="D41" s="68">
        <v>2.2489864864864858E-3</v>
      </c>
      <c r="E41" s="27">
        <v>0</v>
      </c>
      <c r="F41" s="30">
        <v>6.9189189189189189E-3</v>
      </c>
      <c r="G41" s="2696">
        <v>0</v>
      </c>
      <c r="H41" s="1175">
        <v>4.2473046874999983E-3</v>
      </c>
      <c r="I41" s="28">
        <v>0</v>
      </c>
      <c r="J41" s="129">
        <v>1.3340000000000001</v>
      </c>
      <c r="K41" s="28">
        <v>1.8875022031249996E-3</v>
      </c>
      <c r="L41" s="146">
        <v>3</v>
      </c>
      <c r="M41" s="571">
        <v>6</v>
      </c>
      <c r="N41" s="2293">
        <v>1</v>
      </c>
      <c r="O41" s="2507" t="s">
        <v>332</v>
      </c>
      <c r="P41" s="182">
        <f>SUM(D41:I41,K41)</f>
        <v>1.5302712296030401E-2</v>
      </c>
      <c r="Q41" s="1084"/>
      <c r="R41" s="3219">
        <f t="shared" ref="R41" si="117">F41+G41</f>
        <v>6.9189189189189189E-3</v>
      </c>
      <c r="S41" s="3219">
        <f t="shared" ref="S41" si="118">E41+H41+K41</f>
        <v>6.1348068906249978E-3</v>
      </c>
      <c r="T41" s="129">
        <f>C41</f>
        <v>1.3340000000000001</v>
      </c>
      <c r="U41" s="68">
        <f t="shared" ref="U41:Z42" si="119">D41*$K$3/$AB$3</f>
        <v>4.7549999999999979E-3</v>
      </c>
      <c r="V41" s="27">
        <f t="shared" si="119"/>
        <v>0</v>
      </c>
      <c r="W41" s="363">
        <f t="shared" si="119"/>
        <v>1.4628571428571428E-2</v>
      </c>
      <c r="X41" s="363">
        <f t="shared" si="119"/>
        <v>0</v>
      </c>
      <c r="Y41" s="363">
        <f t="shared" si="119"/>
        <v>8.9800156249999954E-3</v>
      </c>
      <c r="Z41" s="28">
        <f t="shared" si="119"/>
        <v>0</v>
      </c>
      <c r="AA41" s="129">
        <f>J41</f>
        <v>1.3340000000000001</v>
      </c>
      <c r="AB41" s="28">
        <f>K41*$K$3/$AB$3</f>
        <v>3.990718943749999E-3</v>
      </c>
      <c r="AC41" s="364">
        <f>L41</f>
        <v>3</v>
      </c>
      <c r="AD41" s="182">
        <f>SUM(U41:Z41,AB41)</f>
        <v>3.235430599732142E-2</v>
      </c>
      <c r="AE41" s="1084"/>
      <c r="AF41" s="1166" t="s">
        <v>1378</v>
      </c>
      <c r="AG41" s="1087"/>
      <c r="AH41" s="1343">
        <f>1-SUM(AI41:AN41)</f>
        <v>0.14696652743513217</v>
      </c>
      <c r="AI41" s="1344">
        <f t="shared" ref="AI41:AM42" si="120">E41/$P41</f>
        <v>0</v>
      </c>
      <c r="AJ41" s="1345">
        <f t="shared" si="120"/>
        <v>0.45213677059809326</v>
      </c>
      <c r="AK41" s="1345">
        <f t="shared" si="120"/>
        <v>0</v>
      </c>
      <c r="AL41" s="1345">
        <f t="shared" si="120"/>
        <v>0.27755241066655678</v>
      </c>
      <c r="AM41" s="1346">
        <f t="shared" si="120"/>
        <v>0</v>
      </c>
      <c r="AN41" s="1347">
        <f>K41/$P41</f>
        <v>0.12334429130021786</v>
      </c>
      <c r="AO41" s="1084"/>
      <c r="AP41" s="2006"/>
      <c r="AQ41" s="2006"/>
      <c r="AR41" s="2006"/>
      <c r="AS41" s="2006"/>
      <c r="AT41" s="2006"/>
      <c r="AU41" s="2006"/>
      <c r="AV41" s="2006"/>
      <c r="AW41" s="2006"/>
      <c r="AX41" s="2006"/>
      <c r="AY41" s="2006"/>
      <c r="AZ41" s="2007"/>
      <c r="BA41" s="2007"/>
    </row>
    <row r="42" spans="1:55" ht="15" hidden="1" customHeight="1" outlineLevel="2" x14ac:dyDescent="0.2">
      <c r="A42" s="459" t="s">
        <v>1295</v>
      </c>
      <c r="B42" s="451">
        <v>10</v>
      </c>
      <c r="C42" s="155">
        <v>13.34</v>
      </c>
      <c r="D42" s="68">
        <v>2.2489864864864866E-2</v>
      </c>
      <c r="E42" s="27">
        <v>0</v>
      </c>
      <c r="F42" s="30">
        <v>6.9189189189189189E-3</v>
      </c>
      <c r="G42" s="2696">
        <v>0</v>
      </c>
      <c r="H42" s="1175">
        <v>4.2473046874999996E-2</v>
      </c>
      <c r="I42" s="28">
        <v>0</v>
      </c>
      <c r="J42" s="129">
        <v>13.34</v>
      </c>
      <c r="K42" s="28">
        <v>1.8875022031250001E-2</v>
      </c>
      <c r="L42" s="146">
        <v>3</v>
      </c>
      <c r="M42" s="571">
        <v>6</v>
      </c>
      <c r="N42" s="2293">
        <v>1</v>
      </c>
      <c r="O42" s="2507" t="s">
        <v>332</v>
      </c>
      <c r="P42" s="182">
        <f>SUM(D42:I42,K42)</f>
        <v>9.0756852690033779E-2</v>
      </c>
      <c r="Q42" s="1084"/>
      <c r="R42" s="3205"/>
      <c r="S42" s="3205"/>
      <c r="T42" s="129">
        <f>C42</f>
        <v>13.34</v>
      </c>
      <c r="U42" s="68">
        <f t="shared" si="119"/>
        <v>4.7550000000000002E-2</v>
      </c>
      <c r="V42" s="27">
        <f t="shared" si="119"/>
        <v>0</v>
      </c>
      <c r="W42" s="363">
        <f t="shared" si="119"/>
        <v>1.4628571428571428E-2</v>
      </c>
      <c r="X42" s="363">
        <f t="shared" si="119"/>
        <v>0</v>
      </c>
      <c r="Y42" s="363">
        <f t="shared" si="119"/>
        <v>8.9800156249999999E-2</v>
      </c>
      <c r="Z42" s="28">
        <f t="shared" si="119"/>
        <v>0</v>
      </c>
      <c r="AA42" s="129">
        <f>J42</f>
        <v>13.34</v>
      </c>
      <c r="AB42" s="28">
        <f>K42*$K$3/$AB$3</f>
        <v>3.9907189437500004E-2</v>
      </c>
      <c r="AC42" s="364">
        <f>L42</f>
        <v>3</v>
      </c>
      <c r="AD42" s="182">
        <f>SUM(U42:Z42,AB42)</f>
        <v>0.19188591711607145</v>
      </c>
      <c r="AE42" s="1084"/>
      <c r="AF42" s="1166" t="s">
        <v>1379</v>
      </c>
      <c r="AG42" s="1087"/>
      <c r="AH42" s="1343">
        <f>1-SUM(AI42:AN42)</f>
        <v>0.24780349029594018</v>
      </c>
      <c r="AI42" s="1344">
        <f t="shared" si="120"/>
        <v>0</v>
      </c>
      <c r="AJ42" s="1345">
        <f t="shared" si="120"/>
        <v>7.6235774091345299E-2</v>
      </c>
      <c r="AK42" s="1345">
        <f t="shared" si="120"/>
        <v>0</v>
      </c>
      <c r="AL42" s="1345">
        <f t="shared" si="120"/>
        <v>0.46798721656931214</v>
      </c>
      <c r="AM42" s="1346">
        <f t="shared" si="120"/>
        <v>0</v>
      </c>
      <c r="AN42" s="1347">
        <f>K42/$P42</f>
        <v>0.20797351904340233</v>
      </c>
      <c r="AO42" s="1084"/>
      <c r="AP42" s="2006"/>
      <c r="AQ42" s="2006"/>
      <c r="AR42" s="2006"/>
      <c r="AS42" s="2006"/>
      <c r="AT42" s="2006"/>
      <c r="AU42" s="2006"/>
      <c r="AV42" s="2006"/>
      <c r="AW42" s="2006"/>
      <c r="AX42" s="2006"/>
      <c r="AY42" s="2006"/>
      <c r="AZ42" s="2007"/>
      <c r="BA42" s="2007"/>
    </row>
    <row r="43" spans="1:55" ht="15" hidden="1" customHeight="1" outlineLevel="1" collapsed="1" x14ac:dyDescent="0.2">
      <c r="A43" s="457" t="s">
        <v>1480</v>
      </c>
      <c r="B43" s="450" t="str">
        <f t="shared" ref="B43:C43" si="121">B$6</f>
        <v>Trips</v>
      </c>
      <c r="C43" s="172" t="str">
        <f t="shared" si="121"/>
        <v>Mbpd</v>
      </c>
      <c r="D43" s="173" t="s">
        <v>303</v>
      </c>
      <c r="E43" s="173" t="s">
        <v>9</v>
      </c>
      <c r="F43" s="173" t="s">
        <v>304</v>
      </c>
      <c r="G43" s="2694" t="s">
        <v>970</v>
      </c>
      <c r="H43" s="173" t="s">
        <v>312</v>
      </c>
      <c r="I43" s="173" t="s">
        <v>330</v>
      </c>
      <c r="J43" s="173" t="s">
        <v>308</v>
      </c>
      <c r="K43" s="173" t="s">
        <v>309</v>
      </c>
      <c r="L43" s="178" t="s">
        <v>299</v>
      </c>
      <c r="M43" s="572" t="str">
        <f>M$6</f>
        <v>DPM/c</v>
      </c>
      <c r="N43" s="2292" t="str">
        <f>N$6</f>
        <v>MT</v>
      </c>
      <c r="O43" s="2506" t="str">
        <f>O$6</f>
        <v xml:space="preserve">WF </v>
      </c>
      <c r="P43" s="181" t="s">
        <v>273</v>
      </c>
      <c r="Q43" s="1084"/>
      <c r="R43" s="181"/>
      <c r="S43" s="181"/>
      <c r="T43" s="1270" t="s">
        <v>308</v>
      </c>
      <c r="U43" s="173" t="s">
        <v>303</v>
      </c>
      <c r="V43" s="173" t="str">
        <f>V$6</f>
        <v xml:space="preserve">WTS </v>
      </c>
      <c r="W43" s="173" t="str">
        <f>+W$6</f>
        <v>Web</v>
      </c>
      <c r="X43" s="173" t="str">
        <f>+X$6</f>
        <v>Portal</v>
      </c>
      <c r="Y43" s="173" t="s">
        <v>312</v>
      </c>
      <c r="Z43" s="173" t="s">
        <v>330</v>
      </c>
      <c r="AA43" s="173" t="s">
        <v>308</v>
      </c>
      <c r="AB43" s="173" t="s">
        <v>309</v>
      </c>
      <c r="AC43" s="178" t="s">
        <v>299</v>
      </c>
      <c r="AD43" s="181" t="s">
        <v>273</v>
      </c>
      <c r="AE43" s="1084"/>
      <c r="AF43" s="1168" t="s">
        <v>1283</v>
      </c>
      <c r="AG43" s="1087"/>
      <c r="AH43" s="1338" t="str">
        <f t="shared" ref="AH43:AM43" si="122">D43</f>
        <v>Client</v>
      </c>
      <c r="AI43" s="1339" t="str">
        <f t="shared" si="122"/>
        <v xml:space="preserve">WTS </v>
      </c>
      <c r="AJ43" s="1339" t="str">
        <f t="shared" si="122"/>
        <v>Web</v>
      </c>
      <c r="AK43" s="1339" t="str">
        <f t="shared" si="122"/>
        <v>Portal</v>
      </c>
      <c r="AL43" s="1340" t="str">
        <f t="shared" si="122"/>
        <v>SOC</v>
      </c>
      <c r="AM43" s="1341" t="str">
        <f t="shared" si="122"/>
        <v>SDE</v>
      </c>
      <c r="AN43" s="1342" t="str">
        <f>K43</f>
        <v>DBMS</v>
      </c>
      <c r="AO43" s="1084"/>
      <c r="AP43" s="2006"/>
      <c r="AQ43" s="2006"/>
      <c r="AR43" s="2006"/>
      <c r="AS43" s="2006"/>
      <c r="AT43" s="2006"/>
      <c r="AU43" s="2006"/>
      <c r="AV43" s="2006"/>
      <c r="AW43" s="2006"/>
      <c r="AX43" s="2006"/>
      <c r="AY43" s="2006"/>
      <c r="AZ43" s="2007"/>
      <c r="BA43" s="2007"/>
    </row>
    <row r="44" spans="1:55" ht="15" hidden="1" customHeight="1" outlineLevel="2" x14ac:dyDescent="0.2">
      <c r="A44" s="678" t="s">
        <v>1380</v>
      </c>
      <c r="B44" s="451">
        <v>10</v>
      </c>
      <c r="C44" s="155">
        <v>2.637</v>
      </c>
      <c r="D44" s="68">
        <v>2.0756756756756756E-2</v>
      </c>
      <c r="E44" s="27">
        <v>0</v>
      </c>
      <c r="F44" s="30">
        <v>6.9189189189189189E-3</v>
      </c>
      <c r="G44" s="2696">
        <v>0</v>
      </c>
      <c r="H44" s="1175">
        <v>4.3631249999999996E-2</v>
      </c>
      <c r="I44" s="1176">
        <v>5.4539062499999996E-3</v>
      </c>
      <c r="J44" s="129">
        <v>13.183999999999999</v>
      </c>
      <c r="K44" s="28">
        <v>5.4539062499999996E-3</v>
      </c>
      <c r="L44" s="146">
        <v>3</v>
      </c>
      <c r="M44" s="571">
        <v>6</v>
      </c>
      <c r="N44" s="2293">
        <v>1</v>
      </c>
      <c r="O44" s="2507" t="s">
        <v>541</v>
      </c>
      <c r="P44" s="182">
        <f>SUM(D44:I44,K44)</f>
        <v>8.2214738175675678E-2</v>
      </c>
      <c r="Q44" s="1233"/>
      <c r="R44" s="3219">
        <f t="shared" ref="R44" si="123">F44+G44</f>
        <v>6.9189189189189189E-3</v>
      </c>
      <c r="S44" s="3219">
        <f t="shared" ref="S44" si="124">E44+H44+K44</f>
        <v>4.9085156249999998E-2</v>
      </c>
      <c r="T44" s="129">
        <f>C44</f>
        <v>2.637</v>
      </c>
      <c r="U44" s="68">
        <f t="shared" ref="U44:Z46" si="125">D44*$K$3/$AB$3</f>
        <v>4.3885714285714285E-2</v>
      </c>
      <c r="V44" s="27">
        <f t="shared" si="125"/>
        <v>0</v>
      </c>
      <c r="W44" s="363">
        <f t="shared" si="125"/>
        <v>1.4628571428571428E-2</v>
      </c>
      <c r="X44" s="363">
        <f t="shared" si="125"/>
        <v>0</v>
      </c>
      <c r="Y44" s="363">
        <f t="shared" si="125"/>
        <v>9.2248928571428565E-2</v>
      </c>
      <c r="Z44" s="28">
        <f t="shared" si="125"/>
        <v>1.1531116071428571E-2</v>
      </c>
      <c r="AA44" s="129">
        <f>J44</f>
        <v>13.183999999999999</v>
      </c>
      <c r="AB44" s="28">
        <f>K44*$K$3/$AB$3</f>
        <v>1.1531116071428571E-2</v>
      </c>
      <c r="AC44" s="364">
        <f>L44</f>
        <v>3</v>
      </c>
      <c r="AD44" s="182">
        <f>SUM(U44:Z44,AB44)</f>
        <v>0.1738254464285714</v>
      </c>
      <c r="AE44" s="1084"/>
      <c r="AF44" s="1166" t="s">
        <v>1380</v>
      </c>
      <c r="AG44" s="1087"/>
      <c r="AH44" s="1343">
        <f>1-SUM(AI44:AN44)</f>
        <v>0.25247002200997004</v>
      </c>
      <c r="AI44" s="1344">
        <f t="shared" ref="AI44:AM46" si="126">E44/$P44</f>
        <v>0</v>
      </c>
      <c r="AJ44" s="1345">
        <f t="shared" si="126"/>
        <v>8.4156674003323328E-2</v>
      </c>
      <c r="AK44" s="1345">
        <f t="shared" si="126"/>
        <v>0</v>
      </c>
      <c r="AL44" s="1345">
        <f t="shared" si="126"/>
        <v>0.53069864318936533</v>
      </c>
      <c r="AM44" s="1346">
        <f t="shared" si="126"/>
        <v>6.6337330398670666E-2</v>
      </c>
      <c r="AN44" s="1347">
        <f>K44/$P44</f>
        <v>6.6337330398670666E-2</v>
      </c>
      <c r="AO44" s="1084"/>
      <c r="AP44" s="2006" t="s">
        <v>877</v>
      </c>
      <c r="AQ44" s="2006"/>
      <c r="AR44" s="2006"/>
      <c r="AS44" s="2006"/>
      <c r="AT44" s="2006"/>
      <c r="AU44" s="2006"/>
      <c r="AV44" s="2006"/>
      <c r="AW44" s="2006"/>
      <c r="AX44" s="2006"/>
      <c r="AY44" s="2006"/>
      <c r="AZ44" s="2007"/>
      <c r="BA44" s="2007"/>
    </row>
    <row r="45" spans="1:55" ht="15" hidden="1" customHeight="1" outlineLevel="2" x14ac:dyDescent="0.2">
      <c r="A45" s="678" t="s">
        <v>1381</v>
      </c>
      <c r="B45" s="451">
        <v>10</v>
      </c>
      <c r="C45" s="155">
        <v>5.2729999999999997</v>
      </c>
      <c r="D45" s="68">
        <v>2.0756756756756756E-2</v>
      </c>
      <c r="E45" s="27">
        <v>0</v>
      </c>
      <c r="F45" s="30">
        <v>6.9189189189189189E-3</v>
      </c>
      <c r="G45" s="2696">
        <v>0</v>
      </c>
      <c r="H45" s="1175">
        <v>8.7262499999999993E-2</v>
      </c>
      <c r="I45" s="1176">
        <v>1.0907812499999999E-2</v>
      </c>
      <c r="J45" s="129">
        <v>26.367000000000001</v>
      </c>
      <c r="K45" s="28">
        <v>1.0907812499999999E-2</v>
      </c>
      <c r="L45" s="146">
        <v>3</v>
      </c>
      <c r="M45" s="571">
        <v>6</v>
      </c>
      <c r="N45" s="2293">
        <v>1</v>
      </c>
      <c r="O45" s="2507" t="s">
        <v>541</v>
      </c>
      <c r="P45" s="182">
        <f>SUM(D45:I45,K45)</f>
        <v>0.13675380067567566</v>
      </c>
      <c r="Q45" s="1233"/>
      <c r="R45" s="3219">
        <f t="shared" ref="R45:R46" si="127">F45+G45</f>
        <v>6.9189189189189189E-3</v>
      </c>
      <c r="S45" s="3219">
        <f t="shared" ref="S45:S46" si="128">E45+H45+K45</f>
        <v>9.8170312499999995E-2</v>
      </c>
      <c r="T45" s="129">
        <f>C45</f>
        <v>5.2729999999999997</v>
      </c>
      <c r="U45" s="68">
        <f t="shared" si="125"/>
        <v>4.3885714285714285E-2</v>
      </c>
      <c r="V45" s="27">
        <f t="shared" si="125"/>
        <v>0</v>
      </c>
      <c r="W45" s="363">
        <f t="shared" si="125"/>
        <v>1.4628571428571428E-2</v>
      </c>
      <c r="X45" s="363">
        <f t="shared" si="125"/>
        <v>0</v>
      </c>
      <c r="Y45" s="363">
        <f t="shared" si="125"/>
        <v>0.18449785714285713</v>
      </c>
      <c r="Z45" s="28">
        <f t="shared" si="125"/>
        <v>2.3062232142857141E-2</v>
      </c>
      <c r="AA45" s="129">
        <f>J45</f>
        <v>26.367000000000001</v>
      </c>
      <c r="AB45" s="28">
        <f>K45*$K$3/$AB$3</f>
        <v>2.3062232142857141E-2</v>
      </c>
      <c r="AC45" s="364">
        <f>L45</f>
        <v>3</v>
      </c>
      <c r="AD45" s="182">
        <f>SUM(U45:Z45,AB45)</f>
        <v>0.2891366071428571</v>
      </c>
      <c r="AE45" s="1084"/>
      <c r="AF45" s="1166" t="s">
        <v>1381</v>
      </c>
      <c r="AG45" s="1087"/>
      <c r="AH45" s="1343">
        <f>1-SUM(AI45:AN45)</f>
        <v>0.15178193698603915</v>
      </c>
      <c r="AI45" s="1344">
        <f t="shared" si="126"/>
        <v>0</v>
      </c>
      <c r="AJ45" s="1345">
        <f t="shared" si="126"/>
        <v>5.0593978995346373E-2</v>
      </c>
      <c r="AK45" s="1345">
        <f t="shared" si="126"/>
        <v>0</v>
      </c>
      <c r="AL45" s="1345">
        <f t="shared" si="126"/>
        <v>0.63809926721489163</v>
      </c>
      <c r="AM45" s="1346">
        <f t="shared" si="126"/>
        <v>7.9762408401861454E-2</v>
      </c>
      <c r="AN45" s="1347">
        <f>K45/$P45</f>
        <v>7.9762408401861454E-2</v>
      </c>
      <c r="AO45" s="1084"/>
      <c r="AP45" s="2006" t="s">
        <v>877</v>
      </c>
      <c r="AQ45" s="2006"/>
      <c r="AR45" s="2006"/>
      <c r="AS45" s="2006"/>
      <c r="AT45" s="2006"/>
      <c r="AU45" s="2006"/>
      <c r="AV45" s="2006"/>
      <c r="AW45" s="2006"/>
      <c r="AX45" s="2006"/>
      <c r="AY45" s="2006"/>
      <c r="AZ45" s="2007"/>
      <c r="BA45" s="2007"/>
    </row>
    <row r="46" spans="1:55" ht="15" hidden="1" customHeight="1" outlineLevel="2" x14ac:dyDescent="0.2">
      <c r="A46" s="678" t="s">
        <v>1382</v>
      </c>
      <c r="B46" s="451">
        <v>10</v>
      </c>
      <c r="C46" s="155">
        <v>7.91</v>
      </c>
      <c r="D46" s="68">
        <v>2.0756756756756756E-2</v>
      </c>
      <c r="E46" s="27">
        <v>0</v>
      </c>
      <c r="F46" s="30">
        <v>6.9189189189189189E-3</v>
      </c>
      <c r="G46" s="2696">
        <v>0</v>
      </c>
      <c r="H46" s="1175">
        <v>0.13089374999999998</v>
      </c>
      <c r="I46" s="1176">
        <v>1.6361718749999997E-2</v>
      </c>
      <c r="J46" s="129">
        <v>39.551000000000002</v>
      </c>
      <c r="K46" s="28">
        <v>1.6361718749999997E-2</v>
      </c>
      <c r="L46" s="146">
        <v>3</v>
      </c>
      <c r="M46" s="571">
        <v>6</v>
      </c>
      <c r="N46" s="2293">
        <v>1</v>
      </c>
      <c r="O46" s="2507" t="s">
        <v>541</v>
      </c>
      <c r="P46" s="182">
        <f>SUM(D46:I46,K46)</f>
        <v>0.19129286317567565</v>
      </c>
      <c r="Q46" s="1084"/>
      <c r="R46" s="3219">
        <f t="shared" si="127"/>
        <v>6.9189189189189189E-3</v>
      </c>
      <c r="S46" s="3219">
        <f t="shared" si="128"/>
        <v>0.14725546874999998</v>
      </c>
      <c r="T46" s="129">
        <f>C46</f>
        <v>7.91</v>
      </c>
      <c r="U46" s="68">
        <f t="shared" si="125"/>
        <v>4.3885714285714285E-2</v>
      </c>
      <c r="V46" s="27">
        <f t="shared" si="125"/>
        <v>0</v>
      </c>
      <c r="W46" s="363">
        <f t="shared" si="125"/>
        <v>1.4628571428571428E-2</v>
      </c>
      <c r="X46" s="363">
        <f t="shared" si="125"/>
        <v>0</v>
      </c>
      <c r="Y46" s="363">
        <f t="shared" si="125"/>
        <v>0.27674678571428563</v>
      </c>
      <c r="Z46" s="28">
        <f t="shared" si="125"/>
        <v>3.4593348214285703E-2</v>
      </c>
      <c r="AA46" s="129">
        <f>J46</f>
        <v>39.551000000000002</v>
      </c>
      <c r="AB46" s="28">
        <f>K46*$K$3/$AB$3</f>
        <v>3.4593348214285703E-2</v>
      </c>
      <c r="AC46" s="364">
        <f>L46</f>
        <v>3</v>
      </c>
      <c r="AD46" s="182">
        <f>SUM(U46:Z46,AB46)</f>
        <v>0.40444776785714276</v>
      </c>
      <c r="AE46" s="1084"/>
      <c r="AF46" s="1166" t="s">
        <v>1382</v>
      </c>
      <c r="AG46" s="1087"/>
      <c r="AH46" s="1343">
        <f>1-SUM(AI46:AN46)</f>
        <v>0.10850774258992912</v>
      </c>
      <c r="AI46" s="1344">
        <f t="shared" si="126"/>
        <v>0</v>
      </c>
      <c r="AJ46" s="1345">
        <f t="shared" si="126"/>
        <v>3.6169247529976398E-2</v>
      </c>
      <c r="AK46" s="1345">
        <f t="shared" si="126"/>
        <v>0</v>
      </c>
      <c r="AL46" s="1345">
        <f t="shared" si="126"/>
        <v>0.68425840790407555</v>
      </c>
      <c r="AM46" s="1346">
        <f t="shared" si="126"/>
        <v>8.5532300988009444E-2</v>
      </c>
      <c r="AN46" s="1347">
        <f>K46/$P46</f>
        <v>8.5532300988009444E-2</v>
      </c>
      <c r="AO46" s="1084"/>
      <c r="AP46" s="2006"/>
      <c r="AQ46" s="2006"/>
      <c r="AR46" s="2006"/>
      <c r="AS46" s="2006"/>
      <c r="AT46" s="2006"/>
      <c r="AU46" s="2006"/>
      <c r="AV46" s="2006"/>
      <c r="AW46" s="2006"/>
      <c r="AX46" s="2006"/>
      <c r="AY46" s="2006"/>
      <c r="AZ46" s="2007"/>
      <c r="BA46" s="2007"/>
    </row>
    <row r="47" spans="1:55" ht="15" hidden="1" customHeight="1" outlineLevel="1" collapsed="1" x14ac:dyDescent="0.2">
      <c r="A47" s="457" t="s">
        <v>1310</v>
      </c>
      <c r="B47" s="450" t="str">
        <f t="shared" ref="B47:C47" si="129">B$6</f>
        <v>Trips</v>
      </c>
      <c r="C47" s="172" t="str">
        <f t="shared" si="129"/>
        <v>Mbpd</v>
      </c>
      <c r="D47" s="173" t="s">
        <v>303</v>
      </c>
      <c r="E47" s="173" t="s">
        <v>9</v>
      </c>
      <c r="F47" s="173" t="s">
        <v>304</v>
      </c>
      <c r="G47" s="2694" t="s">
        <v>970</v>
      </c>
      <c r="H47" s="173" t="s">
        <v>312</v>
      </c>
      <c r="I47" s="173" t="s">
        <v>330</v>
      </c>
      <c r="J47" s="173" t="s">
        <v>308</v>
      </c>
      <c r="K47" s="173" t="s">
        <v>309</v>
      </c>
      <c r="L47" s="178" t="s">
        <v>299</v>
      </c>
      <c r="M47" s="572" t="str">
        <f>M$6</f>
        <v>DPM/c</v>
      </c>
      <c r="N47" s="2292" t="str">
        <f>N$6</f>
        <v>MT</v>
      </c>
      <c r="O47" s="2506" t="str">
        <f>O$6</f>
        <v xml:space="preserve">WF </v>
      </c>
      <c r="P47" s="181" t="s">
        <v>273</v>
      </c>
      <c r="Q47" s="1084"/>
      <c r="R47" s="181"/>
      <c r="S47" s="181"/>
      <c r="T47" s="1270" t="s">
        <v>308</v>
      </c>
      <c r="U47" s="173" t="s">
        <v>303</v>
      </c>
      <c r="V47" s="173" t="str">
        <f>V$6</f>
        <v xml:space="preserve">WTS </v>
      </c>
      <c r="W47" s="173" t="str">
        <f>+W$6</f>
        <v>Web</v>
      </c>
      <c r="X47" s="173" t="str">
        <f>+X$6</f>
        <v>Portal</v>
      </c>
      <c r="Y47" s="173" t="s">
        <v>312</v>
      </c>
      <c r="Z47" s="173" t="s">
        <v>330</v>
      </c>
      <c r="AA47" s="173" t="s">
        <v>308</v>
      </c>
      <c r="AB47" s="173" t="s">
        <v>309</v>
      </c>
      <c r="AC47" s="178" t="s">
        <v>299</v>
      </c>
      <c r="AD47" s="181" t="s">
        <v>273</v>
      </c>
      <c r="AE47" s="1084"/>
      <c r="AF47" s="1168" t="s">
        <v>1283</v>
      </c>
      <c r="AG47" s="1087"/>
      <c r="AH47" s="1338" t="str">
        <f t="shared" ref="AH47:AM47" si="130">D47</f>
        <v>Client</v>
      </c>
      <c r="AI47" s="1339" t="str">
        <f t="shared" si="130"/>
        <v xml:space="preserve">WTS </v>
      </c>
      <c r="AJ47" s="1339" t="str">
        <f t="shared" si="130"/>
        <v>Web</v>
      </c>
      <c r="AK47" s="1339" t="str">
        <f t="shared" si="130"/>
        <v>Portal</v>
      </c>
      <c r="AL47" s="1340" t="str">
        <f t="shared" si="130"/>
        <v>SOC</v>
      </c>
      <c r="AM47" s="1341" t="str">
        <f t="shared" si="130"/>
        <v>SDE</v>
      </c>
      <c r="AN47" s="1342" t="str">
        <f>K47</f>
        <v>DBMS</v>
      </c>
      <c r="AO47" s="1084"/>
      <c r="AP47" s="2006"/>
      <c r="AQ47" s="2006"/>
      <c r="AR47" s="2006"/>
      <c r="AS47" s="2006"/>
      <c r="AT47" s="2006"/>
      <c r="AU47" s="2006"/>
      <c r="AV47" s="2006"/>
      <c r="AW47" s="2006"/>
      <c r="AX47" s="2006"/>
      <c r="AY47" s="2006"/>
      <c r="AZ47" s="2007"/>
      <c r="BA47" s="2007"/>
    </row>
    <row r="48" spans="1:55" ht="15" hidden="1" customHeight="1" outlineLevel="2" x14ac:dyDescent="0.2">
      <c r="A48" s="678" t="s">
        <v>1311</v>
      </c>
      <c r="B48" s="451">
        <v>1</v>
      </c>
      <c r="C48" s="155"/>
      <c r="D48" s="68">
        <v>0</v>
      </c>
      <c r="E48" s="27">
        <v>0.86486486486486491</v>
      </c>
      <c r="F48" s="30">
        <v>0</v>
      </c>
      <c r="G48" s="2696">
        <v>0</v>
      </c>
      <c r="H48" s="1175">
        <v>0</v>
      </c>
      <c r="I48" s="1176">
        <v>0</v>
      </c>
      <c r="J48" s="129">
        <v>0</v>
      </c>
      <c r="K48" s="28">
        <v>0</v>
      </c>
      <c r="L48" s="146">
        <v>0</v>
      </c>
      <c r="M48" s="571">
        <v>10</v>
      </c>
      <c r="N48" s="2293">
        <v>1</v>
      </c>
      <c r="O48" s="2507" t="s">
        <v>336</v>
      </c>
      <c r="P48" s="182">
        <f>SUM(D48:I48,K48)</f>
        <v>0.86486486486486491</v>
      </c>
      <c r="Q48" s="1233"/>
      <c r="R48" s="3219">
        <f t="shared" ref="R48" si="131">F48+G48</f>
        <v>0</v>
      </c>
      <c r="S48" s="3219">
        <f t="shared" ref="S48" si="132">E48+H48+K48</f>
        <v>0.86486486486486491</v>
      </c>
      <c r="T48" s="129">
        <f>C48</f>
        <v>0</v>
      </c>
      <c r="U48" s="68">
        <f t="shared" ref="U48:Z50" si="133">D48*$K$3/$AB$3</f>
        <v>0</v>
      </c>
      <c r="V48" s="27">
        <f t="shared" si="133"/>
        <v>1.8285714285714285</v>
      </c>
      <c r="W48" s="363">
        <f t="shared" si="133"/>
        <v>0</v>
      </c>
      <c r="X48" s="363">
        <f t="shared" si="133"/>
        <v>0</v>
      </c>
      <c r="Y48" s="363">
        <f t="shared" si="133"/>
        <v>0</v>
      </c>
      <c r="Z48" s="28">
        <f t="shared" si="133"/>
        <v>0</v>
      </c>
      <c r="AA48" s="129">
        <f>J48</f>
        <v>0</v>
      </c>
      <c r="AB48" s="28">
        <f>K48*$K$3/$AB$3</f>
        <v>0</v>
      </c>
      <c r="AC48" s="364">
        <f>L48</f>
        <v>0</v>
      </c>
      <c r="AD48" s="182">
        <f>SUM(U48:Z48,AB48)</f>
        <v>1.8285714285714285</v>
      </c>
      <c r="AE48" s="1084"/>
      <c r="AF48" s="1166" t="s">
        <v>1323</v>
      </c>
      <c r="AG48" s="1087"/>
      <c r="AH48" s="1343">
        <f>1-SUM(AI48:AN48)</f>
        <v>0</v>
      </c>
      <c r="AI48" s="1344">
        <f t="shared" ref="AI48:AM50" si="134">E48/$P48</f>
        <v>1</v>
      </c>
      <c r="AJ48" s="1345">
        <f t="shared" si="134"/>
        <v>0</v>
      </c>
      <c r="AK48" s="1345">
        <f t="shared" si="134"/>
        <v>0</v>
      </c>
      <c r="AL48" s="1345">
        <f t="shared" si="134"/>
        <v>0</v>
      </c>
      <c r="AM48" s="1346">
        <f t="shared" si="134"/>
        <v>0</v>
      </c>
      <c r="AN48" s="1347">
        <f>K48/$P48</f>
        <v>0</v>
      </c>
      <c r="AO48" s="1084"/>
      <c r="AP48" s="2006" t="s">
        <v>877</v>
      </c>
      <c r="AQ48" s="2006"/>
      <c r="AR48" s="2006"/>
      <c r="AS48" s="2006"/>
      <c r="AT48" s="2006"/>
      <c r="AU48" s="2006"/>
      <c r="AV48" s="2006"/>
      <c r="AW48" s="2006"/>
      <c r="AX48" s="2006"/>
      <c r="AY48" s="2006"/>
      <c r="AZ48" s="2007"/>
      <c r="BA48" s="2007"/>
    </row>
    <row r="49" spans="1:53" ht="15" hidden="1" customHeight="1" outlineLevel="2" x14ac:dyDescent="0.2">
      <c r="A49" s="678" t="s">
        <v>1312</v>
      </c>
      <c r="B49" s="451">
        <v>1</v>
      </c>
      <c r="C49" s="155"/>
      <c r="D49" s="68">
        <v>0</v>
      </c>
      <c r="E49" s="27">
        <v>0</v>
      </c>
      <c r="F49" s="30">
        <v>0</v>
      </c>
      <c r="G49" s="2696">
        <v>0</v>
      </c>
      <c r="H49" s="1175">
        <v>0.86486486486486491</v>
      </c>
      <c r="I49" s="1176">
        <v>0</v>
      </c>
      <c r="J49" s="129">
        <v>0</v>
      </c>
      <c r="K49" s="28">
        <v>0</v>
      </c>
      <c r="L49" s="146">
        <v>0</v>
      </c>
      <c r="M49" s="571">
        <v>6</v>
      </c>
      <c r="N49" s="2293">
        <v>1</v>
      </c>
      <c r="O49" s="2507" t="s">
        <v>332</v>
      </c>
      <c r="P49" s="182">
        <f>SUM(D49:I49,K49)</f>
        <v>0.86486486486486491</v>
      </c>
      <c r="Q49" s="1233"/>
      <c r="R49" s="3219">
        <f t="shared" ref="R49:R50" si="135">F49+G49</f>
        <v>0</v>
      </c>
      <c r="S49" s="3219">
        <f t="shared" ref="S49:S50" si="136">E49+H49+K49</f>
        <v>0.86486486486486491</v>
      </c>
      <c r="T49" s="129">
        <f>C49</f>
        <v>0</v>
      </c>
      <c r="U49" s="68">
        <f t="shared" si="133"/>
        <v>0</v>
      </c>
      <c r="V49" s="27">
        <f t="shared" si="133"/>
        <v>0</v>
      </c>
      <c r="W49" s="363">
        <f t="shared" si="133"/>
        <v>0</v>
      </c>
      <c r="X49" s="363">
        <f t="shared" si="133"/>
        <v>0</v>
      </c>
      <c r="Y49" s="363">
        <f t="shared" si="133"/>
        <v>1.8285714285714285</v>
      </c>
      <c r="Z49" s="28">
        <f t="shared" si="133"/>
        <v>0</v>
      </c>
      <c r="AA49" s="129">
        <f>J49</f>
        <v>0</v>
      </c>
      <c r="AB49" s="28">
        <f>K49*$K$3/$AB$3</f>
        <v>0</v>
      </c>
      <c r="AC49" s="364">
        <f>L49</f>
        <v>0</v>
      </c>
      <c r="AD49" s="182">
        <f>SUM(U49:Z49,AB49)</f>
        <v>1.8285714285714285</v>
      </c>
      <c r="AE49" s="1084"/>
      <c r="AF49" s="1166" t="s">
        <v>1324</v>
      </c>
      <c r="AG49" s="1087"/>
      <c r="AH49" s="1343">
        <f>1-SUM(AI49:AN49)</f>
        <v>0</v>
      </c>
      <c r="AI49" s="1344">
        <f t="shared" si="134"/>
        <v>0</v>
      </c>
      <c r="AJ49" s="1345">
        <f t="shared" si="134"/>
        <v>0</v>
      </c>
      <c r="AK49" s="1345">
        <f t="shared" si="134"/>
        <v>0</v>
      </c>
      <c r="AL49" s="1345">
        <f t="shared" si="134"/>
        <v>1</v>
      </c>
      <c r="AM49" s="1346">
        <f t="shared" si="134"/>
        <v>0</v>
      </c>
      <c r="AN49" s="1347">
        <f>K49/$P49</f>
        <v>0</v>
      </c>
      <c r="AO49" s="1084"/>
      <c r="AP49" s="2006" t="s">
        <v>877</v>
      </c>
      <c r="AQ49" s="2006"/>
      <c r="AR49" s="2006"/>
      <c r="AS49" s="2006"/>
      <c r="AT49" s="2006"/>
      <c r="AU49" s="2006"/>
      <c r="AV49" s="2006"/>
      <c r="AW49" s="2006"/>
      <c r="AX49" s="2006"/>
      <c r="AY49" s="2006"/>
      <c r="AZ49" s="2007"/>
      <c r="BA49" s="2007"/>
    </row>
    <row r="50" spans="1:53" ht="15" hidden="1" customHeight="1" outlineLevel="2" x14ac:dyDescent="0.2">
      <c r="A50" s="678" t="s">
        <v>1313</v>
      </c>
      <c r="B50" s="451">
        <v>1</v>
      </c>
      <c r="C50" s="155"/>
      <c r="D50" s="68">
        <v>0</v>
      </c>
      <c r="E50" s="27">
        <v>0</v>
      </c>
      <c r="F50" s="30">
        <v>0</v>
      </c>
      <c r="G50" s="2696">
        <v>0</v>
      </c>
      <c r="H50" s="1175">
        <v>0</v>
      </c>
      <c r="I50" s="1176">
        <v>0</v>
      </c>
      <c r="J50" s="129">
        <v>0</v>
      </c>
      <c r="K50" s="28">
        <v>0.86486486486486491</v>
      </c>
      <c r="L50" s="146">
        <v>0</v>
      </c>
      <c r="M50" s="571">
        <v>6</v>
      </c>
      <c r="N50" s="2293">
        <v>1</v>
      </c>
      <c r="O50" s="2507" t="s">
        <v>332</v>
      </c>
      <c r="P50" s="182">
        <f>SUM(D50:I50,K50)</f>
        <v>0.86486486486486491</v>
      </c>
      <c r="Q50" s="1084"/>
      <c r="R50" s="3219">
        <f t="shared" si="135"/>
        <v>0</v>
      </c>
      <c r="S50" s="3219">
        <f t="shared" si="136"/>
        <v>0.86486486486486491</v>
      </c>
      <c r="T50" s="129">
        <f>C50</f>
        <v>0</v>
      </c>
      <c r="U50" s="68">
        <f t="shared" si="133"/>
        <v>0</v>
      </c>
      <c r="V50" s="27">
        <f t="shared" si="133"/>
        <v>0</v>
      </c>
      <c r="W50" s="363">
        <f t="shared" si="133"/>
        <v>0</v>
      </c>
      <c r="X50" s="363">
        <f t="shared" si="133"/>
        <v>0</v>
      </c>
      <c r="Y50" s="363">
        <f t="shared" si="133"/>
        <v>0</v>
      </c>
      <c r="Z50" s="28">
        <f t="shared" si="133"/>
        <v>0</v>
      </c>
      <c r="AA50" s="129">
        <f>J50</f>
        <v>0</v>
      </c>
      <c r="AB50" s="28">
        <f>K50*$K$3/$AB$3</f>
        <v>1.8285714285714285</v>
      </c>
      <c r="AC50" s="364">
        <f>L50</f>
        <v>0</v>
      </c>
      <c r="AD50" s="182">
        <f>SUM(U50:Z50,AB50)</f>
        <v>1.8285714285714285</v>
      </c>
      <c r="AE50" s="1084"/>
      <c r="AF50" s="1166" t="s">
        <v>1325</v>
      </c>
      <c r="AG50" s="1087"/>
      <c r="AH50" s="1343">
        <f>1-SUM(AI50:AN50)</f>
        <v>0</v>
      </c>
      <c r="AI50" s="1344">
        <f t="shared" si="134"/>
        <v>0</v>
      </c>
      <c r="AJ50" s="1345">
        <f t="shared" si="134"/>
        <v>0</v>
      </c>
      <c r="AK50" s="1345">
        <f t="shared" si="134"/>
        <v>0</v>
      </c>
      <c r="AL50" s="1345">
        <f t="shared" si="134"/>
        <v>0</v>
      </c>
      <c r="AM50" s="1346">
        <f t="shared" si="134"/>
        <v>0</v>
      </c>
      <c r="AN50" s="1347">
        <f>K50/$P50</f>
        <v>1</v>
      </c>
      <c r="AO50" s="1084"/>
      <c r="AP50" s="2006"/>
      <c r="AQ50" s="2006"/>
      <c r="AR50" s="2006"/>
      <c r="AS50" s="2006"/>
      <c r="AT50" s="2006"/>
      <c r="AU50" s="2006"/>
      <c r="AV50" s="2006"/>
      <c r="AW50" s="2006"/>
      <c r="AX50" s="2006"/>
      <c r="AY50" s="2006"/>
      <c r="AZ50" s="2007"/>
      <c r="BA50" s="2007"/>
    </row>
    <row r="51" spans="1:53" ht="15" hidden="1" customHeight="1" outlineLevel="1" collapsed="1" x14ac:dyDescent="0.2">
      <c r="A51" s="1077" t="s">
        <v>204</v>
      </c>
      <c r="B51" s="1078" t="str">
        <f t="shared" ref="B51:K51" si="137">B$6</f>
        <v>Trips</v>
      </c>
      <c r="C51" s="1079" t="str">
        <f t="shared" si="137"/>
        <v>Mbpd</v>
      </c>
      <c r="D51" s="1080" t="str">
        <f t="shared" si="137"/>
        <v>Client</v>
      </c>
      <c r="E51" s="1080" t="str">
        <f>E$6</f>
        <v>Citrix</v>
      </c>
      <c r="F51" s="1080" t="str">
        <f t="shared" si="137"/>
        <v>Web</v>
      </c>
      <c r="G51" s="2693" t="str">
        <f t="shared" si="137"/>
        <v>Portal</v>
      </c>
      <c r="H51" s="1080" t="str">
        <f t="shared" si="137"/>
        <v>SOC</v>
      </c>
      <c r="I51" s="1080" t="str">
        <f t="shared" si="137"/>
        <v>DS/MDS</v>
      </c>
      <c r="J51" s="1080" t="str">
        <f t="shared" si="137"/>
        <v>Mbpd</v>
      </c>
      <c r="K51" s="1080" t="str">
        <f t="shared" si="137"/>
        <v>DBMS</v>
      </c>
      <c r="L51" s="1081" t="s">
        <v>299</v>
      </c>
      <c r="M51" s="1082" t="str">
        <f>M$6</f>
        <v>DPM/c</v>
      </c>
      <c r="N51" s="2291" t="str">
        <f>N$6</f>
        <v>MT</v>
      </c>
      <c r="O51" s="2859" t="str">
        <f>O$6</f>
        <v xml:space="preserve">WF </v>
      </c>
      <c r="P51" s="1083" t="s">
        <v>273</v>
      </c>
      <c r="Q51" s="1084"/>
      <c r="R51" s="181"/>
      <c r="S51" s="181"/>
      <c r="T51" s="1269" t="s">
        <v>308</v>
      </c>
      <c r="U51" s="1080" t="s">
        <v>303</v>
      </c>
      <c r="V51" s="1080" t="s">
        <v>9</v>
      </c>
      <c r="W51" s="1080" t="str">
        <f>+W$6</f>
        <v>Web</v>
      </c>
      <c r="X51" s="1080" t="str">
        <f>+X$6</f>
        <v>Portal</v>
      </c>
      <c r="Y51" s="1080" t="s">
        <v>312</v>
      </c>
      <c r="Z51" s="1080" t="s">
        <v>330</v>
      </c>
      <c r="AA51" s="1080" t="s">
        <v>308</v>
      </c>
      <c r="AB51" s="1080" t="s">
        <v>309</v>
      </c>
      <c r="AC51" s="1081" t="s">
        <v>299</v>
      </c>
      <c r="AD51" s="1083" t="s">
        <v>273</v>
      </c>
      <c r="AE51" s="1084"/>
      <c r="AF51" s="1086" t="str">
        <f>A51</f>
        <v>Sample Workflows ========</v>
      </c>
      <c r="AG51" s="1087"/>
      <c r="AH51" s="1334" t="str">
        <f t="shared" ref="AH51:AM51" si="138">D51</f>
        <v>Client</v>
      </c>
      <c r="AI51" s="1085" t="str">
        <f t="shared" si="138"/>
        <v>Citrix</v>
      </c>
      <c r="AJ51" s="1085" t="str">
        <f t="shared" si="138"/>
        <v>Web</v>
      </c>
      <c r="AK51" s="1085" t="str">
        <f t="shared" si="138"/>
        <v>Portal</v>
      </c>
      <c r="AL51" s="1335" t="str">
        <f t="shared" si="138"/>
        <v>SOC</v>
      </c>
      <c r="AM51" s="1336" t="str">
        <f t="shared" si="138"/>
        <v>DS/MDS</v>
      </c>
      <c r="AN51" s="1337" t="str">
        <f>K51</f>
        <v>DBMS</v>
      </c>
      <c r="AO51" s="1084"/>
      <c r="AP51" s="2006"/>
      <c r="AQ51" s="2006"/>
      <c r="AR51" s="2006"/>
      <c r="AS51" s="2006"/>
      <c r="AT51" s="2006"/>
      <c r="AU51" s="2006"/>
      <c r="AV51" s="2006"/>
      <c r="AW51" s="2006"/>
      <c r="AX51" s="2006"/>
      <c r="AY51" s="2006"/>
      <c r="AZ51" s="2007"/>
      <c r="BA51" s="2007"/>
    </row>
    <row r="52" spans="1:53" ht="15" hidden="1" customHeight="1" outlineLevel="2" x14ac:dyDescent="0.2">
      <c r="A52" s="458" t="s">
        <v>209</v>
      </c>
      <c r="B52" s="451">
        <v>200</v>
      </c>
      <c r="C52" s="155">
        <v>39</v>
      </c>
      <c r="D52" s="68">
        <v>0.24025349487418457</v>
      </c>
      <c r="E52" s="27">
        <v>0</v>
      </c>
      <c r="F52" s="29">
        <v>0</v>
      </c>
      <c r="G52" s="2695">
        <v>0</v>
      </c>
      <c r="H52" s="29">
        <v>0</v>
      </c>
      <c r="I52" s="28">
        <v>3.0031686859273071E-2</v>
      </c>
      <c r="J52" s="129">
        <v>10</v>
      </c>
      <c r="K52" s="28">
        <v>3.0031686859273071E-2</v>
      </c>
      <c r="L52" s="146">
        <v>3</v>
      </c>
      <c r="M52" s="571">
        <v>10</v>
      </c>
      <c r="N52" s="2293">
        <v>1</v>
      </c>
      <c r="O52" s="2507" t="s">
        <v>336</v>
      </c>
      <c r="P52" s="182">
        <f t="shared" ref="P52:P63" si="139">SUM(D52:I52,K52)</f>
        <v>0.30031686859273066</v>
      </c>
      <c r="Q52" s="1233"/>
      <c r="R52" s="3219">
        <f t="shared" ref="R52" si="140">F52+G52</f>
        <v>0</v>
      </c>
      <c r="S52" s="3219">
        <f t="shared" ref="S52" si="141">E52+H52+K52</f>
        <v>3.0031686859273071E-2</v>
      </c>
      <c r="T52" s="129">
        <f t="shared" ref="T52:T63" si="142">C52</f>
        <v>39</v>
      </c>
      <c r="U52" s="68">
        <f t="shared" ref="U52:U63" si="143">D52*$K$3/$AB$3</f>
        <v>0.50796453201970448</v>
      </c>
      <c r="V52" s="27">
        <f t="shared" ref="V52:V63" si="144">E52*$K$3/$AB$3</f>
        <v>0</v>
      </c>
      <c r="W52" s="363">
        <f t="shared" ref="W52:W63" si="145">F52*$K$3/$AB$3</f>
        <v>0</v>
      </c>
      <c r="X52" s="363">
        <f t="shared" ref="X52:X63" si="146">G52*$K$3/$AB$3</f>
        <v>0</v>
      </c>
      <c r="Y52" s="363">
        <f t="shared" ref="Y52:Y63" si="147">H52*$K$3/$AB$3</f>
        <v>0</v>
      </c>
      <c r="Z52" s="28">
        <f t="shared" ref="Z52:Z63" si="148">I52*$K$3/$AB$3</f>
        <v>6.3495566502463061E-2</v>
      </c>
      <c r="AA52" s="129">
        <f t="shared" ref="AA52:AA63" si="149">J52</f>
        <v>10</v>
      </c>
      <c r="AB52" s="28">
        <f t="shared" ref="AB52:AB63" si="150">K52*$K$3/$AB$3</f>
        <v>6.3495566502463061E-2</v>
      </c>
      <c r="AC52" s="364">
        <f t="shared" ref="AC52:AC63" si="151">L52</f>
        <v>3</v>
      </c>
      <c r="AD52" s="182">
        <f t="shared" ref="AD52:AD63" si="152">SUM(U52:Z52,AB52)</f>
        <v>0.63495566502463052</v>
      </c>
      <c r="AE52" s="1084"/>
      <c r="AF52" s="463" t="s">
        <v>144</v>
      </c>
      <c r="AG52" s="1087"/>
      <c r="AH52" s="1343">
        <f>1-SUM(AI52:AN52)</f>
        <v>0.79999999999999993</v>
      </c>
      <c r="AI52" s="1344">
        <f t="shared" ref="AI52:AI71" si="153">E52/$P52</f>
        <v>0</v>
      </c>
      <c r="AJ52" s="1345">
        <f t="shared" ref="AJ52:AJ71" si="154">F52/$P52</f>
        <v>0</v>
      </c>
      <c r="AK52" s="1345">
        <f t="shared" ref="AK52:AK71" si="155">G52/$P52</f>
        <v>0</v>
      </c>
      <c r="AL52" s="1345">
        <f t="shared" ref="AL52:AL71" si="156">H52/$P52</f>
        <v>0</v>
      </c>
      <c r="AM52" s="1346">
        <f t="shared" ref="AM52:AM71" si="157">I52/$P52</f>
        <v>0.10000000000000002</v>
      </c>
      <c r="AN52" s="1347">
        <f t="shared" ref="AN52:AN71" si="158">K52/$P52</f>
        <v>0.10000000000000002</v>
      </c>
      <c r="AO52" s="1084"/>
      <c r="AP52" s="2006"/>
      <c r="AQ52" s="2006"/>
      <c r="AR52" s="2006"/>
      <c r="AS52" s="2006"/>
      <c r="AT52" s="2006"/>
      <c r="AU52" s="2006"/>
      <c r="AV52" s="2006"/>
      <c r="AW52" s="2006"/>
      <c r="AX52" s="2006"/>
      <c r="AY52" s="2006"/>
      <c r="AZ52" s="2007"/>
      <c r="BA52" s="2007"/>
    </row>
    <row r="53" spans="1:53" ht="15" hidden="1" customHeight="1" outlineLevel="2" x14ac:dyDescent="0.2">
      <c r="A53" s="458" t="s">
        <v>210</v>
      </c>
      <c r="B53" s="451">
        <v>200</v>
      </c>
      <c r="C53" s="155">
        <v>26</v>
      </c>
      <c r="D53" s="68">
        <v>0.24025349487418457</v>
      </c>
      <c r="E53" s="27">
        <v>0</v>
      </c>
      <c r="F53" s="29">
        <v>0</v>
      </c>
      <c r="G53" s="2695">
        <v>0</v>
      </c>
      <c r="H53" s="29">
        <v>0</v>
      </c>
      <c r="I53" s="28">
        <v>3.0031686859273071E-2</v>
      </c>
      <c r="J53" s="129">
        <v>10</v>
      </c>
      <c r="K53" s="28">
        <v>3.0031686859273071E-2</v>
      </c>
      <c r="L53" s="146">
        <v>3</v>
      </c>
      <c r="M53" s="571">
        <v>10</v>
      </c>
      <c r="N53" s="2293">
        <v>1</v>
      </c>
      <c r="O53" s="2507" t="s">
        <v>336</v>
      </c>
      <c r="P53" s="182">
        <f t="shared" si="139"/>
        <v>0.30031686859273066</v>
      </c>
      <c r="Q53" s="1084"/>
      <c r="R53" s="3219">
        <f t="shared" ref="R53:R71" si="159">F53+G53</f>
        <v>0</v>
      </c>
      <c r="S53" s="3219">
        <f t="shared" ref="S53:S71" si="160">E53+H53+K53</f>
        <v>3.0031686859273071E-2</v>
      </c>
      <c r="T53" s="129">
        <f t="shared" si="142"/>
        <v>26</v>
      </c>
      <c r="U53" s="68">
        <f t="shared" si="143"/>
        <v>0.50796453201970448</v>
      </c>
      <c r="V53" s="27">
        <f t="shared" si="144"/>
        <v>0</v>
      </c>
      <c r="W53" s="363">
        <f t="shared" si="145"/>
        <v>0</v>
      </c>
      <c r="X53" s="363">
        <f t="shared" si="146"/>
        <v>0</v>
      </c>
      <c r="Y53" s="363">
        <f t="shared" si="147"/>
        <v>0</v>
      </c>
      <c r="Z53" s="28">
        <f t="shared" si="148"/>
        <v>6.3495566502463061E-2</v>
      </c>
      <c r="AA53" s="129">
        <f t="shared" si="149"/>
        <v>10</v>
      </c>
      <c r="AB53" s="28">
        <f t="shared" si="150"/>
        <v>6.3495566502463061E-2</v>
      </c>
      <c r="AC53" s="364">
        <f t="shared" si="151"/>
        <v>3</v>
      </c>
      <c r="AD53" s="182">
        <f t="shared" si="152"/>
        <v>0.63495566502463052</v>
      </c>
      <c r="AE53" s="1084"/>
      <c r="AF53" s="463" t="s">
        <v>144</v>
      </c>
      <c r="AG53" s="1087"/>
      <c r="AH53" s="1343">
        <f>1-SUM(AI53:AN53)</f>
        <v>0.79999999999999993</v>
      </c>
      <c r="AI53" s="1344">
        <f t="shared" si="153"/>
        <v>0</v>
      </c>
      <c r="AJ53" s="1345">
        <f t="shared" si="154"/>
        <v>0</v>
      </c>
      <c r="AK53" s="1345">
        <f t="shared" si="155"/>
        <v>0</v>
      </c>
      <c r="AL53" s="1345">
        <f t="shared" si="156"/>
        <v>0</v>
      </c>
      <c r="AM53" s="1346">
        <f t="shared" si="157"/>
        <v>0.10000000000000002</v>
      </c>
      <c r="AN53" s="1347">
        <f t="shared" si="158"/>
        <v>0.10000000000000002</v>
      </c>
      <c r="AO53" s="1084"/>
      <c r="AP53" s="2006"/>
      <c r="AQ53" s="2006"/>
      <c r="AR53" s="2006"/>
      <c r="AS53" s="2006"/>
      <c r="AT53" s="2006"/>
      <c r="AU53" s="2006"/>
      <c r="AV53" s="2006"/>
      <c r="AW53" s="2006"/>
      <c r="AX53" s="2006"/>
      <c r="AY53" s="2006"/>
      <c r="AZ53" s="2007"/>
      <c r="BA53" s="2007"/>
    </row>
    <row r="54" spans="1:53" ht="15" hidden="1" customHeight="1" outlineLevel="2" x14ac:dyDescent="0.2">
      <c r="A54" s="458" t="s">
        <v>211</v>
      </c>
      <c r="B54" s="451">
        <v>10</v>
      </c>
      <c r="C54" s="155">
        <v>7.5</v>
      </c>
      <c r="D54" s="68">
        <v>2.5289841565703634E-2</v>
      </c>
      <c r="E54" s="27">
        <v>0.24025349487418457</v>
      </c>
      <c r="F54" s="29">
        <v>0</v>
      </c>
      <c r="G54" s="2695">
        <v>0</v>
      </c>
      <c r="H54" s="29">
        <v>0</v>
      </c>
      <c r="I54" s="28">
        <v>3.0031686859273071E-2</v>
      </c>
      <c r="J54" s="129">
        <v>10</v>
      </c>
      <c r="K54" s="28">
        <v>3.0031686859273071E-2</v>
      </c>
      <c r="L54" s="146">
        <v>3</v>
      </c>
      <c r="M54" s="571">
        <v>10</v>
      </c>
      <c r="N54" s="2293">
        <v>1</v>
      </c>
      <c r="O54" s="2507" t="s">
        <v>336</v>
      </c>
      <c r="P54" s="182">
        <f t="shared" si="139"/>
        <v>0.32560671015843434</v>
      </c>
      <c r="Q54" s="1084"/>
      <c r="R54" s="3219">
        <f t="shared" si="159"/>
        <v>0</v>
      </c>
      <c r="S54" s="3219">
        <f t="shared" si="160"/>
        <v>0.27028518173345761</v>
      </c>
      <c r="T54" s="129">
        <f t="shared" si="142"/>
        <v>7.5</v>
      </c>
      <c r="U54" s="68">
        <f t="shared" si="143"/>
        <v>5.3469950738916257E-2</v>
      </c>
      <c r="V54" s="27">
        <f t="shared" si="144"/>
        <v>0.50796453201970448</v>
      </c>
      <c r="W54" s="363">
        <f t="shared" si="145"/>
        <v>0</v>
      </c>
      <c r="X54" s="363">
        <f t="shared" si="146"/>
        <v>0</v>
      </c>
      <c r="Y54" s="363">
        <f t="shared" si="147"/>
        <v>0</v>
      </c>
      <c r="Z54" s="28">
        <f t="shared" si="148"/>
        <v>6.3495566502463061E-2</v>
      </c>
      <c r="AA54" s="129">
        <f t="shared" si="149"/>
        <v>10</v>
      </c>
      <c r="AB54" s="28">
        <f t="shared" si="150"/>
        <v>6.3495566502463061E-2</v>
      </c>
      <c r="AC54" s="364">
        <f t="shared" si="151"/>
        <v>3</v>
      </c>
      <c r="AD54" s="182">
        <f t="shared" si="152"/>
        <v>0.68842561576354677</v>
      </c>
      <c r="AE54" s="1084"/>
      <c r="AF54" s="463" t="s">
        <v>145</v>
      </c>
      <c r="AG54" s="1087"/>
      <c r="AH54" s="1343">
        <f>1-SUM(AI54:AN54)</f>
        <v>7.7669902912621436E-2</v>
      </c>
      <c r="AI54" s="1344">
        <f t="shared" si="153"/>
        <v>0.73786407766990292</v>
      </c>
      <c r="AJ54" s="1345">
        <f t="shared" si="154"/>
        <v>0</v>
      </c>
      <c r="AK54" s="1345">
        <f t="shared" si="155"/>
        <v>0</v>
      </c>
      <c r="AL54" s="1345">
        <f t="shared" si="156"/>
        <v>0</v>
      </c>
      <c r="AM54" s="1346">
        <f t="shared" si="157"/>
        <v>9.2233009708737865E-2</v>
      </c>
      <c r="AN54" s="1347">
        <f t="shared" si="158"/>
        <v>9.2233009708737865E-2</v>
      </c>
      <c r="AO54" s="1084"/>
      <c r="AP54" s="2006"/>
      <c r="AQ54" s="2006"/>
      <c r="AR54" s="2006"/>
      <c r="AS54" s="2006"/>
      <c r="AT54" s="2006"/>
      <c r="AU54" s="2006"/>
      <c r="AV54" s="2006"/>
      <c r="AW54" s="2006"/>
      <c r="AX54" s="2006"/>
      <c r="AY54" s="2006"/>
      <c r="AZ54" s="2007"/>
      <c r="BA54" s="2007"/>
    </row>
    <row r="55" spans="1:53" ht="15" hidden="1" customHeight="1" outlineLevel="2" x14ac:dyDescent="0.2">
      <c r="A55" s="458" t="s">
        <v>212</v>
      </c>
      <c r="B55" s="451">
        <v>10</v>
      </c>
      <c r="C55" s="155">
        <v>5.2</v>
      </c>
      <c r="D55" s="68">
        <v>2.5289841565703634E-2</v>
      </c>
      <c r="E55" s="27">
        <v>0.24025349487418457</v>
      </c>
      <c r="F55" s="29">
        <v>0</v>
      </c>
      <c r="G55" s="2695">
        <v>0</v>
      </c>
      <c r="H55" s="29">
        <v>0</v>
      </c>
      <c r="I55" s="28">
        <v>3.0031686859273071E-2</v>
      </c>
      <c r="J55" s="129">
        <v>10</v>
      </c>
      <c r="K55" s="28">
        <v>3.0031686859273071E-2</v>
      </c>
      <c r="L55" s="146">
        <v>3</v>
      </c>
      <c r="M55" s="571">
        <v>10</v>
      </c>
      <c r="N55" s="2293">
        <v>1</v>
      </c>
      <c r="O55" s="2507" t="s">
        <v>336</v>
      </c>
      <c r="P55" s="182">
        <f t="shared" si="139"/>
        <v>0.32560671015843434</v>
      </c>
      <c r="Q55" s="1084"/>
      <c r="R55" s="3219">
        <f t="shared" si="159"/>
        <v>0</v>
      </c>
      <c r="S55" s="3219">
        <f t="shared" si="160"/>
        <v>0.27028518173345761</v>
      </c>
      <c r="T55" s="129">
        <f t="shared" si="142"/>
        <v>5.2</v>
      </c>
      <c r="U55" s="68">
        <f t="shared" si="143"/>
        <v>5.3469950738916257E-2</v>
      </c>
      <c r="V55" s="27">
        <f t="shared" si="144"/>
        <v>0.50796453201970448</v>
      </c>
      <c r="W55" s="363">
        <f t="shared" si="145"/>
        <v>0</v>
      </c>
      <c r="X55" s="363">
        <f t="shared" si="146"/>
        <v>0</v>
      </c>
      <c r="Y55" s="363">
        <f t="shared" si="147"/>
        <v>0</v>
      </c>
      <c r="Z55" s="28">
        <f t="shared" si="148"/>
        <v>6.3495566502463061E-2</v>
      </c>
      <c r="AA55" s="129">
        <f t="shared" si="149"/>
        <v>10</v>
      </c>
      <c r="AB55" s="28">
        <f t="shared" si="150"/>
        <v>6.3495566502463061E-2</v>
      </c>
      <c r="AC55" s="364">
        <f t="shared" si="151"/>
        <v>3</v>
      </c>
      <c r="AD55" s="182">
        <f t="shared" si="152"/>
        <v>0.68842561576354677</v>
      </c>
      <c r="AE55" s="1084"/>
      <c r="AF55" s="463" t="s">
        <v>145</v>
      </c>
      <c r="AG55" s="1087"/>
      <c r="AH55" s="1343">
        <f t="shared" ref="AH55:AH71" si="161">1-SUM(AI55:AN55)</f>
        <v>7.7669902912621436E-2</v>
      </c>
      <c r="AI55" s="1344">
        <f t="shared" si="153"/>
        <v>0.73786407766990292</v>
      </c>
      <c r="AJ55" s="1345">
        <f t="shared" si="154"/>
        <v>0</v>
      </c>
      <c r="AK55" s="1345">
        <f t="shared" si="155"/>
        <v>0</v>
      </c>
      <c r="AL55" s="1345">
        <f t="shared" si="156"/>
        <v>0</v>
      </c>
      <c r="AM55" s="1346">
        <f t="shared" si="157"/>
        <v>9.2233009708737865E-2</v>
      </c>
      <c r="AN55" s="1347">
        <f t="shared" si="158"/>
        <v>9.2233009708737865E-2</v>
      </c>
      <c r="AO55" s="1084"/>
      <c r="AP55" s="2006"/>
      <c r="AQ55" s="2006"/>
      <c r="AR55" s="2006"/>
      <c r="AS55" s="2006"/>
      <c r="AT55" s="2006"/>
      <c r="AU55" s="2006"/>
      <c r="AV55" s="2006"/>
      <c r="AW55" s="2006"/>
      <c r="AX55" s="2006"/>
      <c r="AY55" s="2006"/>
      <c r="AZ55" s="2007"/>
      <c r="BA55" s="2007"/>
    </row>
    <row r="56" spans="1:53" ht="15" hidden="1" customHeight="1" outlineLevel="2" x14ac:dyDescent="0.2">
      <c r="A56" s="459" t="s">
        <v>583</v>
      </c>
      <c r="B56" s="451">
        <v>10</v>
      </c>
      <c r="C56" s="155">
        <v>2</v>
      </c>
      <c r="D56" s="68">
        <v>2.5289841565703634E-2</v>
      </c>
      <c r="E56" s="60">
        <v>0</v>
      </c>
      <c r="F56" s="29">
        <v>8.2191985088536819E-3</v>
      </c>
      <c r="G56" s="2655">
        <v>0</v>
      </c>
      <c r="H56" s="29">
        <v>0.16438397017707365</v>
      </c>
      <c r="I56" s="28">
        <v>2.0547996272134206E-2</v>
      </c>
      <c r="J56" s="129">
        <v>10</v>
      </c>
      <c r="K56" s="28">
        <v>2.0547996272134206E-2</v>
      </c>
      <c r="L56" s="146">
        <v>0</v>
      </c>
      <c r="M56" s="571">
        <v>6</v>
      </c>
      <c r="N56" s="2293">
        <v>1</v>
      </c>
      <c r="O56" s="2507" t="s">
        <v>332</v>
      </c>
      <c r="P56" s="182">
        <f>SUM(D56:I56,K56)</f>
        <v>0.23898900279589941</v>
      </c>
      <c r="Q56" s="1084"/>
      <c r="R56" s="3219">
        <f t="shared" si="159"/>
        <v>8.2191985088536819E-3</v>
      </c>
      <c r="S56" s="3219">
        <f t="shared" si="160"/>
        <v>0.18493196644920787</v>
      </c>
      <c r="T56" s="129">
        <f t="shared" si="142"/>
        <v>2</v>
      </c>
      <c r="U56" s="68">
        <f t="shared" si="143"/>
        <v>5.3469950738916257E-2</v>
      </c>
      <c r="V56" s="27">
        <f t="shared" si="144"/>
        <v>0</v>
      </c>
      <c r="W56" s="363">
        <f t="shared" si="145"/>
        <v>1.7377733990147786E-2</v>
      </c>
      <c r="X56" s="363">
        <f t="shared" si="146"/>
        <v>0</v>
      </c>
      <c r="Y56" s="363">
        <f t="shared" si="147"/>
        <v>0.34755467980295573</v>
      </c>
      <c r="Z56" s="28">
        <f t="shared" si="148"/>
        <v>4.3444334975369467E-2</v>
      </c>
      <c r="AA56" s="129">
        <f t="shared" si="149"/>
        <v>10</v>
      </c>
      <c r="AB56" s="28">
        <f t="shared" si="150"/>
        <v>4.3444334975369467E-2</v>
      </c>
      <c r="AC56" s="364">
        <f t="shared" si="151"/>
        <v>0</v>
      </c>
      <c r="AD56" s="182">
        <f>SUM(U56:Z56,AB56)</f>
        <v>0.50529103448275869</v>
      </c>
      <c r="AE56" s="1084"/>
      <c r="AF56" s="462" t="s">
        <v>932</v>
      </c>
      <c r="AG56" s="1087"/>
      <c r="AH56" s="1343">
        <f t="shared" si="161"/>
        <v>0.10582010582010593</v>
      </c>
      <c r="AI56" s="1344">
        <f t="shared" si="153"/>
        <v>0</v>
      </c>
      <c r="AJ56" s="1345">
        <f t="shared" si="154"/>
        <v>3.4391534391534383E-2</v>
      </c>
      <c r="AK56" s="1345">
        <f t="shared" si="155"/>
        <v>0</v>
      </c>
      <c r="AL56" s="1345">
        <f t="shared" si="156"/>
        <v>0.68783068783068779</v>
      </c>
      <c r="AM56" s="1346">
        <f t="shared" si="157"/>
        <v>8.5978835978835974E-2</v>
      </c>
      <c r="AN56" s="1347">
        <f t="shared" si="158"/>
        <v>8.5978835978835974E-2</v>
      </c>
      <c r="AO56" s="1084"/>
      <c r="AP56" s="2006"/>
      <c r="AQ56" s="2006"/>
      <c r="AR56" s="2006"/>
      <c r="AS56" s="2006"/>
      <c r="AT56" s="2006"/>
      <c r="AU56" s="2006"/>
      <c r="AV56" s="2006"/>
      <c r="AW56" s="2006"/>
      <c r="AX56" s="2006"/>
      <c r="AY56" s="2006"/>
      <c r="AZ56" s="2007"/>
      <c r="BA56" s="2007"/>
    </row>
    <row r="57" spans="1:53" ht="15" hidden="1" customHeight="1" outlineLevel="2" x14ac:dyDescent="0.2">
      <c r="A57" s="459" t="s">
        <v>213</v>
      </c>
      <c r="B57" s="451">
        <v>10</v>
      </c>
      <c r="C57" s="155">
        <v>2</v>
      </c>
      <c r="D57" s="68">
        <v>2.5289841565703634E-2</v>
      </c>
      <c r="E57" s="60">
        <v>0</v>
      </c>
      <c r="F57" s="29">
        <v>8.2191985088536819E-3</v>
      </c>
      <c r="G57" s="2655">
        <v>0</v>
      </c>
      <c r="H57" s="29">
        <v>0.16438397017707365</v>
      </c>
      <c r="I57" s="28">
        <v>2.0547996272134206E-2</v>
      </c>
      <c r="J57" s="129">
        <v>10</v>
      </c>
      <c r="K57" s="28">
        <v>2.0547996272134206E-2</v>
      </c>
      <c r="L57" s="146">
        <v>3</v>
      </c>
      <c r="M57" s="571">
        <v>6</v>
      </c>
      <c r="N57" s="2293">
        <v>1</v>
      </c>
      <c r="O57" s="2507" t="s">
        <v>332</v>
      </c>
      <c r="P57" s="182">
        <f t="shared" si="139"/>
        <v>0.23898900279589941</v>
      </c>
      <c r="Q57" s="1084"/>
      <c r="R57" s="3219">
        <f t="shared" si="159"/>
        <v>8.2191985088536819E-3</v>
      </c>
      <c r="S57" s="3219">
        <f t="shared" si="160"/>
        <v>0.18493196644920787</v>
      </c>
      <c r="T57" s="129">
        <f t="shared" si="142"/>
        <v>2</v>
      </c>
      <c r="U57" s="68">
        <f t="shared" si="143"/>
        <v>5.3469950738916257E-2</v>
      </c>
      <c r="V57" s="27">
        <f t="shared" si="144"/>
        <v>0</v>
      </c>
      <c r="W57" s="363">
        <f t="shared" si="145"/>
        <v>1.7377733990147786E-2</v>
      </c>
      <c r="X57" s="363">
        <f t="shared" si="146"/>
        <v>0</v>
      </c>
      <c r="Y57" s="363">
        <f t="shared" si="147"/>
        <v>0.34755467980295573</v>
      </c>
      <c r="Z57" s="28">
        <f t="shared" si="148"/>
        <v>4.3444334975369467E-2</v>
      </c>
      <c r="AA57" s="129">
        <f t="shared" si="149"/>
        <v>10</v>
      </c>
      <c r="AB57" s="28">
        <f t="shared" si="150"/>
        <v>4.3444334975369467E-2</v>
      </c>
      <c r="AC57" s="364">
        <f t="shared" si="151"/>
        <v>3</v>
      </c>
      <c r="AD57" s="182">
        <f t="shared" si="152"/>
        <v>0.50529103448275869</v>
      </c>
      <c r="AE57" s="1084"/>
      <c r="AF57" s="462" t="s">
        <v>932</v>
      </c>
      <c r="AG57" s="1087"/>
      <c r="AH57" s="1343">
        <f t="shared" si="161"/>
        <v>0.10582010582010593</v>
      </c>
      <c r="AI57" s="1344">
        <f t="shared" si="153"/>
        <v>0</v>
      </c>
      <c r="AJ57" s="1345">
        <f t="shared" si="154"/>
        <v>3.4391534391534383E-2</v>
      </c>
      <c r="AK57" s="1345">
        <f t="shared" si="155"/>
        <v>0</v>
      </c>
      <c r="AL57" s="1345">
        <f t="shared" si="156"/>
        <v>0.68783068783068779</v>
      </c>
      <c r="AM57" s="1346">
        <f t="shared" si="157"/>
        <v>8.5978835978835974E-2</v>
      </c>
      <c r="AN57" s="1347">
        <f t="shared" si="158"/>
        <v>8.5978835978835974E-2</v>
      </c>
      <c r="AO57" s="1084"/>
      <c r="AP57" s="2006"/>
      <c r="AQ57" s="2006"/>
      <c r="AR57" s="2006"/>
      <c r="AS57" s="2006"/>
      <c r="AT57" s="2006"/>
      <c r="AU57" s="2006"/>
      <c r="AV57" s="2006"/>
      <c r="AW57" s="2006"/>
      <c r="AX57" s="2006"/>
      <c r="AY57" s="2006"/>
      <c r="AZ57" s="2007"/>
      <c r="BA57" s="2007"/>
    </row>
    <row r="58" spans="1:53" ht="16" hidden="1" outlineLevel="2" x14ac:dyDescent="0.2">
      <c r="A58" s="678" t="s">
        <v>214</v>
      </c>
      <c r="B58" s="451">
        <v>10</v>
      </c>
      <c r="C58" s="1189">
        <v>2</v>
      </c>
      <c r="D58" s="1190">
        <v>2.5289841565703634E-2</v>
      </c>
      <c r="E58" s="27">
        <v>0</v>
      </c>
      <c r="F58" s="29">
        <v>8.2191985088536819E-3</v>
      </c>
      <c r="G58" s="2696">
        <v>0</v>
      </c>
      <c r="H58" s="360">
        <v>6.4779364224137907E-3</v>
      </c>
      <c r="I58" s="28">
        <v>8.0974205280172384E-4</v>
      </c>
      <c r="J58" s="129">
        <v>0.49999999999999989</v>
      </c>
      <c r="K58" s="28">
        <v>8.0974205280172384E-4</v>
      </c>
      <c r="L58" s="146">
        <v>3</v>
      </c>
      <c r="M58" s="571">
        <v>6</v>
      </c>
      <c r="N58" s="2293">
        <v>1</v>
      </c>
      <c r="O58" s="2507" t="s">
        <v>332</v>
      </c>
      <c r="P58" s="182">
        <f t="shared" si="139"/>
        <v>4.1606460602574551E-2</v>
      </c>
      <c r="Q58" s="1084"/>
      <c r="R58" s="3219">
        <f t="shared" si="159"/>
        <v>8.2191985088536819E-3</v>
      </c>
      <c r="S58" s="3219">
        <f t="shared" si="160"/>
        <v>7.2876784752155142E-3</v>
      </c>
      <c r="T58" s="129">
        <f t="shared" si="142"/>
        <v>2</v>
      </c>
      <c r="U58" s="68">
        <f t="shared" si="143"/>
        <v>5.3469950738916257E-2</v>
      </c>
      <c r="V58" s="27">
        <f t="shared" si="144"/>
        <v>0</v>
      </c>
      <c r="W58" s="363">
        <f t="shared" si="145"/>
        <v>1.7377733990147786E-2</v>
      </c>
      <c r="X58" s="363">
        <f t="shared" si="146"/>
        <v>0</v>
      </c>
      <c r="Y58" s="363">
        <f t="shared" si="147"/>
        <v>1.3696208435960585E-2</v>
      </c>
      <c r="Z58" s="28">
        <f t="shared" si="148"/>
        <v>1.7120260544950731E-3</v>
      </c>
      <c r="AA58" s="129">
        <f t="shared" si="149"/>
        <v>0.49999999999999989</v>
      </c>
      <c r="AB58" s="28">
        <f t="shared" si="150"/>
        <v>1.7120260544950731E-3</v>
      </c>
      <c r="AC58" s="364">
        <f t="shared" si="151"/>
        <v>3</v>
      </c>
      <c r="AD58" s="182">
        <f t="shared" si="152"/>
        <v>8.7967945274014761E-2</v>
      </c>
      <c r="AE58" s="1084"/>
      <c r="AF58" s="1143" t="s">
        <v>188</v>
      </c>
      <c r="AG58" s="1087"/>
      <c r="AH58" s="1343">
        <f t="shared" si="161"/>
        <v>0.60783448530439832</v>
      </c>
      <c r="AI58" s="1344">
        <f t="shared" si="153"/>
        <v>0</v>
      </c>
      <c r="AJ58" s="1345">
        <f t="shared" si="154"/>
        <v>0.19754620772392953</v>
      </c>
      <c r="AK58" s="1345">
        <f t="shared" si="155"/>
        <v>0</v>
      </c>
      <c r="AL58" s="1345">
        <f t="shared" si="156"/>
        <v>0.15569544557733769</v>
      </c>
      <c r="AM58" s="1346">
        <f t="shared" si="157"/>
        <v>1.9461930697167212E-2</v>
      </c>
      <c r="AN58" s="1347">
        <f t="shared" si="158"/>
        <v>1.9461930697167212E-2</v>
      </c>
      <c r="AO58" s="1084"/>
      <c r="AP58" s="2006"/>
      <c r="AQ58" s="2006"/>
      <c r="AR58" s="2006"/>
      <c r="AS58" s="2006"/>
      <c r="AT58" s="2006"/>
      <c r="AU58" s="2006"/>
      <c r="AV58" s="2006"/>
      <c r="AW58" s="2006"/>
      <c r="AX58" s="2006"/>
      <c r="AY58" s="2006"/>
      <c r="AZ58" s="2007"/>
      <c r="BA58" s="2007"/>
    </row>
    <row r="59" spans="1:53" ht="15.75" hidden="1" customHeight="1" outlineLevel="2" x14ac:dyDescent="0.2">
      <c r="A59" s="458" t="s">
        <v>934</v>
      </c>
      <c r="B59" s="451">
        <v>100</v>
      </c>
      <c r="C59" s="155">
        <v>5</v>
      </c>
      <c r="D59" s="68">
        <v>0.11340913327120224</v>
      </c>
      <c r="E59" s="27">
        <v>0</v>
      </c>
      <c r="F59" s="29">
        <v>0</v>
      </c>
      <c r="G59" s="2695">
        <v>0</v>
      </c>
      <c r="H59" s="29">
        <v>0</v>
      </c>
      <c r="I59" s="28">
        <v>1.417614165890028E-2</v>
      </c>
      <c r="J59" s="129">
        <v>5</v>
      </c>
      <c r="K59" s="28">
        <v>1.417614165890028E-2</v>
      </c>
      <c r="L59" s="146">
        <v>3</v>
      </c>
      <c r="M59" s="571">
        <v>10</v>
      </c>
      <c r="N59" s="2293">
        <v>1</v>
      </c>
      <c r="O59" s="2507" t="s">
        <v>336</v>
      </c>
      <c r="P59" s="182">
        <f t="shared" si="139"/>
        <v>0.14176141658900279</v>
      </c>
      <c r="Q59" s="1233"/>
      <c r="R59" s="3219">
        <f t="shared" si="159"/>
        <v>0</v>
      </c>
      <c r="S59" s="3219">
        <f t="shared" si="160"/>
        <v>1.417614165890028E-2</v>
      </c>
      <c r="T59" s="129">
        <f t="shared" si="142"/>
        <v>5</v>
      </c>
      <c r="U59" s="68">
        <f t="shared" si="143"/>
        <v>0.23977931034482758</v>
      </c>
      <c r="V59" s="27">
        <f t="shared" si="144"/>
        <v>0</v>
      </c>
      <c r="W59" s="363">
        <f t="shared" si="145"/>
        <v>0</v>
      </c>
      <c r="X59" s="363">
        <f t="shared" si="146"/>
        <v>0</v>
      </c>
      <c r="Y59" s="363">
        <f t="shared" si="147"/>
        <v>0</v>
      </c>
      <c r="Z59" s="28">
        <f t="shared" si="148"/>
        <v>2.9972413793103447E-2</v>
      </c>
      <c r="AA59" s="129">
        <f t="shared" si="149"/>
        <v>5</v>
      </c>
      <c r="AB59" s="28">
        <f t="shared" si="150"/>
        <v>2.9972413793103447E-2</v>
      </c>
      <c r="AC59" s="364">
        <f t="shared" si="151"/>
        <v>3</v>
      </c>
      <c r="AD59" s="182">
        <f t="shared" si="152"/>
        <v>0.29972413793103447</v>
      </c>
      <c r="AE59" s="1084"/>
      <c r="AF59" s="463" t="s">
        <v>787</v>
      </c>
      <c r="AG59" s="1087"/>
      <c r="AH59" s="1343">
        <f t="shared" si="161"/>
        <v>0.8</v>
      </c>
      <c r="AI59" s="1344">
        <f t="shared" si="153"/>
        <v>0</v>
      </c>
      <c r="AJ59" s="1345">
        <f t="shared" si="154"/>
        <v>0</v>
      </c>
      <c r="AK59" s="1345">
        <f t="shared" si="155"/>
        <v>0</v>
      </c>
      <c r="AL59" s="1345">
        <f t="shared" si="156"/>
        <v>0</v>
      </c>
      <c r="AM59" s="1346">
        <f t="shared" si="157"/>
        <v>0.1</v>
      </c>
      <c r="AN59" s="1347">
        <f t="shared" si="158"/>
        <v>0.1</v>
      </c>
      <c r="AO59" s="1084"/>
      <c r="AP59" s="2006" t="s">
        <v>872</v>
      </c>
      <c r="AQ59" s="2006"/>
      <c r="AR59" s="2006"/>
      <c r="AS59" s="2006"/>
      <c r="AT59" s="2006"/>
      <c r="AU59" s="2006"/>
      <c r="AV59" s="2006"/>
      <c r="AW59" s="2006"/>
      <c r="AX59" s="2006"/>
      <c r="AY59" s="2006"/>
      <c r="AZ59" s="2007"/>
      <c r="BA59" s="2007"/>
    </row>
    <row r="60" spans="1:53" ht="15" hidden="1" customHeight="1" outlineLevel="2" x14ac:dyDescent="0.2">
      <c r="A60" s="458" t="s">
        <v>935</v>
      </c>
      <c r="B60" s="451">
        <v>200</v>
      </c>
      <c r="C60" s="155">
        <v>10</v>
      </c>
      <c r="D60" s="68">
        <v>0.22681826654240447</v>
      </c>
      <c r="E60" s="27">
        <v>0</v>
      </c>
      <c r="F60" s="29">
        <v>0</v>
      </c>
      <c r="G60" s="2695">
        <v>0</v>
      </c>
      <c r="H60" s="29">
        <v>0</v>
      </c>
      <c r="I60" s="28">
        <v>2.8352283317800559E-2</v>
      </c>
      <c r="J60" s="129">
        <v>10</v>
      </c>
      <c r="K60" s="28">
        <v>2.8352283317800559E-2</v>
      </c>
      <c r="L60" s="146">
        <v>3</v>
      </c>
      <c r="M60" s="571">
        <v>10</v>
      </c>
      <c r="N60" s="2293">
        <v>1</v>
      </c>
      <c r="O60" s="2507" t="s">
        <v>336</v>
      </c>
      <c r="P60" s="182">
        <f t="shared" si="139"/>
        <v>0.28352283317800558</v>
      </c>
      <c r="Q60" s="1084"/>
      <c r="R60" s="3219">
        <f t="shared" si="159"/>
        <v>0</v>
      </c>
      <c r="S60" s="3219">
        <f t="shared" si="160"/>
        <v>2.8352283317800559E-2</v>
      </c>
      <c r="T60" s="129">
        <f t="shared" si="142"/>
        <v>10</v>
      </c>
      <c r="U60" s="68">
        <f t="shared" si="143"/>
        <v>0.47955862068965516</v>
      </c>
      <c r="V60" s="27">
        <f t="shared" si="144"/>
        <v>0</v>
      </c>
      <c r="W60" s="363">
        <f t="shared" si="145"/>
        <v>0</v>
      </c>
      <c r="X60" s="363">
        <f t="shared" si="146"/>
        <v>0</v>
      </c>
      <c r="Y60" s="363">
        <f t="shared" si="147"/>
        <v>0</v>
      </c>
      <c r="Z60" s="28">
        <f t="shared" si="148"/>
        <v>5.9944827586206895E-2</v>
      </c>
      <c r="AA60" s="129">
        <f t="shared" si="149"/>
        <v>10</v>
      </c>
      <c r="AB60" s="28">
        <f t="shared" si="150"/>
        <v>5.9944827586206895E-2</v>
      </c>
      <c r="AC60" s="364">
        <f t="shared" si="151"/>
        <v>3</v>
      </c>
      <c r="AD60" s="182">
        <f t="shared" si="152"/>
        <v>0.59944827586206895</v>
      </c>
      <c r="AE60" s="1084"/>
      <c r="AF60" s="463" t="s">
        <v>788</v>
      </c>
      <c r="AG60" s="1087"/>
      <c r="AH60" s="1343">
        <f t="shared" si="161"/>
        <v>0.8</v>
      </c>
      <c r="AI60" s="1344">
        <f t="shared" si="153"/>
        <v>0</v>
      </c>
      <c r="AJ60" s="1345">
        <f t="shared" si="154"/>
        <v>0</v>
      </c>
      <c r="AK60" s="1345">
        <f t="shared" si="155"/>
        <v>0</v>
      </c>
      <c r="AL60" s="1345">
        <f t="shared" si="156"/>
        <v>0</v>
      </c>
      <c r="AM60" s="1346">
        <f t="shared" si="157"/>
        <v>0.1</v>
      </c>
      <c r="AN60" s="1347">
        <f t="shared" si="158"/>
        <v>0.1</v>
      </c>
      <c r="AO60" s="1084"/>
      <c r="AP60" s="2006"/>
      <c r="AQ60" s="2006"/>
      <c r="AR60" s="2006"/>
      <c r="AS60" s="2006"/>
      <c r="AT60" s="2006"/>
      <c r="AU60" s="2006"/>
      <c r="AV60" s="2006"/>
      <c r="AW60" s="2006"/>
      <c r="AX60" s="2006"/>
      <c r="AY60" s="2006"/>
      <c r="AZ60" s="2007"/>
      <c r="BA60" s="2007"/>
    </row>
    <row r="61" spans="1:53" ht="15.75" hidden="1" customHeight="1" outlineLevel="2" x14ac:dyDescent="0.2">
      <c r="A61" s="458" t="s">
        <v>936</v>
      </c>
      <c r="B61" s="451">
        <v>300</v>
      </c>
      <c r="C61" s="155">
        <v>15</v>
      </c>
      <c r="D61" s="68">
        <v>0.34022739981360672</v>
      </c>
      <c r="E61" s="27">
        <v>0</v>
      </c>
      <c r="F61" s="29">
        <v>0</v>
      </c>
      <c r="G61" s="2695">
        <v>0</v>
      </c>
      <c r="H61" s="29">
        <v>0</v>
      </c>
      <c r="I61" s="28">
        <v>4.252842497670084E-2</v>
      </c>
      <c r="J61" s="129">
        <v>15</v>
      </c>
      <c r="K61" s="28">
        <v>4.252842497670084E-2</v>
      </c>
      <c r="L61" s="146">
        <v>3</v>
      </c>
      <c r="M61" s="571">
        <v>10</v>
      </c>
      <c r="N61" s="2293">
        <v>1</v>
      </c>
      <c r="O61" s="2507" t="s">
        <v>336</v>
      </c>
      <c r="P61" s="182">
        <f t="shared" si="139"/>
        <v>0.4252842497670084</v>
      </c>
      <c r="Q61" s="1233"/>
      <c r="R61" s="3219">
        <f t="shared" si="159"/>
        <v>0</v>
      </c>
      <c r="S61" s="3219">
        <f t="shared" si="160"/>
        <v>4.252842497670084E-2</v>
      </c>
      <c r="T61" s="129">
        <f t="shared" si="142"/>
        <v>15</v>
      </c>
      <c r="U61" s="68">
        <f t="shared" si="143"/>
        <v>0.71933793103448274</v>
      </c>
      <c r="V61" s="27">
        <f t="shared" si="144"/>
        <v>0</v>
      </c>
      <c r="W61" s="363">
        <f t="shared" si="145"/>
        <v>0</v>
      </c>
      <c r="X61" s="363">
        <f t="shared" si="146"/>
        <v>0</v>
      </c>
      <c r="Y61" s="363">
        <f t="shared" si="147"/>
        <v>0</v>
      </c>
      <c r="Z61" s="28">
        <f t="shared" si="148"/>
        <v>8.9917241379310342E-2</v>
      </c>
      <c r="AA61" s="129">
        <f t="shared" si="149"/>
        <v>15</v>
      </c>
      <c r="AB61" s="28">
        <f t="shared" si="150"/>
        <v>8.9917241379310342E-2</v>
      </c>
      <c r="AC61" s="364">
        <f t="shared" si="151"/>
        <v>3</v>
      </c>
      <c r="AD61" s="182">
        <f t="shared" si="152"/>
        <v>0.89917241379310342</v>
      </c>
      <c r="AE61" s="1084"/>
      <c r="AF61" s="463" t="s">
        <v>787</v>
      </c>
      <c r="AG61" s="1087"/>
      <c r="AH61" s="1343">
        <f t="shared" si="161"/>
        <v>0.8</v>
      </c>
      <c r="AI61" s="1344">
        <f t="shared" si="153"/>
        <v>0</v>
      </c>
      <c r="AJ61" s="1345">
        <f t="shared" si="154"/>
        <v>0</v>
      </c>
      <c r="AK61" s="1345">
        <f t="shared" si="155"/>
        <v>0</v>
      </c>
      <c r="AL61" s="1345">
        <f t="shared" si="156"/>
        <v>0</v>
      </c>
      <c r="AM61" s="1346">
        <f t="shared" si="157"/>
        <v>0.1</v>
      </c>
      <c r="AN61" s="1347">
        <f t="shared" si="158"/>
        <v>0.1</v>
      </c>
      <c r="AO61" s="1084"/>
      <c r="AP61" s="2006" t="s">
        <v>872</v>
      </c>
      <c r="AQ61" s="2006"/>
      <c r="AR61" s="2006"/>
      <c r="AS61" s="2006"/>
      <c r="AT61" s="2006"/>
      <c r="AU61" s="2006"/>
      <c r="AV61" s="2006"/>
      <c r="AW61" s="2006"/>
      <c r="AX61" s="2006"/>
      <c r="AY61" s="2006"/>
      <c r="AZ61" s="2007"/>
      <c r="BA61" s="2007"/>
    </row>
    <row r="62" spans="1:53" ht="15" hidden="1" customHeight="1" outlineLevel="2" x14ac:dyDescent="0.2">
      <c r="A62" s="458" t="s">
        <v>937</v>
      </c>
      <c r="B62" s="451">
        <v>400</v>
      </c>
      <c r="C62" s="155">
        <v>20</v>
      </c>
      <c r="D62" s="68">
        <v>0.45363653308480895</v>
      </c>
      <c r="E62" s="27">
        <v>0</v>
      </c>
      <c r="F62" s="29">
        <v>0</v>
      </c>
      <c r="G62" s="2695">
        <v>0</v>
      </c>
      <c r="H62" s="29">
        <v>0</v>
      </c>
      <c r="I62" s="28">
        <v>5.6704566635601118E-2</v>
      </c>
      <c r="J62" s="129">
        <v>20</v>
      </c>
      <c r="K62" s="28">
        <v>5.6704566635601118E-2</v>
      </c>
      <c r="L62" s="146">
        <v>3</v>
      </c>
      <c r="M62" s="571">
        <v>10</v>
      </c>
      <c r="N62" s="2293">
        <v>1</v>
      </c>
      <c r="O62" s="2507" t="s">
        <v>336</v>
      </c>
      <c r="P62" s="182">
        <f t="shared" si="139"/>
        <v>0.56704566635601117</v>
      </c>
      <c r="Q62" s="1084"/>
      <c r="R62" s="3219">
        <f t="shared" si="159"/>
        <v>0</v>
      </c>
      <c r="S62" s="3219">
        <f t="shared" si="160"/>
        <v>5.6704566635601118E-2</v>
      </c>
      <c r="T62" s="129">
        <f t="shared" si="142"/>
        <v>20</v>
      </c>
      <c r="U62" s="68">
        <f t="shared" si="143"/>
        <v>0.95911724137931031</v>
      </c>
      <c r="V62" s="27">
        <f t="shared" si="144"/>
        <v>0</v>
      </c>
      <c r="W62" s="363">
        <f t="shared" si="145"/>
        <v>0</v>
      </c>
      <c r="X62" s="363">
        <f t="shared" si="146"/>
        <v>0</v>
      </c>
      <c r="Y62" s="363">
        <f t="shared" si="147"/>
        <v>0</v>
      </c>
      <c r="Z62" s="28">
        <f t="shared" si="148"/>
        <v>0.11988965517241379</v>
      </c>
      <c r="AA62" s="129">
        <f t="shared" si="149"/>
        <v>20</v>
      </c>
      <c r="AB62" s="28">
        <f t="shared" si="150"/>
        <v>0.11988965517241379</v>
      </c>
      <c r="AC62" s="364">
        <f t="shared" si="151"/>
        <v>3</v>
      </c>
      <c r="AD62" s="182">
        <f t="shared" si="152"/>
        <v>1.1988965517241379</v>
      </c>
      <c r="AE62" s="1084"/>
      <c r="AF62" s="463" t="s">
        <v>788</v>
      </c>
      <c r="AG62" s="1087"/>
      <c r="AH62" s="1343">
        <f t="shared" si="161"/>
        <v>0.8</v>
      </c>
      <c r="AI62" s="1344">
        <f t="shared" si="153"/>
        <v>0</v>
      </c>
      <c r="AJ62" s="1345">
        <f t="shared" si="154"/>
        <v>0</v>
      </c>
      <c r="AK62" s="1345">
        <f t="shared" si="155"/>
        <v>0</v>
      </c>
      <c r="AL62" s="1345">
        <f t="shared" si="156"/>
        <v>0</v>
      </c>
      <c r="AM62" s="1346">
        <f t="shared" si="157"/>
        <v>0.1</v>
      </c>
      <c r="AN62" s="1347">
        <f t="shared" si="158"/>
        <v>0.1</v>
      </c>
      <c r="AO62" s="1084"/>
      <c r="AP62" s="2006"/>
      <c r="AQ62" s="2006"/>
      <c r="AR62" s="2006"/>
      <c r="AS62" s="2006"/>
      <c r="AT62" s="2006"/>
      <c r="AU62" s="2006"/>
      <c r="AV62" s="2006"/>
      <c r="AW62" s="2006"/>
      <c r="AX62" s="2006"/>
      <c r="AY62" s="2006"/>
      <c r="AZ62" s="2007"/>
      <c r="BA62" s="2007"/>
    </row>
    <row r="63" spans="1:53" ht="15" hidden="1" customHeight="1" outlineLevel="2" x14ac:dyDescent="0.2">
      <c r="A63" s="458" t="s">
        <v>938</v>
      </c>
      <c r="B63" s="451">
        <v>600</v>
      </c>
      <c r="C63" s="155">
        <v>30</v>
      </c>
      <c r="D63" s="68">
        <v>0.68045479962721345</v>
      </c>
      <c r="E63" s="27">
        <v>0</v>
      </c>
      <c r="F63" s="29">
        <v>0</v>
      </c>
      <c r="G63" s="2695">
        <v>0</v>
      </c>
      <c r="H63" s="29">
        <v>0</v>
      </c>
      <c r="I63" s="28">
        <v>8.5056849953401681E-2</v>
      </c>
      <c r="J63" s="129">
        <v>30</v>
      </c>
      <c r="K63" s="28">
        <v>8.5056849953401681E-2</v>
      </c>
      <c r="L63" s="146">
        <v>3</v>
      </c>
      <c r="M63" s="571">
        <v>10</v>
      </c>
      <c r="N63" s="2293">
        <v>1</v>
      </c>
      <c r="O63" s="2507" t="s">
        <v>336</v>
      </c>
      <c r="P63" s="182">
        <f t="shared" si="139"/>
        <v>0.85056849953401681</v>
      </c>
      <c r="Q63" s="1084"/>
      <c r="R63" s="3219">
        <f t="shared" si="159"/>
        <v>0</v>
      </c>
      <c r="S63" s="3219">
        <f t="shared" si="160"/>
        <v>8.5056849953401681E-2</v>
      </c>
      <c r="T63" s="129">
        <f t="shared" si="142"/>
        <v>30</v>
      </c>
      <c r="U63" s="68">
        <f t="shared" si="143"/>
        <v>1.4386758620689655</v>
      </c>
      <c r="V63" s="27">
        <f t="shared" si="144"/>
        <v>0</v>
      </c>
      <c r="W63" s="363">
        <f t="shared" si="145"/>
        <v>0</v>
      </c>
      <c r="X63" s="363">
        <f t="shared" si="146"/>
        <v>0</v>
      </c>
      <c r="Y63" s="363">
        <f t="shared" si="147"/>
        <v>0</v>
      </c>
      <c r="Z63" s="28">
        <f t="shared" si="148"/>
        <v>0.17983448275862068</v>
      </c>
      <c r="AA63" s="129">
        <f t="shared" si="149"/>
        <v>30</v>
      </c>
      <c r="AB63" s="28">
        <f t="shared" si="150"/>
        <v>0.17983448275862068</v>
      </c>
      <c r="AC63" s="364">
        <f t="shared" si="151"/>
        <v>3</v>
      </c>
      <c r="AD63" s="182">
        <f t="shared" si="152"/>
        <v>1.7983448275862068</v>
      </c>
      <c r="AE63" s="1084"/>
      <c r="AF63" s="463" t="s">
        <v>788</v>
      </c>
      <c r="AG63" s="1087"/>
      <c r="AH63" s="1343">
        <f t="shared" si="161"/>
        <v>0.8</v>
      </c>
      <c r="AI63" s="1344">
        <f t="shared" si="153"/>
        <v>0</v>
      </c>
      <c r="AJ63" s="1345">
        <f t="shared" si="154"/>
        <v>0</v>
      </c>
      <c r="AK63" s="1345">
        <f t="shared" si="155"/>
        <v>0</v>
      </c>
      <c r="AL63" s="1345">
        <f t="shared" si="156"/>
        <v>0</v>
      </c>
      <c r="AM63" s="1346">
        <f t="shared" si="157"/>
        <v>0.1</v>
      </c>
      <c r="AN63" s="1347">
        <f t="shared" si="158"/>
        <v>0.1</v>
      </c>
      <c r="AO63" s="1084"/>
      <c r="AP63" s="2006"/>
      <c r="AQ63" s="2006"/>
      <c r="AR63" s="2006"/>
      <c r="AS63" s="2006"/>
      <c r="AT63" s="2006"/>
      <c r="AU63" s="2006"/>
      <c r="AV63" s="2006"/>
      <c r="AW63" s="2006"/>
      <c r="AX63" s="2006"/>
      <c r="AY63" s="2006"/>
      <c r="AZ63" s="2007"/>
      <c r="BA63" s="2007"/>
    </row>
    <row r="64" spans="1:53" ht="15.75" hidden="1" customHeight="1" outlineLevel="2" x14ac:dyDescent="0.2">
      <c r="A64" s="458" t="s">
        <v>1252</v>
      </c>
      <c r="B64" s="451">
        <v>10</v>
      </c>
      <c r="C64" s="155">
        <v>1.974</v>
      </c>
      <c r="D64" s="68">
        <v>2.9547169811320755E-2</v>
      </c>
      <c r="E64" s="27">
        <v>0</v>
      </c>
      <c r="F64" s="29">
        <v>9.8490566037735833E-3</v>
      </c>
      <c r="G64" s="2695">
        <v>0</v>
      </c>
      <c r="H64" s="29">
        <v>0.12485554798054248</v>
      </c>
      <c r="I64" s="28">
        <v>0</v>
      </c>
      <c r="J64" s="129">
        <v>10.805</v>
      </c>
      <c r="K64" s="28">
        <v>2.1340694431751187E-2</v>
      </c>
      <c r="L64" s="146">
        <v>0</v>
      </c>
      <c r="M64" s="571">
        <v>6</v>
      </c>
      <c r="N64" s="2293">
        <v>1</v>
      </c>
      <c r="O64" s="2507" t="s">
        <v>332</v>
      </c>
      <c r="P64" s="182">
        <v>0.16959311806640626</v>
      </c>
      <c r="Q64" s="1233"/>
      <c r="R64" s="3219">
        <f t="shared" si="159"/>
        <v>9.8490566037735833E-3</v>
      </c>
      <c r="S64" s="3219">
        <f t="shared" si="160"/>
        <v>0.14619624241229368</v>
      </c>
      <c r="T64" s="129">
        <v>1.9319999999999999</v>
      </c>
      <c r="U64" s="68">
        <v>2.9547169811320755E-2</v>
      </c>
      <c r="V64" s="27">
        <v>0</v>
      </c>
      <c r="W64" s="363">
        <v>9.8490566037735833E-3</v>
      </c>
      <c r="X64" s="363">
        <v>0</v>
      </c>
      <c r="Y64" s="363">
        <v>0.12485554798054248</v>
      </c>
      <c r="Z64" s="28">
        <v>0</v>
      </c>
      <c r="AA64" s="129">
        <v>10.805</v>
      </c>
      <c r="AB64" s="28">
        <v>2.1340694431751187E-2</v>
      </c>
      <c r="AC64" s="364">
        <v>3</v>
      </c>
      <c r="AD64" s="182">
        <v>0.185592468827388</v>
      </c>
      <c r="AE64" s="1084"/>
      <c r="AF64" s="463" t="s">
        <v>1250</v>
      </c>
      <c r="AG64" s="1087"/>
      <c r="AH64" s="1343">
        <f t="shared" si="161"/>
        <v>7.9884250049782057E-2</v>
      </c>
      <c r="AI64" s="1344">
        <f t="shared" si="153"/>
        <v>0</v>
      </c>
      <c r="AJ64" s="1345">
        <f t="shared" si="154"/>
        <v>5.8074624230430534E-2</v>
      </c>
      <c r="AK64" s="1345">
        <f t="shared" si="155"/>
        <v>0</v>
      </c>
      <c r="AL64" s="1345">
        <f t="shared" si="156"/>
        <v>0.7362064534461461</v>
      </c>
      <c r="AM64" s="1346">
        <f t="shared" si="157"/>
        <v>0</v>
      </c>
      <c r="AN64" s="1347">
        <f t="shared" si="158"/>
        <v>0.12583467227364131</v>
      </c>
      <c r="AO64" s="1084"/>
      <c r="AP64" s="2006"/>
      <c r="AQ64" s="2006"/>
      <c r="AR64" s="2006"/>
      <c r="AS64" s="2006"/>
      <c r="AT64" s="2006"/>
      <c r="AU64" s="2006"/>
      <c r="AV64" s="2006"/>
      <c r="AW64" s="2006"/>
      <c r="AX64" s="2006"/>
      <c r="AY64" s="2006"/>
      <c r="AZ64" s="2007"/>
      <c r="BA64" s="2007"/>
    </row>
    <row r="65" spans="1:54" ht="15.75" hidden="1" customHeight="1" outlineLevel="2" x14ac:dyDescent="0.2">
      <c r="A65" s="458" t="s">
        <v>1255</v>
      </c>
      <c r="B65" s="451">
        <v>10</v>
      </c>
      <c r="C65" s="155">
        <v>1.921</v>
      </c>
      <c r="D65" s="68">
        <v>2.9547169811320755E-2</v>
      </c>
      <c r="E65" s="27">
        <v>0</v>
      </c>
      <c r="F65" s="29">
        <v>9.8490566037735833E-3</v>
      </c>
      <c r="G65" s="2695">
        <v>0</v>
      </c>
      <c r="H65" s="29">
        <v>0.12485554798054248</v>
      </c>
      <c r="I65" s="28">
        <v>0</v>
      </c>
      <c r="J65" s="129">
        <v>10.805</v>
      </c>
      <c r="K65" s="28">
        <v>2.1340694431751187E-2</v>
      </c>
      <c r="L65" s="146">
        <v>0</v>
      </c>
      <c r="M65" s="571">
        <v>6</v>
      </c>
      <c r="N65" s="2293">
        <v>1</v>
      </c>
      <c r="O65" s="2507" t="s">
        <v>332</v>
      </c>
      <c r="P65" s="182">
        <v>0.16959311806640626</v>
      </c>
      <c r="Q65" s="1233"/>
      <c r="R65" s="3219">
        <f t="shared" si="159"/>
        <v>9.8490566037735833E-3</v>
      </c>
      <c r="S65" s="3219">
        <f t="shared" si="160"/>
        <v>0.14619624241229368</v>
      </c>
      <c r="T65" s="129">
        <v>1.9319999999999999</v>
      </c>
      <c r="U65" s="68">
        <v>2.9547169811320755E-2</v>
      </c>
      <c r="V65" s="27">
        <v>0</v>
      </c>
      <c r="W65" s="363">
        <v>9.8490566037735833E-3</v>
      </c>
      <c r="X65" s="363">
        <v>0</v>
      </c>
      <c r="Y65" s="363">
        <v>0.12485554798054248</v>
      </c>
      <c r="Z65" s="28">
        <v>0</v>
      </c>
      <c r="AA65" s="129">
        <v>10.805</v>
      </c>
      <c r="AB65" s="28">
        <v>2.1340694431751187E-2</v>
      </c>
      <c r="AC65" s="364">
        <v>3</v>
      </c>
      <c r="AD65" s="182">
        <v>0.185592468827388</v>
      </c>
      <c r="AE65" s="1084"/>
      <c r="AF65" s="463" t="s">
        <v>1254</v>
      </c>
      <c r="AG65" s="1087"/>
      <c r="AH65" s="1343">
        <f t="shared" si="161"/>
        <v>7.9884250049782057E-2</v>
      </c>
      <c r="AI65" s="1344">
        <f t="shared" si="153"/>
        <v>0</v>
      </c>
      <c r="AJ65" s="1345">
        <f t="shared" si="154"/>
        <v>5.8074624230430534E-2</v>
      </c>
      <c r="AK65" s="1345">
        <f t="shared" si="155"/>
        <v>0</v>
      </c>
      <c r="AL65" s="1345">
        <f t="shared" si="156"/>
        <v>0.7362064534461461</v>
      </c>
      <c r="AM65" s="1346">
        <f t="shared" si="157"/>
        <v>0</v>
      </c>
      <c r="AN65" s="1347">
        <f t="shared" si="158"/>
        <v>0.12583467227364131</v>
      </c>
      <c r="AO65" s="1084"/>
      <c r="AP65" s="2006"/>
      <c r="AQ65" s="2006"/>
      <c r="AR65" s="2006"/>
      <c r="AS65" s="2006"/>
      <c r="AT65" s="2006"/>
      <c r="AU65" s="2006"/>
      <c r="AV65" s="2006"/>
      <c r="AW65" s="2006"/>
      <c r="AX65" s="2006"/>
      <c r="AY65" s="2006"/>
      <c r="AZ65" s="2007"/>
      <c r="BA65" s="2007"/>
    </row>
    <row r="66" spans="1:54" ht="15.75" hidden="1" customHeight="1" outlineLevel="2" x14ac:dyDescent="0.2">
      <c r="A66" s="458" t="s">
        <v>1253</v>
      </c>
      <c r="B66" s="451">
        <v>10</v>
      </c>
      <c r="C66" s="155">
        <v>2.1339999999999999</v>
      </c>
      <c r="D66" s="68">
        <v>2.9547169811320755E-2</v>
      </c>
      <c r="E66" s="27">
        <v>0</v>
      </c>
      <c r="F66" s="29">
        <v>9.8490566037735833E-3</v>
      </c>
      <c r="G66" s="2695">
        <v>0</v>
      </c>
      <c r="H66" s="29">
        <v>0.12485554798054248</v>
      </c>
      <c r="I66" s="28">
        <v>0</v>
      </c>
      <c r="J66" s="129">
        <v>10.805</v>
      </c>
      <c r="K66" s="28">
        <v>2.1340694431751187E-2</v>
      </c>
      <c r="L66" s="146">
        <v>0</v>
      </c>
      <c r="M66" s="571">
        <v>6</v>
      </c>
      <c r="N66" s="2293">
        <v>1</v>
      </c>
      <c r="O66" s="2507" t="s">
        <v>332</v>
      </c>
      <c r="P66" s="182">
        <v>0.16959311806640626</v>
      </c>
      <c r="Q66" s="1233"/>
      <c r="R66" s="3219">
        <f t="shared" si="159"/>
        <v>9.8490566037735833E-3</v>
      </c>
      <c r="S66" s="3219">
        <f t="shared" si="160"/>
        <v>0.14619624241229368</v>
      </c>
      <c r="T66" s="129">
        <v>1.9319999999999999</v>
      </c>
      <c r="U66" s="68">
        <v>2.9547169811320755E-2</v>
      </c>
      <c r="V66" s="27">
        <v>0</v>
      </c>
      <c r="W66" s="363">
        <v>9.8490566037735833E-3</v>
      </c>
      <c r="X66" s="363">
        <v>0</v>
      </c>
      <c r="Y66" s="363">
        <v>0.12485554798054248</v>
      </c>
      <c r="Z66" s="28">
        <v>0</v>
      </c>
      <c r="AA66" s="129">
        <v>10.805</v>
      </c>
      <c r="AB66" s="28">
        <v>2.1340694431751187E-2</v>
      </c>
      <c r="AC66" s="364">
        <v>3</v>
      </c>
      <c r="AD66" s="182">
        <v>0.185592468827388</v>
      </c>
      <c r="AE66" s="1084"/>
      <c r="AF66" s="463" t="s">
        <v>1075</v>
      </c>
      <c r="AG66" s="1087"/>
      <c r="AH66" s="1343">
        <f t="shared" si="161"/>
        <v>7.9884250049782057E-2</v>
      </c>
      <c r="AI66" s="1344">
        <f t="shared" si="153"/>
        <v>0</v>
      </c>
      <c r="AJ66" s="1345">
        <f t="shared" si="154"/>
        <v>5.8074624230430534E-2</v>
      </c>
      <c r="AK66" s="1345">
        <f t="shared" si="155"/>
        <v>0</v>
      </c>
      <c r="AL66" s="1345">
        <f t="shared" si="156"/>
        <v>0.7362064534461461</v>
      </c>
      <c r="AM66" s="1346">
        <f t="shared" si="157"/>
        <v>0</v>
      </c>
      <c r="AN66" s="1347">
        <f t="shared" si="158"/>
        <v>0.12583467227364131</v>
      </c>
      <c r="AO66" s="1084"/>
      <c r="AP66" s="2006"/>
      <c r="AQ66" s="2006"/>
      <c r="AR66" s="2006"/>
      <c r="AS66" s="2006"/>
      <c r="AT66" s="2006"/>
      <c r="AU66" s="2006"/>
      <c r="AV66" s="2006"/>
      <c r="AW66" s="2006"/>
      <c r="AX66" s="2006"/>
      <c r="AY66" s="2006"/>
      <c r="AZ66" s="2007"/>
      <c r="BA66" s="2007"/>
    </row>
    <row r="67" spans="1:54" ht="15" hidden="1" customHeight="1" outlineLevel="2" x14ac:dyDescent="0.2">
      <c r="A67" s="459" t="s">
        <v>942</v>
      </c>
      <c r="B67" s="451">
        <v>10</v>
      </c>
      <c r="C67" s="155">
        <v>1.6</v>
      </c>
      <c r="D67" s="68">
        <v>2.1486486486486486E-2</v>
      </c>
      <c r="E67" s="27">
        <v>0</v>
      </c>
      <c r="F67" s="29">
        <v>6.9831081081081084E-3</v>
      </c>
      <c r="G67" s="2697">
        <v>0</v>
      </c>
      <c r="H67" s="29">
        <v>0.1815608108108108</v>
      </c>
      <c r="I67" s="28">
        <v>1.7457770270270272E-2</v>
      </c>
      <c r="J67" s="129">
        <v>10</v>
      </c>
      <c r="K67" s="28">
        <v>1.7457770270270272E-2</v>
      </c>
      <c r="L67" s="146">
        <v>3</v>
      </c>
      <c r="M67" s="571">
        <v>6</v>
      </c>
      <c r="N67" s="2302">
        <v>1</v>
      </c>
      <c r="O67" s="2507" t="s">
        <v>332</v>
      </c>
      <c r="P67" s="182">
        <f>SUM(D67:I67,K67)</f>
        <v>0.2449459459459459</v>
      </c>
      <c r="Q67" s="2585"/>
      <c r="R67" s="3219">
        <f t="shared" si="159"/>
        <v>6.9831081081081084E-3</v>
      </c>
      <c r="S67" s="3219">
        <f t="shared" si="160"/>
        <v>0.19901858108108106</v>
      </c>
      <c r="T67" s="129">
        <f>C67</f>
        <v>1.6</v>
      </c>
      <c r="U67" s="68">
        <f t="shared" ref="U67:Z69" si="162">D67*$K$3/$AB$3</f>
        <v>4.5428571428571422E-2</v>
      </c>
      <c r="V67" s="27">
        <f t="shared" si="162"/>
        <v>0</v>
      </c>
      <c r="W67" s="363">
        <f t="shared" si="162"/>
        <v>1.4764285714285716E-2</v>
      </c>
      <c r="X67" s="363">
        <f t="shared" si="162"/>
        <v>0</v>
      </c>
      <c r="Y67" s="363">
        <f t="shared" si="162"/>
        <v>0.38387142857142853</v>
      </c>
      <c r="Z67" s="28">
        <f t="shared" si="162"/>
        <v>3.691071428571429E-2</v>
      </c>
      <c r="AA67" s="129">
        <f>J67</f>
        <v>10</v>
      </c>
      <c r="AB67" s="28">
        <f>K67*$K$3/$AB$3</f>
        <v>3.691071428571429E-2</v>
      </c>
      <c r="AC67" s="364">
        <f>L67</f>
        <v>3</v>
      </c>
      <c r="AD67" s="182">
        <f>SUM(U67:Z67,AB67)</f>
        <v>0.51788571428571428</v>
      </c>
      <c r="AE67" s="1087"/>
      <c r="AF67" s="462" t="s">
        <v>942</v>
      </c>
      <c r="AG67" s="2526"/>
      <c r="AH67" s="1343">
        <f t="shared" si="161"/>
        <v>8.7719298245613864E-2</v>
      </c>
      <c r="AI67" s="1344">
        <f t="shared" si="153"/>
        <v>0</v>
      </c>
      <c r="AJ67" s="1345">
        <f t="shared" si="154"/>
        <v>2.8508771929824567E-2</v>
      </c>
      <c r="AK67" s="1345">
        <f t="shared" si="155"/>
        <v>0</v>
      </c>
      <c r="AL67" s="1345">
        <f t="shared" si="156"/>
        <v>0.74122807017543868</v>
      </c>
      <c r="AM67" s="1346">
        <f t="shared" si="157"/>
        <v>7.1271929824561431E-2</v>
      </c>
      <c r="AN67" s="1347">
        <f t="shared" si="158"/>
        <v>7.1271929824561431E-2</v>
      </c>
      <c r="AO67" s="1084"/>
      <c r="AP67" s="2008"/>
      <c r="AQ67" s="2006"/>
      <c r="AR67" s="2006"/>
      <c r="AS67" s="2006"/>
      <c r="AT67" s="2006"/>
      <c r="AU67" s="2006"/>
      <c r="AV67" s="2006"/>
      <c r="AW67" s="2006"/>
      <c r="AX67" s="2006"/>
      <c r="AY67" s="2006"/>
      <c r="AZ67" s="2007"/>
      <c r="BA67" s="2007"/>
    </row>
    <row r="68" spans="1:54" ht="15" hidden="1" customHeight="1" outlineLevel="2" x14ac:dyDescent="0.2">
      <c r="A68" s="459" t="s">
        <v>1388</v>
      </c>
      <c r="B68" s="451">
        <v>10</v>
      </c>
      <c r="C68" s="155">
        <f>C67*1.5</f>
        <v>2.4000000000000004</v>
      </c>
      <c r="D68" s="68">
        <v>2.1486486486486486E-2</v>
      </c>
      <c r="E68" s="27">
        <v>0</v>
      </c>
      <c r="F68" s="29">
        <v>6.9831081081081084E-3</v>
      </c>
      <c r="G68" s="2697">
        <v>0</v>
      </c>
      <c r="H68" s="29">
        <v>0.27234121621621621</v>
      </c>
      <c r="I68" s="28">
        <v>2.6186655405405407E-2</v>
      </c>
      <c r="J68" s="129">
        <v>15</v>
      </c>
      <c r="K68" s="28">
        <v>2.6186655405405407E-2</v>
      </c>
      <c r="L68" s="146">
        <v>3</v>
      </c>
      <c r="M68" s="571">
        <v>6</v>
      </c>
      <c r="N68" s="2302">
        <v>1</v>
      </c>
      <c r="O68" s="2507" t="s">
        <v>332</v>
      </c>
      <c r="P68" s="182">
        <f>SUM(D68:I68,K68)</f>
        <v>0.35318412162162161</v>
      </c>
      <c r="Q68" s="2585"/>
      <c r="R68" s="3219">
        <f t="shared" si="159"/>
        <v>6.9831081081081084E-3</v>
      </c>
      <c r="S68" s="3219">
        <f t="shared" si="160"/>
        <v>0.29852787162162164</v>
      </c>
      <c r="T68" s="129">
        <f>C68</f>
        <v>2.4000000000000004</v>
      </c>
      <c r="U68" s="68">
        <f t="shared" si="162"/>
        <v>4.5428571428571422E-2</v>
      </c>
      <c r="V68" s="27">
        <f t="shared" si="162"/>
        <v>0</v>
      </c>
      <c r="W68" s="363">
        <f t="shared" si="162"/>
        <v>1.4764285714285716E-2</v>
      </c>
      <c r="X68" s="363">
        <f t="shared" si="162"/>
        <v>0</v>
      </c>
      <c r="Y68" s="363">
        <f t="shared" si="162"/>
        <v>0.57580714285714285</v>
      </c>
      <c r="Z68" s="28">
        <f t="shared" si="162"/>
        <v>5.5366071428571431E-2</v>
      </c>
      <c r="AA68" s="129">
        <f>J68</f>
        <v>15</v>
      </c>
      <c r="AB68" s="28">
        <f>K68*$K$3/$AB$3</f>
        <v>5.5366071428571431E-2</v>
      </c>
      <c r="AC68" s="364">
        <f>L68</f>
        <v>3</v>
      </c>
      <c r="AD68" s="182">
        <f>SUM(U68:Z68,AB68)</f>
        <v>0.74673214285714284</v>
      </c>
      <c r="AE68" s="1087"/>
      <c r="AF68" s="462" t="s">
        <v>942</v>
      </c>
      <c r="AG68" s="2526"/>
      <c r="AH68" s="1343">
        <f t="shared" si="161"/>
        <v>6.0836501901140649E-2</v>
      </c>
      <c r="AI68" s="1344">
        <f t="shared" si="153"/>
        <v>0</v>
      </c>
      <c r="AJ68" s="1345">
        <f t="shared" si="154"/>
        <v>1.9771863117870724E-2</v>
      </c>
      <c r="AK68" s="1345">
        <f t="shared" si="155"/>
        <v>0</v>
      </c>
      <c r="AL68" s="1345">
        <f t="shared" si="156"/>
        <v>0.77110266159695817</v>
      </c>
      <c r="AM68" s="1346">
        <f t="shared" si="157"/>
        <v>7.4144486692015218E-2</v>
      </c>
      <c r="AN68" s="1347">
        <f t="shared" si="158"/>
        <v>7.4144486692015218E-2</v>
      </c>
      <c r="AO68" s="1084"/>
      <c r="AP68" s="2008"/>
      <c r="AQ68" s="2006"/>
      <c r="AR68" s="2006"/>
      <c r="AS68" s="2006"/>
      <c r="AT68" s="2006"/>
      <c r="AU68" s="2006"/>
      <c r="AV68" s="2006"/>
      <c r="AW68" s="2006"/>
      <c r="AX68" s="2006"/>
      <c r="AY68" s="2006"/>
      <c r="AZ68" s="2007"/>
      <c r="BA68" s="2007"/>
    </row>
    <row r="69" spans="1:54" ht="15" hidden="1" customHeight="1" outlineLevel="2" x14ac:dyDescent="0.2">
      <c r="A69" s="459" t="s">
        <v>503</v>
      </c>
      <c r="B69" s="451">
        <v>10</v>
      </c>
      <c r="C69" s="155">
        <v>1</v>
      </c>
      <c r="D69" s="68">
        <v>2.1621621621621623E-2</v>
      </c>
      <c r="E69" s="27">
        <v>0</v>
      </c>
      <c r="F69" s="29">
        <v>2.4864864864864861E-2</v>
      </c>
      <c r="G69" s="2698">
        <v>0</v>
      </c>
      <c r="H69" s="29">
        <v>8.324324324324324E-2</v>
      </c>
      <c r="I69" s="28">
        <v>1.6648648648648647E-2</v>
      </c>
      <c r="J69" s="129">
        <v>5</v>
      </c>
      <c r="K69" s="28">
        <v>1.6648648648648647E-2</v>
      </c>
      <c r="L69" s="146">
        <v>3</v>
      </c>
      <c r="M69" s="571">
        <v>6</v>
      </c>
      <c r="N69" s="2302">
        <v>1</v>
      </c>
      <c r="O69" s="2507" t="s">
        <v>541</v>
      </c>
      <c r="P69" s="182">
        <f>SUM(D69:I69,K69)</f>
        <v>0.16302702702702704</v>
      </c>
      <c r="Q69" s="1087"/>
      <c r="R69" s="3219">
        <f t="shared" si="159"/>
        <v>2.4864864864864861E-2</v>
      </c>
      <c r="S69" s="3219">
        <f t="shared" si="160"/>
        <v>9.989189189189189E-2</v>
      </c>
      <c r="T69" s="129">
        <f>C69</f>
        <v>1</v>
      </c>
      <c r="U69" s="68">
        <f t="shared" si="162"/>
        <v>4.5714285714285714E-2</v>
      </c>
      <c r="V69" s="27">
        <f t="shared" si="162"/>
        <v>0</v>
      </c>
      <c r="W69" s="363">
        <f t="shared" si="162"/>
        <v>5.2571428571428561E-2</v>
      </c>
      <c r="X69" s="363">
        <f t="shared" si="162"/>
        <v>0</v>
      </c>
      <c r="Y69" s="363">
        <f t="shared" si="162"/>
        <v>0.17600000000000002</v>
      </c>
      <c r="Z69" s="28">
        <f t="shared" si="162"/>
        <v>3.5200000000000002E-2</v>
      </c>
      <c r="AA69" s="129">
        <f>J69</f>
        <v>5</v>
      </c>
      <c r="AB69" s="28">
        <f>K69*$K$3/$AB$3</f>
        <v>3.5200000000000002E-2</v>
      </c>
      <c r="AC69" s="364">
        <f>L69</f>
        <v>3</v>
      </c>
      <c r="AD69" s="182">
        <f>SUM(U69:Z69,AB69)</f>
        <v>0.34468571428571432</v>
      </c>
      <c r="AE69" s="1087"/>
      <c r="AF69" s="1167" t="s">
        <v>503</v>
      </c>
      <c r="AG69" s="2526"/>
      <c r="AH69" s="1343">
        <f t="shared" si="161"/>
        <v>0.13262599469496028</v>
      </c>
      <c r="AI69" s="1344">
        <f t="shared" si="153"/>
        <v>0</v>
      </c>
      <c r="AJ69" s="1345">
        <f t="shared" si="154"/>
        <v>0.1525198938992042</v>
      </c>
      <c r="AK69" s="1345">
        <f t="shared" si="155"/>
        <v>0</v>
      </c>
      <c r="AL69" s="1345">
        <f t="shared" si="156"/>
        <v>0.51061007957559679</v>
      </c>
      <c r="AM69" s="1346">
        <f t="shared" si="157"/>
        <v>0.10212201591511935</v>
      </c>
      <c r="AN69" s="1347">
        <f t="shared" si="158"/>
        <v>0.10212201591511935</v>
      </c>
      <c r="AZ69" s="398"/>
      <c r="BA69" s="398"/>
    </row>
    <row r="70" spans="1:54" ht="15" hidden="1" customHeight="1" outlineLevel="2" x14ac:dyDescent="0.2">
      <c r="A70" s="459" t="s">
        <v>1389</v>
      </c>
      <c r="B70" s="451">
        <v>10</v>
      </c>
      <c r="C70" s="155">
        <f>C68*1.5</f>
        <v>3.6000000000000005</v>
      </c>
      <c r="D70" s="68">
        <v>2.1621621621621623E-2</v>
      </c>
      <c r="E70" s="27">
        <v>0</v>
      </c>
      <c r="F70" s="29">
        <v>2.4864864864864861E-2</v>
      </c>
      <c r="G70" s="2698">
        <v>0</v>
      </c>
      <c r="H70" s="29">
        <v>0.12486486486486487</v>
      </c>
      <c r="I70" s="28">
        <v>2.4972972972972973E-2</v>
      </c>
      <c r="J70" s="129">
        <v>7.5</v>
      </c>
      <c r="K70" s="28">
        <v>2.4972972972972973E-2</v>
      </c>
      <c r="L70" s="146">
        <v>3</v>
      </c>
      <c r="M70" s="571">
        <v>6</v>
      </c>
      <c r="N70" s="2302">
        <v>1</v>
      </c>
      <c r="O70" s="2507" t="s">
        <v>541</v>
      </c>
      <c r="P70" s="182">
        <f>SUM(D70:I70,K70)</f>
        <v>0.22129729729729727</v>
      </c>
      <c r="Q70" s="1087"/>
      <c r="R70" s="3219">
        <f t="shared" si="159"/>
        <v>2.4864864864864861E-2</v>
      </c>
      <c r="S70" s="3219">
        <f t="shared" si="160"/>
        <v>0.14983783783783783</v>
      </c>
      <c r="T70" s="129">
        <f>C70</f>
        <v>3.6000000000000005</v>
      </c>
      <c r="U70" s="68">
        <f t="shared" ref="U70" si="163">D70*$K$3/$AB$3</f>
        <v>4.5714285714285714E-2</v>
      </c>
      <c r="V70" s="27">
        <f t="shared" ref="V70" si="164">E70*$K$3/$AB$3</f>
        <v>0</v>
      </c>
      <c r="W70" s="363">
        <f t="shared" ref="W70" si="165">F70*$K$3/$AB$3</f>
        <v>5.2571428571428561E-2</v>
      </c>
      <c r="X70" s="363">
        <f t="shared" ref="X70" si="166">G70*$K$3/$AB$3</f>
        <v>0</v>
      </c>
      <c r="Y70" s="363">
        <f t="shared" ref="Y70" si="167">H70*$K$3/$AB$3</f>
        <v>0.26400000000000001</v>
      </c>
      <c r="Z70" s="28">
        <f t="shared" ref="Z70" si="168">I70*$K$3/$AB$3</f>
        <v>5.2799999999999993E-2</v>
      </c>
      <c r="AA70" s="129">
        <f>J70</f>
        <v>7.5</v>
      </c>
      <c r="AB70" s="28">
        <f>K70*$K$3/$AB$3</f>
        <v>5.2799999999999993E-2</v>
      </c>
      <c r="AC70" s="364">
        <f>L70</f>
        <v>3</v>
      </c>
      <c r="AD70" s="182">
        <f>SUM(U70:Z70,AB70)</f>
        <v>0.46788571428571435</v>
      </c>
      <c r="AE70" s="1087"/>
      <c r="AF70" s="1167" t="s">
        <v>503</v>
      </c>
      <c r="AG70" s="2526"/>
      <c r="AH70" s="1343">
        <f t="shared" ref="AH70" si="169">1-SUM(AI70:AN70)</f>
        <v>9.7703957010258913E-2</v>
      </c>
      <c r="AI70" s="1344">
        <f t="shared" ref="AI70" si="170">E70/$P70</f>
        <v>0</v>
      </c>
      <c r="AJ70" s="1345">
        <f t="shared" ref="AJ70" si="171">F70/$P70</f>
        <v>0.11235955056179775</v>
      </c>
      <c r="AK70" s="1345">
        <f t="shared" ref="AK70" si="172">G70/$P70</f>
        <v>0</v>
      </c>
      <c r="AL70" s="1345">
        <f t="shared" ref="AL70" si="173">H70/$P70</f>
        <v>0.56424035173424525</v>
      </c>
      <c r="AM70" s="1346">
        <f t="shared" ref="AM70" si="174">I70/$P70</f>
        <v>0.11284807034684906</v>
      </c>
      <c r="AN70" s="1347">
        <f t="shared" ref="AN70" si="175">K70/$P70</f>
        <v>0.11284807034684906</v>
      </c>
      <c r="AZ70" s="398"/>
      <c r="BA70" s="398"/>
    </row>
    <row r="71" spans="1:54" ht="15" hidden="1" customHeight="1" outlineLevel="2" x14ac:dyDescent="0.2">
      <c r="A71" s="459" t="s">
        <v>1898</v>
      </c>
      <c r="B71" s="451"/>
      <c r="C71" s="155"/>
      <c r="D71" s="68"/>
      <c r="E71" s="27"/>
      <c r="F71" s="29"/>
      <c r="G71" s="2655">
        <v>1.4875675675675677E-2</v>
      </c>
      <c r="H71" s="29"/>
      <c r="I71" s="28"/>
      <c r="J71" s="129"/>
      <c r="K71" s="28"/>
      <c r="L71" s="146"/>
      <c r="M71" s="571"/>
      <c r="N71" s="2302">
        <v>1</v>
      </c>
      <c r="O71" s="2507" t="s">
        <v>541</v>
      </c>
      <c r="P71" s="182">
        <f>SUM(D71:I71,K71)</f>
        <v>1.4875675675675677E-2</v>
      </c>
      <c r="Q71" s="1087"/>
      <c r="R71" s="3219">
        <f t="shared" si="159"/>
        <v>1.4875675675675677E-2</v>
      </c>
      <c r="S71" s="3219">
        <f t="shared" si="160"/>
        <v>0</v>
      </c>
      <c r="T71" s="129">
        <f>C71</f>
        <v>0</v>
      </c>
      <c r="U71" s="68">
        <f t="shared" ref="U71:Z71" si="176">D71*$K$3/$AB$3</f>
        <v>0</v>
      </c>
      <c r="V71" s="27">
        <f t="shared" si="176"/>
        <v>0</v>
      </c>
      <c r="W71" s="363">
        <f t="shared" si="176"/>
        <v>0</v>
      </c>
      <c r="X71" s="363">
        <f t="shared" si="176"/>
        <v>3.1451428571428575E-2</v>
      </c>
      <c r="Y71" s="363">
        <f t="shared" si="176"/>
        <v>0</v>
      </c>
      <c r="Z71" s="28">
        <f t="shared" si="176"/>
        <v>0</v>
      </c>
      <c r="AA71" s="129">
        <f>J71</f>
        <v>0</v>
      </c>
      <c r="AB71" s="28">
        <f>K71*$K$3/$AB$3</f>
        <v>0</v>
      </c>
      <c r="AC71" s="364">
        <f>L71</f>
        <v>0</v>
      </c>
      <c r="AD71" s="182">
        <f>SUM(U71:Z71,AB71)</f>
        <v>3.1451428571428575E-2</v>
      </c>
      <c r="AE71" s="1087"/>
      <c r="AF71" s="1167" t="s">
        <v>503</v>
      </c>
      <c r="AG71" s="2526"/>
      <c r="AH71" s="1343">
        <f t="shared" si="161"/>
        <v>0</v>
      </c>
      <c r="AI71" s="1344">
        <f t="shared" si="153"/>
        <v>0</v>
      </c>
      <c r="AJ71" s="1345">
        <f t="shared" si="154"/>
        <v>0</v>
      </c>
      <c r="AK71" s="1345">
        <f t="shared" si="155"/>
        <v>1</v>
      </c>
      <c r="AL71" s="1345">
        <f t="shared" si="156"/>
        <v>0</v>
      </c>
      <c r="AM71" s="1346">
        <f t="shared" si="157"/>
        <v>0</v>
      </c>
      <c r="AN71" s="1347">
        <f t="shared" si="158"/>
        <v>0</v>
      </c>
      <c r="AZ71" s="398"/>
      <c r="BA71" s="398"/>
    </row>
    <row r="72" spans="1:54" ht="15" hidden="1" customHeight="1" outlineLevel="1" collapsed="1" x14ac:dyDescent="0.2">
      <c r="A72" s="1077"/>
      <c r="B72" s="1078" t="str">
        <f t="shared" ref="B72:K72" si="177">B$6</f>
        <v>Trips</v>
      </c>
      <c r="C72" s="1079" t="str">
        <f t="shared" si="177"/>
        <v>Mbpd</v>
      </c>
      <c r="D72" s="1080" t="str">
        <f t="shared" si="177"/>
        <v>Client</v>
      </c>
      <c r="E72" s="1080" t="str">
        <f>E$6</f>
        <v>Citrix</v>
      </c>
      <c r="F72" s="1080" t="str">
        <f t="shared" si="177"/>
        <v>Web</v>
      </c>
      <c r="G72" s="2693" t="str">
        <f t="shared" si="177"/>
        <v>Portal</v>
      </c>
      <c r="H72" s="1080" t="str">
        <f t="shared" si="177"/>
        <v>SOC</v>
      </c>
      <c r="I72" s="1080" t="str">
        <f t="shared" si="177"/>
        <v>DS/MDS</v>
      </c>
      <c r="J72" s="1080" t="str">
        <f t="shared" si="177"/>
        <v>Mbpd</v>
      </c>
      <c r="K72" s="1080" t="str">
        <f t="shared" si="177"/>
        <v>DBMS</v>
      </c>
      <c r="L72" s="1081" t="s">
        <v>299</v>
      </c>
      <c r="M72" s="1082" t="str">
        <f>M$6</f>
        <v>DPM/c</v>
      </c>
      <c r="N72" s="2291" t="str">
        <f>N$6</f>
        <v>MT</v>
      </c>
      <c r="O72" s="2859" t="str">
        <f>O$6</f>
        <v xml:space="preserve">WF </v>
      </c>
      <c r="P72" s="1083" t="s">
        <v>273</v>
      </c>
      <c r="Q72" s="1084"/>
      <c r="R72" s="3205"/>
      <c r="S72" s="3205"/>
      <c r="T72" s="1269" t="s">
        <v>308</v>
      </c>
      <c r="U72" s="1080" t="s">
        <v>303</v>
      </c>
      <c r="V72" s="1080" t="s">
        <v>9</v>
      </c>
      <c r="W72" s="1080" t="str">
        <f>+W$6</f>
        <v>Web</v>
      </c>
      <c r="X72" s="1080" t="str">
        <f>+X$6</f>
        <v>Portal</v>
      </c>
      <c r="Y72" s="1080" t="s">
        <v>312</v>
      </c>
      <c r="Z72" s="1080" t="s">
        <v>330</v>
      </c>
      <c r="AA72" s="1080" t="s">
        <v>308</v>
      </c>
      <c r="AB72" s="1080" t="s">
        <v>309</v>
      </c>
      <c r="AC72" s="1081" t="s">
        <v>299</v>
      </c>
      <c r="AD72" s="1083" t="s">
        <v>273</v>
      </c>
      <c r="AE72" s="1084"/>
      <c r="AF72" s="1086">
        <f t="shared" ref="AF72:AF78" si="178">A72</f>
        <v>0</v>
      </c>
      <c r="AG72" s="1087"/>
      <c r="AH72" s="1334" t="str">
        <f t="shared" ref="AH72:AM72" si="179">D72</f>
        <v>Client</v>
      </c>
      <c r="AI72" s="1085" t="str">
        <f t="shared" si="179"/>
        <v>Citrix</v>
      </c>
      <c r="AJ72" s="1085" t="str">
        <f t="shared" si="179"/>
        <v>Web</v>
      </c>
      <c r="AK72" s="1085" t="str">
        <f t="shared" si="179"/>
        <v>Portal</v>
      </c>
      <c r="AL72" s="1335" t="str">
        <f t="shared" si="179"/>
        <v>SOC</v>
      </c>
      <c r="AM72" s="1336" t="str">
        <f t="shared" si="179"/>
        <v>DS/MDS</v>
      </c>
      <c r="AN72" s="1337" t="str">
        <f>K72</f>
        <v>DBMS</v>
      </c>
      <c r="AO72" s="1084"/>
      <c r="AP72" s="2006"/>
      <c r="AQ72" s="2006"/>
      <c r="AR72" s="2006"/>
      <c r="AS72" s="2006"/>
      <c r="AT72" s="2006"/>
      <c r="AU72" s="2006"/>
      <c r="AV72" s="2006"/>
      <c r="AW72" s="2006"/>
      <c r="AX72" s="2006"/>
      <c r="AY72" s="2006"/>
      <c r="AZ72" s="2007"/>
      <c r="BA72" s="2007"/>
    </row>
    <row r="73" spans="1:54" ht="15" customHeight="1" collapsed="1" x14ac:dyDescent="0.2">
      <c r="A73" s="461" t="s">
        <v>77</v>
      </c>
      <c r="B73" s="452" t="str">
        <f>B$6</f>
        <v>Trips</v>
      </c>
      <c r="C73" s="174" t="str">
        <f>C$6</f>
        <v>Mbpd</v>
      </c>
      <c r="D73" s="175" t="str">
        <f>D$6</f>
        <v>Client</v>
      </c>
      <c r="E73" s="176" t="str">
        <f>E$6</f>
        <v>Citrix</v>
      </c>
      <c r="F73" s="176" t="str">
        <f t="shared" ref="F73:I77" si="180">F$6</f>
        <v>Web</v>
      </c>
      <c r="G73" s="2699" t="str">
        <f t="shared" si="180"/>
        <v>Portal</v>
      </c>
      <c r="H73" s="176" t="str">
        <f t="shared" si="180"/>
        <v>SOC</v>
      </c>
      <c r="I73" s="176" t="str">
        <f t="shared" si="180"/>
        <v>DS/MDS</v>
      </c>
      <c r="J73" s="1191" t="str">
        <f t="shared" ref="J73:P73" si="181">J$6</f>
        <v>Mbpd</v>
      </c>
      <c r="K73" s="176" t="str">
        <f t="shared" si="181"/>
        <v>DBMS</v>
      </c>
      <c r="L73" s="176" t="str">
        <f t="shared" si="181"/>
        <v>sec</v>
      </c>
      <c r="M73" s="176" t="str">
        <f t="shared" si="181"/>
        <v>DPM/c</v>
      </c>
      <c r="N73" s="2540" t="str">
        <f t="shared" si="181"/>
        <v>MT</v>
      </c>
      <c r="O73" s="2508" t="str">
        <f>O$6</f>
        <v xml:space="preserve">WF </v>
      </c>
      <c r="P73" s="183" t="str">
        <f t="shared" si="181"/>
        <v>Total</v>
      </c>
      <c r="Q73" s="1084"/>
      <c r="R73" s="3205"/>
      <c r="S73" s="3205"/>
      <c r="T73" s="1271" t="str">
        <f t="shared" ref="T73:AD77" si="182">T$6</f>
        <v>Mbpd</v>
      </c>
      <c r="U73" s="175" t="str">
        <f t="shared" si="182"/>
        <v>Client</v>
      </c>
      <c r="V73" s="176" t="s">
        <v>9</v>
      </c>
      <c r="W73" s="176" t="str">
        <f t="shared" si="182"/>
        <v>Web</v>
      </c>
      <c r="X73" s="176" t="str">
        <f t="shared" si="182"/>
        <v>Portal</v>
      </c>
      <c r="Y73" s="176" t="str">
        <f t="shared" si="182"/>
        <v>SOC</v>
      </c>
      <c r="Z73" s="176" t="str">
        <f t="shared" si="182"/>
        <v>SDE</v>
      </c>
      <c r="AA73" s="176" t="str">
        <f t="shared" si="182"/>
        <v>Mbpd</v>
      </c>
      <c r="AB73" s="176" t="str">
        <f t="shared" si="182"/>
        <v>DBMS</v>
      </c>
      <c r="AC73" s="176" t="str">
        <f t="shared" si="182"/>
        <v>sec</v>
      </c>
      <c r="AD73" s="183" t="str">
        <f t="shared" si="182"/>
        <v>Total</v>
      </c>
      <c r="AE73" s="1084"/>
      <c r="AF73" s="524" t="str">
        <f t="shared" si="178"/>
        <v>Calculator Workflows ======</v>
      </c>
      <c r="AG73" s="1087"/>
      <c r="AH73" s="1348" t="str">
        <f t="shared" ref="AH73:AN73" si="183">AH$6</f>
        <v>Client</v>
      </c>
      <c r="AI73" s="1349" t="str">
        <f t="shared" si="183"/>
        <v>Citrix</v>
      </c>
      <c r="AJ73" s="1349" t="str">
        <f t="shared" si="183"/>
        <v>Web</v>
      </c>
      <c r="AK73" s="1349" t="str">
        <f t="shared" si="183"/>
        <v>Portal</v>
      </c>
      <c r="AL73" s="1349" t="str">
        <f t="shared" si="183"/>
        <v>SOC</v>
      </c>
      <c r="AM73" s="1350" t="str">
        <f t="shared" si="183"/>
        <v>DS/MDS</v>
      </c>
      <c r="AN73" s="1351" t="str">
        <f t="shared" si="183"/>
        <v>DBMS</v>
      </c>
      <c r="AO73" s="1084"/>
      <c r="AP73" s="2006"/>
      <c r="AQ73" s="2006"/>
      <c r="AR73" s="2006"/>
      <c r="AS73" s="2006"/>
      <c r="AT73" s="2006"/>
      <c r="AU73" s="2006"/>
      <c r="AV73" s="2006"/>
      <c r="AW73" s="2006"/>
      <c r="AX73" s="2006"/>
      <c r="AY73" s="2006"/>
      <c r="AZ73" s="2007"/>
      <c r="BA73" s="2007"/>
    </row>
    <row r="74" spans="1:54" ht="15" customHeight="1" x14ac:dyDescent="0.2">
      <c r="A74" s="1135" t="str">
        <f>Calculator!$E$16</f>
        <v>AGS REST 2D V Hvy 100%Dyn 13x7 PNG24</v>
      </c>
      <c r="B74" s="1136">
        <f ca="1">Calculator!I13</f>
        <v>10</v>
      </c>
      <c r="C74" s="2043">
        <f>Calculator!C82</f>
        <v>2.1339999999999999</v>
      </c>
      <c r="D74" s="2044">
        <f>Calculator!D82</f>
        <v>2.0756756756756759E-2</v>
      </c>
      <c r="E74" s="2045">
        <f>Calculator!E82</f>
        <v>0</v>
      </c>
      <c r="F74" s="2045">
        <f>Calculator!F82</f>
        <v>6.9189189189189197E-3</v>
      </c>
      <c r="G74" s="2700">
        <f>Calculator!G82</f>
        <v>0</v>
      </c>
      <c r="H74" s="2045">
        <f>Calculator!H82</f>
        <v>0.16564488281249998</v>
      </c>
      <c r="I74" s="2045">
        <f>Calculator!I82</f>
        <v>0</v>
      </c>
      <c r="J74" s="2046">
        <f>Calculator!J82</f>
        <v>20.010000000000002</v>
      </c>
      <c r="K74" s="2045">
        <f>Calculator!K82</f>
        <v>2.8312533046874994E-2</v>
      </c>
      <c r="L74" s="1140">
        <f>Calculator!D6</f>
        <v>3</v>
      </c>
      <c r="M74" s="1141">
        <f>IF(H74&gt;0,6,10)</f>
        <v>6</v>
      </c>
      <c r="N74" s="2294">
        <f>Calculator!O3</f>
        <v>1</v>
      </c>
      <c r="O74" s="3003" t="str">
        <f>Calculator!$P$2</f>
        <v>Server</v>
      </c>
      <c r="P74" s="1130">
        <f>SUM(D74:I74,K74)</f>
        <v>0.22163309153505065</v>
      </c>
      <c r="Q74" s="1084"/>
      <c r="R74" s="3205"/>
      <c r="S74" s="3205"/>
      <c r="T74" s="1272">
        <f>C74</f>
        <v>2.1339999999999999</v>
      </c>
      <c r="U74" s="1131">
        <f t="shared" ref="U74:Z74" si="184">D74*$K$3/$AB$3</f>
        <v>4.3885714285714292E-2</v>
      </c>
      <c r="V74" s="1132">
        <f t="shared" si="184"/>
        <v>0</v>
      </c>
      <c r="W74" s="1132">
        <f t="shared" si="184"/>
        <v>1.4628571428571428E-2</v>
      </c>
      <c r="X74" s="1132">
        <f t="shared" si="184"/>
        <v>0</v>
      </c>
      <c r="Y74" s="1132">
        <f t="shared" si="184"/>
        <v>0.35022060937499994</v>
      </c>
      <c r="Z74" s="1132">
        <f t="shared" si="184"/>
        <v>0</v>
      </c>
      <c r="AA74" s="1132">
        <f>J74</f>
        <v>20.010000000000002</v>
      </c>
      <c r="AB74" s="1132">
        <f>K74*$K$3/$AB$3</f>
        <v>5.9860784156249992E-2</v>
      </c>
      <c r="AC74" s="1133">
        <f>L74</f>
        <v>3</v>
      </c>
      <c r="AD74" s="1130">
        <f>SUM(U74:Z74,AB74)</f>
        <v>0.46859567924553569</v>
      </c>
      <c r="AE74" s="1084"/>
      <c r="AF74" s="1134" t="str">
        <f t="shared" si="178"/>
        <v>AGS REST 2D V Hvy 100%Dyn 13x7 PNG24</v>
      </c>
      <c r="AG74" s="1087"/>
      <c r="AH74" s="1343">
        <f>1-SUM(AI74:AN74)</f>
        <v>9.3653689586665978E-2</v>
      </c>
      <c r="AI74" s="1344">
        <f>E74/$P74</f>
        <v>0</v>
      </c>
      <c r="AJ74" s="1345">
        <f>F74/$P74</f>
        <v>3.1217896528888657E-2</v>
      </c>
      <c r="AK74" s="1345">
        <f>G74/$P74</f>
        <v>0</v>
      </c>
      <c r="AL74" s="1345">
        <f>H74/$P74</f>
        <v>0.74738335176046444</v>
      </c>
      <c r="AM74" s="1346">
        <f>I74/$P74</f>
        <v>0</v>
      </c>
      <c r="AN74" s="1347">
        <f>K74/$P74</f>
        <v>0.12774506212398093</v>
      </c>
      <c r="AO74" s="1084"/>
      <c r="AP74" s="2006"/>
      <c r="AQ74" s="2006"/>
      <c r="AR74" s="2006"/>
      <c r="AS74" s="2006"/>
      <c r="AT74" s="2006"/>
      <c r="AU74" s="2006"/>
      <c r="AV74" s="2006"/>
      <c r="AW74" s="2006"/>
      <c r="AX74" s="2006"/>
      <c r="AY74" s="2006"/>
      <c r="AZ74" s="2007"/>
      <c r="BA74" s="2007"/>
    </row>
    <row r="75" spans="1:54" ht="15" customHeight="1" x14ac:dyDescent="0.2">
      <c r="A75" s="461" t="s">
        <v>7</v>
      </c>
      <c r="B75" s="452" t="str">
        <f>B$6</f>
        <v>Trips</v>
      </c>
      <c r="C75" s="174" t="str">
        <f>C$6</f>
        <v>Mbpd</v>
      </c>
      <c r="D75" s="175" t="str">
        <f>D$6</f>
        <v>Client</v>
      </c>
      <c r="E75" s="176" t="str">
        <f>E$6</f>
        <v>Citrix</v>
      </c>
      <c r="F75" s="176" t="str">
        <f t="shared" si="180"/>
        <v>Web</v>
      </c>
      <c r="G75" s="2699" t="str">
        <f t="shared" si="180"/>
        <v>Portal</v>
      </c>
      <c r="H75" s="176" t="str">
        <f t="shared" si="180"/>
        <v>SOC</v>
      </c>
      <c r="I75" s="176" t="str">
        <f t="shared" si="180"/>
        <v>DS/MDS</v>
      </c>
      <c r="J75" s="1191" t="str">
        <f t="shared" ref="J75:P75" si="185">J$6</f>
        <v>Mbpd</v>
      </c>
      <c r="K75" s="176" t="str">
        <f t="shared" si="185"/>
        <v>DBMS</v>
      </c>
      <c r="L75" s="176" t="str">
        <f t="shared" si="185"/>
        <v>sec</v>
      </c>
      <c r="M75" s="176" t="str">
        <f t="shared" si="185"/>
        <v>DPM/c</v>
      </c>
      <c r="N75" s="176" t="str">
        <f t="shared" si="185"/>
        <v>MT</v>
      </c>
      <c r="O75" s="176" t="str">
        <f>O$6</f>
        <v xml:space="preserve">WF </v>
      </c>
      <c r="P75" s="183" t="str">
        <f t="shared" si="185"/>
        <v>Total</v>
      </c>
      <c r="Q75" s="1084"/>
      <c r="R75" s="3205"/>
      <c r="S75" s="3205"/>
      <c r="T75" s="1271" t="str">
        <f t="shared" si="182"/>
        <v>Mbpd</v>
      </c>
      <c r="U75" s="175" t="str">
        <f t="shared" si="182"/>
        <v>Client</v>
      </c>
      <c r="V75" s="176" t="s">
        <v>9</v>
      </c>
      <c r="W75" s="176" t="str">
        <f t="shared" si="182"/>
        <v>Web</v>
      </c>
      <c r="X75" s="176" t="str">
        <f t="shared" si="182"/>
        <v>Portal</v>
      </c>
      <c r="Y75" s="176" t="str">
        <f t="shared" si="182"/>
        <v>SOC</v>
      </c>
      <c r="Z75" s="176" t="str">
        <f t="shared" si="182"/>
        <v>SDE</v>
      </c>
      <c r="AA75" s="176" t="str">
        <f t="shared" si="182"/>
        <v>Mbpd</v>
      </c>
      <c r="AB75" s="176" t="str">
        <f t="shared" si="182"/>
        <v>DBMS</v>
      </c>
      <c r="AC75" s="176" t="str">
        <f t="shared" si="182"/>
        <v>sec</v>
      </c>
      <c r="AD75" s="183" t="str">
        <f t="shared" si="182"/>
        <v>Total</v>
      </c>
      <c r="AE75" s="1084"/>
      <c r="AF75" s="524" t="str">
        <f t="shared" si="178"/>
        <v>Test Workflows ======</v>
      </c>
      <c r="AG75" s="1087"/>
      <c r="AH75" s="1348" t="str">
        <f t="shared" ref="AH75:AN75" si="186">AH$6</f>
        <v>Client</v>
      </c>
      <c r="AI75" s="1349" t="str">
        <f t="shared" si="186"/>
        <v>Citrix</v>
      </c>
      <c r="AJ75" s="1349" t="str">
        <f t="shared" si="186"/>
        <v>Web</v>
      </c>
      <c r="AK75" s="1349" t="str">
        <f t="shared" si="186"/>
        <v>Portal</v>
      </c>
      <c r="AL75" s="1349" t="str">
        <f t="shared" si="186"/>
        <v>SOC</v>
      </c>
      <c r="AM75" s="1350" t="str">
        <f t="shared" si="186"/>
        <v>DS/MDS</v>
      </c>
      <c r="AN75" s="1351" t="str">
        <f t="shared" si="186"/>
        <v>DBMS</v>
      </c>
      <c r="AO75" s="1084"/>
      <c r="AP75" s="2006"/>
      <c r="AQ75" s="2006"/>
      <c r="AR75" s="2006"/>
      <c r="AS75" s="2006"/>
      <c r="AT75" s="2006"/>
      <c r="AU75" s="2006"/>
      <c r="AV75" s="2006"/>
      <c r="AW75" s="2006"/>
      <c r="AX75" s="2006"/>
      <c r="AY75" s="2006"/>
      <c r="AZ75" s="2007"/>
      <c r="BA75" s="2007"/>
    </row>
    <row r="76" spans="1:54" ht="15" customHeight="1" x14ac:dyDescent="0.2">
      <c r="A76" s="1135" t="str">
        <f>IF(AND(Test!A3=0,Test!A5=0),Test!A16,"Test Workflow")</f>
        <v>AGS REST 2D V Dynamic</v>
      </c>
      <c r="B76" s="1136">
        <v>10</v>
      </c>
      <c r="C76" s="1137">
        <f>Test!O3</f>
        <v>1.0650111835973903</v>
      </c>
      <c r="D76" s="1138">
        <f>Test!D15</f>
        <v>2.0756756756756756E-2</v>
      </c>
      <c r="E76" s="1139">
        <f>Test!G5</f>
        <v>0</v>
      </c>
      <c r="F76" s="1139">
        <f>Test!G6</f>
        <v>6.9189189189189197E-3</v>
      </c>
      <c r="G76" s="2701">
        <f>Test!G7</f>
        <v>0</v>
      </c>
      <c r="H76" s="1139">
        <f>Test!G8</f>
        <v>5.5112043955323854E-2</v>
      </c>
      <c r="I76" s="1142">
        <f>Test!G9</f>
        <v>0</v>
      </c>
      <c r="J76" s="1193">
        <f>Test!O4</f>
        <v>6.6573849086672876</v>
      </c>
      <c r="K76" s="1142">
        <f>Test!G10</f>
        <v>9.4199201283638179E-3</v>
      </c>
      <c r="L76" s="1140">
        <f>Test!A9</f>
        <v>3</v>
      </c>
      <c r="M76" s="1141">
        <f>IF(H76&gt;0,6,10)</f>
        <v>6</v>
      </c>
      <c r="N76" s="1141">
        <v>1</v>
      </c>
      <c r="O76" s="3003" t="s">
        <v>332</v>
      </c>
      <c r="P76" s="1130">
        <f>SUM(D76:I76,K76)</f>
        <v>9.2207639759363344E-2</v>
      </c>
      <c r="Q76" s="1084"/>
      <c r="R76" s="3205"/>
      <c r="S76" s="3205"/>
      <c r="T76" s="1272">
        <f>C76</f>
        <v>1.0650111835973903</v>
      </c>
      <c r="U76" s="1131">
        <f t="shared" ref="U76:Z76" si="187">D76*$K$3/$AB$3</f>
        <v>4.3885714285714285E-2</v>
      </c>
      <c r="V76" s="1132">
        <f t="shared" si="187"/>
        <v>0</v>
      </c>
      <c r="W76" s="1132">
        <f t="shared" si="187"/>
        <v>1.4628571428571428E-2</v>
      </c>
      <c r="X76" s="1132">
        <f t="shared" si="187"/>
        <v>0</v>
      </c>
      <c r="Y76" s="1132">
        <f t="shared" si="187"/>
        <v>0.11652260721982759</v>
      </c>
      <c r="Z76" s="1132">
        <f t="shared" si="187"/>
        <v>0</v>
      </c>
      <c r="AA76" s="1132">
        <f>J76</f>
        <v>6.6573849086672876</v>
      </c>
      <c r="AB76" s="1132">
        <f>K76*$K$3/$AB$3</f>
        <v>1.9916402557112071E-2</v>
      </c>
      <c r="AC76" s="1133">
        <f>L76</f>
        <v>3</v>
      </c>
      <c r="AD76" s="1130">
        <f>SUM(U76:Z76,AB76)</f>
        <v>0.19495329549122536</v>
      </c>
      <c r="AE76" s="1084"/>
      <c r="AF76" s="1134" t="str">
        <f t="shared" si="178"/>
        <v>AGS REST 2D V Dynamic</v>
      </c>
      <c r="AG76" s="1087"/>
      <c r="AH76" s="1343">
        <f>1-SUM(AI76:AN76)</f>
        <v>0.22510886094607996</v>
      </c>
      <c r="AI76" s="1344">
        <f>E76/$P76</f>
        <v>0</v>
      </c>
      <c r="AJ76" s="1345">
        <f>F76/$P76</f>
        <v>7.5036286982026662E-2</v>
      </c>
      <c r="AK76" s="1345">
        <f>G76/$P76</f>
        <v>0</v>
      </c>
      <c r="AL76" s="1345">
        <f>H76/$P76</f>
        <v>0.59769498600279947</v>
      </c>
      <c r="AM76" s="1346">
        <f>I76/$P76</f>
        <v>0</v>
      </c>
      <c r="AN76" s="1347">
        <f>K76/$P76</f>
        <v>0.10215986606909391</v>
      </c>
      <c r="AO76" s="1084"/>
      <c r="AP76" s="2006"/>
      <c r="AQ76" s="2006"/>
      <c r="AR76" s="2006"/>
      <c r="AS76" s="2006"/>
      <c r="AT76" s="2006"/>
      <c r="AU76" s="2006"/>
      <c r="AV76" s="2006"/>
      <c r="AW76" s="2006"/>
      <c r="AX76" s="2006"/>
      <c r="AY76" s="2006"/>
      <c r="AZ76" s="2007"/>
      <c r="BA76" s="2007"/>
      <c r="BB76" s="1941"/>
    </row>
    <row r="77" spans="1:54" ht="15" customHeight="1" x14ac:dyDescent="0.2">
      <c r="A77" s="461" t="s">
        <v>78</v>
      </c>
      <c r="B77" s="452" t="str">
        <f>B$6</f>
        <v>Trips</v>
      </c>
      <c r="C77" s="174" t="str">
        <f>C$6</f>
        <v>Mbpd</v>
      </c>
      <c r="D77" s="175" t="str">
        <f>D$6</f>
        <v>Client</v>
      </c>
      <c r="E77" s="176" t="str">
        <f>E$6</f>
        <v>Citrix</v>
      </c>
      <c r="F77" s="176" t="str">
        <f t="shared" si="180"/>
        <v>Web</v>
      </c>
      <c r="G77" s="2699" t="str">
        <f t="shared" si="180"/>
        <v>Portal</v>
      </c>
      <c r="H77" s="176" t="str">
        <f>H$6</f>
        <v>SOC</v>
      </c>
      <c r="I77" s="176" t="str">
        <f t="shared" si="180"/>
        <v>DS/MDS</v>
      </c>
      <c r="J77" s="1191" t="str">
        <f t="shared" ref="J77:P77" si="188">J$6</f>
        <v>Mbpd</v>
      </c>
      <c r="K77" s="176" t="str">
        <f t="shared" si="188"/>
        <v>DBMS</v>
      </c>
      <c r="L77" s="176" t="str">
        <f t="shared" si="188"/>
        <v>sec</v>
      </c>
      <c r="M77" s="176" t="str">
        <f t="shared" si="188"/>
        <v>DPM/c</v>
      </c>
      <c r="N77" s="176" t="str">
        <f t="shared" si="188"/>
        <v>MT</v>
      </c>
      <c r="O77" s="176" t="str">
        <f>O$6</f>
        <v xml:space="preserve">WF </v>
      </c>
      <c r="P77" s="183" t="str">
        <f t="shared" si="188"/>
        <v>Total</v>
      </c>
      <c r="Q77" s="1084"/>
      <c r="R77" s="3205"/>
      <c r="S77" s="3205"/>
      <c r="T77" s="1271" t="str">
        <f t="shared" si="182"/>
        <v>Mbpd</v>
      </c>
      <c r="U77" s="175" t="str">
        <f t="shared" si="182"/>
        <v>Client</v>
      </c>
      <c r="V77" s="176" t="s">
        <v>9</v>
      </c>
      <c r="W77" s="176" t="str">
        <f t="shared" si="182"/>
        <v>Web</v>
      </c>
      <c r="X77" s="176" t="str">
        <f t="shared" si="182"/>
        <v>Portal</v>
      </c>
      <c r="Y77" s="176" t="str">
        <f t="shared" si="182"/>
        <v>SOC</v>
      </c>
      <c r="Z77" s="176" t="str">
        <f t="shared" si="182"/>
        <v>SDE</v>
      </c>
      <c r="AA77" s="176" t="str">
        <f t="shared" si="182"/>
        <v>Mbpd</v>
      </c>
      <c r="AB77" s="176" t="str">
        <f t="shared" si="182"/>
        <v>DBMS</v>
      </c>
      <c r="AC77" s="176" t="str">
        <f t="shared" si="182"/>
        <v>sec</v>
      </c>
      <c r="AD77" s="183" t="str">
        <f t="shared" si="182"/>
        <v>Total</v>
      </c>
      <c r="AE77" s="1084"/>
      <c r="AF77" s="524" t="str">
        <f t="shared" si="178"/>
        <v>Composite Workflows ======</v>
      </c>
      <c r="AG77" s="1087"/>
      <c r="AH77" s="1348" t="str">
        <f t="shared" ref="AH77:AN77" si="189">AH$6</f>
        <v>Client</v>
      </c>
      <c r="AI77" s="1349" t="str">
        <f t="shared" si="189"/>
        <v>Citrix</v>
      </c>
      <c r="AJ77" s="1349" t="str">
        <f t="shared" si="189"/>
        <v>Web</v>
      </c>
      <c r="AK77" s="1349" t="str">
        <f t="shared" si="189"/>
        <v>Portal</v>
      </c>
      <c r="AL77" s="1349" t="str">
        <f t="shared" si="189"/>
        <v>SOC</v>
      </c>
      <c r="AM77" s="1350" t="str">
        <f t="shared" si="189"/>
        <v>DS/MDS</v>
      </c>
      <c r="AN77" s="1351" t="str">
        <f t="shared" si="189"/>
        <v>DBMS</v>
      </c>
      <c r="AO77" s="1084"/>
      <c r="AP77" s="2006"/>
      <c r="AQ77" s="2006"/>
      <c r="AR77" s="2006"/>
      <c r="AS77" s="2006"/>
      <c r="AT77" s="2006"/>
      <c r="AU77" s="2006"/>
      <c r="AV77" s="2006"/>
      <c r="AW77" s="2006"/>
      <c r="AX77" s="2006"/>
      <c r="AY77" s="2006"/>
      <c r="AZ77" s="2007"/>
      <c r="BA77" s="2007"/>
    </row>
    <row r="78" spans="1:54" ht="15" customHeight="1" x14ac:dyDescent="0.2">
      <c r="A78" s="1135" t="str">
        <f>A89</f>
        <v>Composite Workflow Analysis</v>
      </c>
      <c r="B78" s="1136">
        <f>L89</f>
        <v>210</v>
      </c>
      <c r="C78" s="1137">
        <f>C89</f>
        <v>41</v>
      </c>
      <c r="D78" s="1138">
        <f>D89</f>
        <v>0.2655433364398882</v>
      </c>
      <c r="E78" s="1139">
        <f>E89</f>
        <v>0</v>
      </c>
      <c r="F78" s="1139">
        <f t="shared" ref="F78:K78" si="190">F89</f>
        <v>8.2191985088536819E-3</v>
      </c>
      <c r="G78" s="2701">
        <f t="shared" si="190"/>
        <v>0</v>
      </c>
      <c r="H78" s="1139">
        <f t="shared" si="190"/>
        <v>0.16438397017707365</v>
      </c>
      <c r="I78" s="1139">
        <f t="shared" si="190"/>
        <v>5.0579683131407274E-2</v>
      </c>
      <c r="J78" s="1192">
        <f t="shared" si="190"/>
        <v>20</v>
      </c>
      <c r="K78" s="1139">
        <f t="shared" si="190"/>
        <v>5.0579683131407274E-2</v>
      </c>
      <c r="L78" s="1140">
        <f>B82</f>
        <v>3</v>
      </c>
      <c r="M78" s="1141">
        <f>IF(H76&gt;0,6,10)</f>
        <v>6</v>
      </c>
      <c r="N78" s="3004">
        <f>N89</f>
        <v>1</v>
      </c>
      <c r="O78" s="3005" t="s">
        <v>332</v>
      </c>
      <c r="P78" s="1130">
        <f>SUM(D78:I78,K78)</f>
        <v>0.53930587138863006</v>
      </c>
      <c r="Q78" s="1084"/>
      <c r="R78" s="3205"/>
      <c r="S78" s="3205"/>
      <c r="T78" s="1272">
        <f>C78</f>
        <v>41</v>
      </c>
      <c r="U78" s="1131">
        <f t="shared" ref="U78:Z79" si="191">D78*$K$3/$AB$3</f>
        <v>0.56143448275862073</v>
      </c>
      <c r="V78" s="1132">
        <f t="shared" si="191"/>
        <v>0</v>
      </c>
      <c r="W78" s="1132">
        <f t="shared" si="191"/>
        <v>1.7377733990147786E-2</v>
      </c>
      <c r="X78" s="1132">
        <f t="shared" si="191"/>
        <v>0</v>
      </c>
      <c r="Y78" s="1132">
        <f t="shared" si="191"/>
        <v>0.34755467980295573</v>
      </c>
      <c r="Z78" s="1132">
        <f t="shared" si="191"/>
        <v>0.10693990147783253</v>
      </c>
      <c r="AA78" s="1132">
        <f>J78</f>
        <v>20</v>
      </c>
      <c r="AB78" s="1132">
        <f>K78*$K$3/$AB$3</f>
        <v>0.10693990147783253</v>
      </c>
      <c r="AC78" s="1133">
        <f>L78</f>
        <v>3</v>
      </c>
      <c r="AD78" s="1130">
        <f>SUM(U78:Z78,AB78)</f>
        <v>1.1402466995073892</v>
      </c>
      <c r="AE78" s="1084"/>
      <c r="AF78" s="1134" t="str">
        <f t="shared" si="178"/>
        <v>Composite Workflow Analysis</v>
      </c>
      <c r="AG78" s="1087"/>
      <c r="AH78" s="1343">
        <f>1-SUM(AI78:AN78)</f>
        <v>0.49237983587338796</v>
      </c>
      <c r="AI78" s="1344">
        <f>E78/$P78</f>
        <v>0</v>
      </c>
      <c r="AJ78" s="1345">
        <f>F78/$P78</f>
        <v>1.5240328253223915E-2</v>
      </c>
      <c r="AK78" s="1345">
        <f>G78/$P78</f>
        <v>0</v>
      </c>
      <c r="AL78" s="1345">
        <f>H78/$P78</f>
        <v>0.30480656506447834</v>
      </c>
      <c r="AM78" s="1346">
        <f>I78/$P78</f>
        <v>9.3786635404454866E-2</v>
      </c>
      <c r="AN78" s="1347">
        <f>K78/$P78</f>
        <v>9.3786635404454866E-2</v>
      </c>
      <c r="AO78" s="1084"/>
      <c r="AP78" s="2006"/>
      <c r="AQ78" s="2006"/>
      <c r="AR78" s="2006"/>
      <c r="AS78" s="2006"/>
      <c r="AT78" s="2006"/>
      <c r="AU78" s="2006"/>
      <c r="AV78" s="2006"/>
      <c r="AW78" s="2006"/>
      <c r="AX78" s="2006"/>
      <c r="AY78" s="2006"/>
      <c r="AZ78" s="2007"/>
      <c r="BA78" s="2007"/>
    </row>
    <row r="79" spans="1:54" ht="16" hidden="1" x14ac:dyDescent="0.2">
      <c r="A79" s="1194" t="str">
        <f t="shared" ref="A79:M79" si="192">A76</f>
        <v>AGS REST 2D V Dynamic</v>
      </c>
      <c r="B79" s="1195">
        <f t="shared" si="192"/>
        <v>10</v>
      </c>
      <c r="C79" s="1196">
        <f t="shared" si="192"/>
        <v>1.0650111835973903</v>
      </c>
      <c r="D79" s="1197">
        <f t="shared" si="192"/>
        <v>2.0756756756756756E-2</v>
      </c>
      <c r="E79" s="1198">
        <f t="shared" si="192"/>
        <v>0</v>
      </c>
      <c r="F79" s="1198">
        <f t="shared" si="192"/>
        <v>6.9189189189189197E-3</v>
      </c>
      <c r="G79" s="2702">
        <f t="shared" si="192"/>
        <v>0</v>
      </c>
      <c r="H79" s="1198">
        <f t="shared" si="192"/>
        <v>5.5112043955323854E-2</v>
      </c>
      <c r="I79" s="1198">
        <f t="shared" si="192"/>
        <v>0</v>
      </c>
      <c r="J79" s="1199">
        <f t="shared" si="192"/>
        <v>6.6573849086672876</v>
      </c>
      <c r="K79" s="1198">
        <f t="shared" si="192"/>
        <v>9.4199201283638179E-3</v>
      </c>
      <c r="L79" s="1200">
        <f t="shared" si="192"/>
        <v>3</v>
      </c>
      <c r="M79" s="1201">
        <f t="shared" si="192"/>
        <v>6</v>
      </c>
      <c r="N79" s="2295"/>
      <c r="O79" s="2509"/>
      <c r="P79" s="1202">
        <f>SUM(D79:I79,K79)</f>
        <v>9.2207639759363344E-2</v>
      </c>
      <c r="Q79" s="1084"/>
      <c r="R79" s="3205"/>
      <c r="S79" s="3205"/>
      <c r="T79" s="129">
        <f>C79</f>
        <v>1.0650111835973903</v>
      </c>
      <c r="U79" s="68">
        <f t="shared" si="191"/>
        <v>4.3885714285714285E-2</v>
      </c>
      <c r="V79" s="27">
        <f t="shared" si="191"/>
        <v>0</v>
      </c>
      <c r="W79" s="363">
        <f t="shared" si="191"/>
        <v>1.4628571428571428E-2</v>
      </c>
      <c r="X79" s="363">
        <f t="shared" si="191"/>
        <v>0</v>
      </c>
      <c r="Y79" s="363">
        <f t="shared" si="191"/>
        <v>0.11652260721982759</v>
      </c>
      <c r="Z79" s="28">
        <f t="shared" si="191"/>
        <v>0</v>
      </c>
      <c r="AA79" s="129">
        <f>J79</f>
        <v>6.6573849086672876</v>
      </c>
      <c r="AB79" s="28">
        <f>K79*$K$3/$AB$3</f>
        <v>1.9916402557112071E-2</v>
      </c>
      <c r="AC79" s="364">
        <f>L79</f>
        <v>3</v>
      </c>
      <c r="AD79" s="182">
        <f>SUM(U79:Z79,AB79)</f>
        <v>0.19495329549122536</v>
      </c>
      <c r="AE79" s="1084"/>
      <c r="AF79" s="1173" t="str">
        <f>AF76</f>
        <v>AGS REST 2D V Dynamic</v>
      </c>
      <c r="AG79" s="1087"/>
      <c r="AO79" s="1084"/>
      <c r="AZ79" s="398"/>
      <c r="BA79" s="398"/>
    </row>
    <row r="80" spans="1:54" ht="15" customHeight="1" x14ac:dyDescent="0.2">
      <c r="A80" s="2546" t="s">
        <v>100</v>
      </c>
      <c r="B80" s="2547">
        <v>0</v>
      </c>
      <c r="C80" s="2547">
        <v>0</v>
      </c>
      <c r="D80" s="2547">
        <v>0</v>
      </c>
      <c r="E80" s="2547">
        <v>0</v>
      </c>
      <c r="F80" s="2547">
        <v>0</v>
      </c>
      <c r="G80" s="2703">
        <v>0</v>
      </c>
      <c r="H80" s="2547">
        <v>0</v>
      </c>
      <c r="I80" s="2547">
        <v>0</v>
      </c>
      <c r="J80" s="2547">
        <v>0</v>
      </c>
      <c r="K80" s="2547">
        <v>0</v>
      </c>
      <c r="L80" s="2547">
        <v>0</v>
      </c>
      <c r="M80" s="2547"/>
      <c r="N80" s="2296"/>
      <c r="O80" s="3006"/>
      <c r="P80" s="2548">
        <v>0</v>
      </c>
      <c r="Q80" s="1084"/>
      <c r="R80" s="3205"/>
      <c r="S80" s="3205"/>
      <c r="T80" s="2549"/>
      <c r="U80" s="2547"/>
      <c r="V80" s="2547"/>
      <c r="W80" s="2547"/>
      <c r="X80" s="2547"/>
      <c r="Y80" s="2547"/>
      <c r="Z80" s="2547"/>
      <c r="AA80" s="2547"/>
      <c r="AB80" s="2547"/>
      <c r="AC80" s="2547"/>
      <c r="AD80" s="2548"/>
      <c r="AE80" s="1084"/>
      <c r="AF80" s="2550"/>
      <c r="AG80" s="1087"/>
      <c r="AH80" s="1352">
        <v>0</v>
      </c>
      <c r="AI80" s="184">
        <v>0</v>
      </c>
      <c r="AJ80" s="184">
        <v>0</v>
      </c>
      <c r="AK80" s="184">
        <v>0</v>
      </c>
      <c r="AL80" s="184">
        <v>0</v>
      </c>
      <c r="AM80" s="184">
        <v>0</v>
      </c>
      <c r="AN80" s="1353">
        <v>0</v>
      </c>
      <c r="AO80" s="1084"/>
      <c r="AP80" s="416" t="s">
        <v>308</v>
      </c>
      <c r="AQ80" s="417" t="s">
        <v>426</v>
      </c>
      <c r="AR80" s="418" t="s">
        <v>303</v>
      </c>
      <c r="AS80" s="418" t="s">
        <v>333</v>
      </c>
      <c r="AT80" s="417" t="s">
        <v>367</v>
      </c>
      <c r="AU80" s="417" t="s">
        <v>320</v>
      </c>
      <c r="AV80" s="417" t="s">
        <v>312</v>
      </c>
      <c r="AW80" s="419" t="s">
        <v>330</v>
      </c>
      <c r="AX80" s="417" t="s">
        <v>308</v>
      </c>
      <c r="AY80" s="420" t="s">
        <v>329</v>
      </c>
      <c r="AZ80" s="420"/>
      <c r="BA80" s="420"/>
    </row>
    <row r="81" spans="1:53" ht="15" hidden="1" customHeight="1" outlineLevel="2" x14ac:dyDescent="0.2">
      <c r="A81" s="150" t="s">
        <v>57</v>
      </c>
      <c r="B81" s="453" t="s">
        <v>376</v>
      </c>
      <c r="C81" s="315"/>
      <c r="D81" s="1907" t="s">
        <v>817</v>
      </c>
      <c r="E81" s="180"/>
      <c r="F81" s="180"/>
      <c r="G81" s="2690"/>
      <c r="H81" s="180"/>
      <c r="I81" s="180"/>
      <c r="J81" s="180"/>
      <c r="K81" s="180"/>
      <c r="L81" s="3365" t="s">
        <v>278</v>
      </c>
      <c r="M81" s="3394"/>
      <c r="N81" s="2535"/>
      <c r="O81" s="2532"/>
      <c r="P81" s="3372" t="s">
        <v>294</v>
      </c>
      <c r="Q81" s="2530"/>
      <c r="R81" s="3208"/>
      <c r="S81" s="3208"/>
      <c r="T81" s="2551"/>
      <c r="U81" s="709"/>
      <c r="V81" s="709"/>
      <c r="W81" s="709"/>
      <c r="X81" s="709"/>
      <c r="Y81" s="709"/>
      <c r="Z81" s="709"/>
      <c r="AA81" s="709"/>
      <c r="AB81" s="709"/>
      <c r="AC81" s="709"/>
      <c r="AD81" s="709"/>
      <c r="AE81" s="2530"/>
      <c r="AF81" s="709"/>
      <c r="AG81" s="2531"/>
      <c r="AO81" s="1084"/>
      <c r="AP81" s="410"/>
      <c r="AQ81" s="26" t="s">
        <v>84</v>
      </c>
      <c r="AR81" s="120"/>
      <c r="AS81" s="120"/>
      <c r="AT81" s="120"/>
      <c r="AU81" s="120"/>
      <c r="AV81" s="120"/>
      <c r="AW81" s="120"/>
      <c r="AX81" s="120"/>
      <c r="AY81" s="411"/>
      <c r="AZ81" s="3392"/>
      <c r="BA81" s="3392"/>
    </row>
    <row r="82" spans="1:53" ht="15" hidden="1" customHeight="1" outlineLevel="2" x14ac:dyDescent="0.2">
      <c r="A82" s="151" t="s">
        <v>281</v>
      </c>
      <c r="B82" s="454">
        <v>3</v>
      </c>
      <c r="C82" s="316"/>
      <c r="D82" s="108" t="str">
        <f>D3</f>
        <v>Arc18 Baseline 4 core (1 chip) 3600 MHz</v>
      </c>
      <c r="E82" s="107"/>
      <c r="F82" s="107"/>
      <c r="G82" s="2704"/>
      <c r="H82" s="58"/>
      <c r="I82" s="109" t="s">
        <v>321</v>
      </c>
      <c r="J82" s="109"/>
      <c r="K82" s="284">
        <f>K3</f>
        <v>74</v>
      </c>
      <c r="L82" s="3366"/>
      <c r="M82" s="3395"/>
      <c r="N82" s="2536"/>
      <c r="O82" s="2533"/>
      <c r="P82" s="3373"/>
      <c r="Q82" s="1087"/>
      <c r="R82" s="3207"/>
      <c r="S82" s="3207"/>
      <c r="T82" s="1273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087"/>
      <c r="AF82" s="121"/>
      <c r="AG82" s="2526"/>
      <c r="AO82" s="1084"/>
      <c r="AP82" s="311"/>
      <c r="AQ82" s="283"/>
      <c r="AR82" s="108" t="str">
        <f>D82</f>
        <v>Arc18 Baseline 4 core (1 chip) 3600 MHz</v>
      </c>
      <c r="AS82" s="107"/>
      <c r="AT82" s="107"/>
      <c r="AU82" s="108"/>
      <c r="AV82" s="58"/>
      <c r="AW82" s="109" t="s">
        <v>321</v>
      </c>
      <c r="AX82" s="109"/>
      <c r="AY82" s="312">
        <f>K82</f>
        <v>74</v>
      </c>
      <c r="AZ82" s="3393"/>
      <c r="BA82" s="3393"/>
    </row>
    <row r="83" spans="1:53" ht="15" hidden="1" customHeight="1" outlineLevel="2" x14ac:dyDescent="0.2">
      <c r="A83" s="151" t="s">
        <v>282</v>
      </c>
      <c r="B83" s="455" t="s">
        <v>280</v>
      </c>
      <c r="C83" s="310" t="s">
        <v>303</v>
      </c>
      <c r="D83" s="26" t="s">
        <v>297</v>
      </c>
      <c r="E83" s="26"/>
      <c r="F83" s="26"/>
      <c r="G83" s="2691"/>
      <c r="H83" s="26"/>
      <c r="I83" s="26"/>
      <c r="J83" s="2534" t="s">
        <v>332</v>
      </c>
      <c r="K83" s="26"/>
      <c r="L83" s="3366"/>
      <c r="M83" s="3395"/>
      <c r="N83" s="2536"/>
      <c r="O83" s="2533"/>
      <c r="P83" s="3373"/>
      <c r="Q83" s="1087"/>
      <c r="R83" s="3207"/>
      <c r="S83" s="3207"/>
      <c r="T83" s="1273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087"/>
      <c r="AF83" s="121"/>
      <c r="AG83" s="2526"/>
      <c r="AO83" s="1084"/>
      <c r="AP83" s="310" t="s">
        <v>303</v>
      </c>
      <c r="AQ83" s="283" t="s">
        <v>386</v>
      </c>
      <c r="AR83" s="26" t="s">
        <v>5</v>
      </c>
      <c r="AS83" s="26"/>
      <c r="AT83" s="26"/>
      <c r="AU83" s="26"/>
      <c r="AV83" s="26"/>
      <c r="AW83" s="26"/>
      <c r="AX83" s="110" t="s">
        <v>332</v>
      </c>
      <c r="AY83" s="313"/>
      <c r="AZ83" s="3393"/>
      <c r="BA83" s="3393"/>
    </row>
    <row r="84" spans="1:53" ht="15" hidden="1" customHeight="1" outlineLevel="2" x14ac:dyDescent="0.2">
      <c r="A84" s="152" t="s">
        <v>3</v>
      </c>
      <c r="B84" s="455" t="s">
        <v>58</v>
      </c>
      <c r="C84" s="310" t="s">
        <v>317</v>
      </c>
      <c r="D84" s="111" t="s">
        <v>336</v>
      </c>
      <c r="E84" s="111"/>
      <c r="F84" s="111" t="str">
        <f>F5</f>
        <v>Web</v>
      </c>
      <c r="G84" s="2692"/>
      <c r="H84" s="2534" t="s">
        <v>312</v>
      </c>
      <c r="I84" s="2534" t="s">
        <v>330</v>
      </c>
      <c r="J84" s="2534" t="s">
        <v>317</v>
      </c>
      <c r="K84" s="2534" t="s">
        <v>309</v>
      </c>
      <c r="L84" s="3366"/>
      <c r="M84" s="3395"/>
      <c r="N84" s="2536"/>
      <c r="O84" s="2533"/>
      <c r="P84" s="3373"/>
      <c r="Q84" s="1087"/>
      <c r="R84" s="3207"/>
      <c r="S84" s="3207"/>
      <c r="T84" s="1273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087"/>
      <c r="AF84" s="121"/>
      <c r="AG84" s="2526"/>
      <c r="AO84" s="1084"/>
      <c r="AP84" s="310" t="s">
        <v>317</v>
      </c>
      <c r="AQ84" s="110" t="s">
        <v>342</v>
      </c>
      <c r="AR84" s="111" t="s">
        <v>336</v>
      </c>
      <c r="AS84" s="111"/>
      <c r="AT84" s="3386" t="s">
        <v>320</v>
      </c>
      <c r="AU84" s="3386"/>
      <c r="AV84" s="110" t="s">
        <v>312</v>
      </c>
      <c r="AW84" s="110" t="s">
        <v>330</v>
      </c>
      <c r="AX84" s="110" t="s">
        <v>317</v>
      </c>
      <c r="AY84" s="294" t="s">
        <v>309</v>
      </c>
      <c r="AZ84" s="3393"/>
      <c r="BA84" s="3393"/>
    </row>
    <row r="85" spans="1:53" ht="15" hidden="1" customHeight="1" outlineLevel="2" x14ac:dyDescent="0.2">
      <c r="A85" s="376" t="s">
        <v>4</v>
      </c>
      <c r="B85" s="456" t="s">
        <v>59</v>
      </c>
      <c r="C85" s="115" t="str">
        <f>C77</f>
        <v>Mbpd</v>
      </c>
      <c r="D85" s="113" t="str">
        <f>D77</f>
        <v>Client</v>
      </c>
      <c r="E85" s="113" t="str">
        <f>E77</f>
        <v>Citrix</v>
      </c>
      <c r="F85" s="113" t="str">
        <f t="shared" ref="F85:K85" si="193">F77</f>
        <v>Web</v>
      </c>
      <c r="G85" s="2705" t="str">
        <f t="shared" si="193"/>
        <v>Portal</v>
      </c>
      <c r="H85" s="113" t="str">
        <f t="shared" si="193"/>
        <v>SOC</v>
      </c>
      <c r="I85" s="113" t="str">
        <f t="shared" si="193"/>
        <v>DS/MDS</v>
      </c>
      <c r="J85" s="115" t="str">
        <f t="shared" si="193"/>
        <v>Mbpd</v>
      </c>
      <c r="K85" s="113" t="str">
        <f t="shared" si="193"/>
        <v>DBMS</v>
      </c>
      <c r="L85" s="115" t="str">
        <f>B77</f>
        <v>Trips</v>
      </c>
      <c r="M85" s="113"/>
      <c r="N85" s="2308"/>
      <c r="O85" s="2510"/>
      <c r="P85" s="307" t="s">
        <v>273</v>
      </c>
      <c r="Q85" s="1087"/>
      <c r="R85" s="3207"/>
      <c r="S85" s="3207"/>
      <c r="T85" s="1273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087"/>
      <c r="AF85" s="121"/>
      <c r="AG85" s="2526"/>
      <c r="AO85" s="1084"/>
      <c r="AP85" s="115" t="s">
        <v>308</v>
      </c>
      <c r="AQ85" s="113" t="s">
        <v>426</v>
      </c>
      <c r="AR85" s="112" t="s">
        <v>303</v>
      </c>
      <c r="AS85" s="112" t="s">
        <v>333</v>
      </c>
      <c r="AT85" s="113" t="s">
        <v>367</v>
      </c>
      <c r="AU85" s="113" t="s">
        <v>320</v>
      </c>
      <c r="AV85" s="113" t="s">
        <v>312</v>
      </c>
      <c r="AW85" s="114" t="s">
        <v>330</v>
      </c>
      <c r="AX85" s="115" t="s">
        <v>308</v>
      </c>
      <c r="AY85" s="244" t="s">
        <v>329</v>
      </c>
      <c r="AZ85" s="825"/>
      <c r="BA85" s="825" t="s">
        <v>1206</v>
      </c>
    </row>
    <row r="86" spans="1:53" ht="15" hidden="1" customHeight="1" outlineLevel="2" x14ac:dyDescent="0.2">
      <c r="A86" s="159" t="s">
        <v>209</v>
      </c>
      <c r="B86" s="2783">
        <v>1</v>
      </c>
      <c r="C86" s="2784">
        <f>VLOOKUP($A86,STDwfRANGE,3,FALSE)</f>
        <v>39</v>
      </c>
      <c r="D86" s="2785">
        <f>VLOOKUP($A86,STDwfRANGE,4,FALSE)</f>
        <v>0.24025349487418457</v>
      </c>
      <c r="E86" s="2785">
        <f>VLOOKUP($A86,STDwfRANGE,5,FALSE)</f>
        <v>0</v>
      </c>
      <c r="F86" s="2785">
        <f>VLOOKUP($A86,STDwfRANGE,6,FALSE)</f>
        <v>0</v>
      </c>
      <c r="G86" s="2786">
        <f>VLOOKUP($A86,STDwfRANGE,7,FALSE)</f>
        <v>0</v>
      </c>
      <c r="H86" s="2785">
        <f>VLOOKUP($A86,STDwfRANGE,8,FALSE)</f>
        <v>0</v>
      </c>
      <c r="I86" s="2785">
        <f>VLOOKUP($A86,STDwfRANGE,9,FALSE)</f>
        <v>3.0031686859273071E-2</v>
      </c>
      <c r="J86" s="2784">
        <f>VLOOKUP($A86,STDwfRANGE,10,FALSE)</f>
        <v>10</v>
      </c>
      <c r="K86" s="2785">
        <f>VLOOKUP($A86,STDwfRANGE,11,FALSE)</f>
        <v>3.0031686859273071E-2</v>
      </c>
      <c r="L86" s="2787">
        <f>VLOOKUP($A86,STDwfRANGE,2,FALSE)</f>
        <v>200</v>
      </c>
      <c r="M86" s="2788"/>
      <c r="N86" s="2306">
        <f>VLOOKUP($A86,STDwfRANGE,14,FALSE)</f>
        <v>1</v>
      </c>
      <c r="O86" s="2511"/>
      <c r="P86" s="2789">
        <f>+SUM(D86:I86)+K86</f>
        <v>0.30031686859273066</v>
      </c>
      <c r="Q86" s="1087"/>
      <c r="R86" s="3207"/>
      <c r="S86" s="3207"/>
      <c r="T86" s="1273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087"/>
      <c r="AF86" s="121"/>
      <c r="AG86" s="2526"/>
      <c r="AH86" s="1343">
        <f>1-SUM(AI86:AN86)</f>
        <v>0.79999999999999993</v>
      </c>
      <c r="AI86" s="1344">
        <f t="shared" ref="AI86:AM87" si="194">E86/$P86</f>
        <v>0</v>
      </c>
      <c r="AJ86" s="1345">
        <f t="shared" si="194"/>
        <v>0</v>
      </c>
      <c r="AK86" s="1345">
        <f t="shared" si="194"/>
        <v>0</v>
      </c>
      <c r="AL86" s="1345">
        <f t="shared" si="194"/>
        <v>0</v>
      </c>
      <c r="AM86" s="1346">
        <f t="shared" si="194"/>
        <v>0.10000000000000002</v>
      </c>
      <c r="AN86" s="1347">
        <f>K86/$P86</f>
        <v>0.10000000000000002</v>
      </c>
      <c r="AO86" s="1084"/>
      <c r="AP86" s="309">
        <f>C86*B86</f>
        <v>39</v>
      </c>
      <c r="AQ86" s="302">
        <f>$B86*L86</f>
        <v>200</v>
      </c>
      <c r="AR86" s="303">
        <f t="shared" ref="AR86:AY87" si="195">$B86*D86</f>
        <v>0.24025349487418457</v>
      </c>
      <c r="AS86" s="303">
        <f t="shared" si="195"/>
        <v>0</v>
      </c>
      <c r="AT86" s="303">
        <f t="shared" si="195"/>
        <v>0</v>
      </c>
      <c r="AU86" s="303">
        <f t="shared" si="195"/>
        <v>0</v>
      </c>
      <c r="AV86" s="303">
        <f t="shared" si="195"/>
        <v>0</v>
      </c>
      <c r="AW86" s="303">
        <f t="shared" si="195"/>
        <v>3.0031686859273071E-2</v>
      </c>
      <c r="AX86" s="301">
        <f t="shared" si="195"/>
        <v>10</v>
      </c>
      <c r="AY86" s="314">
        <f t="shared" si="195"/>
        <v>3.0031686859273071E-2</v>
      </c>
      <c r="AZ86" s="827"/>
      <c r="BA86" s="2289">
        <f>$B86*N86</f>
        <v>1</v>
      </c>
    </row>
    <row r="87" spans="1:53" ht="15" hidden="1" customHeight="1" outlineLevel="2" x14ac:dyDescent="0.2">
      <c r="A87" s="159" t="s">
        <v>213</v>
      </c>
      <c r="B87" s="2783">
        <v>1</v>
      </c>
      <c r="C87" s="2784">
        <f>VLOOKUP($A87,STDwfRANGE,3,FALSE)</f>
        <v>2</v>
      </c>
      <c r="D87" s="2785">
        <f>VLOOKUP($A87,STDwfRANGE,4,FALSE)</f>
        <v>2.5289841565703634E-2</v>
      </c>
      <c r="E87" s="2785">
        <f>VLOOKUP($A87,STDwfRANGE,5,FALSE)</f>
        <v>0</v>
      </c>
      <c r="F87" s="2785">
        <f>VLOOKUP($A87,STDwfRANGE,6,FALSE)</f>
        <v>8.2191985088536819E-3</v>
      </c>
      <c r="G87" s="2786">
        <f>VLOOKUP($A87,STDwfRANGE,7,FALSE)</f>
        <v>0</v>
      </c>
      <c r="H87" s="2785">
        <f>VLOOKUP($A87,STDwfRANGE,8,FALSE)</f>
        <v>0.16438397017707365</v>
      </c>
      <c r="I87" s="2785">
        <f>VLOOKUP($A87,STDwfRANGE,9,FALSE)</f>
        <v>2.0547996272134206E-2</v>
      </c>
      <c r="J87" s="2784">
        <f>VLOOKUP($A87,STDwfRANGE,10,FALSE)</f>
        <v>10</v>
      </c>
      <c r="K87" s="2785">
        <f>VLOOKUP($A87,STDwfRANGE,11,FALSE)</f>
        <v>2.0547996272134206E-2</v>
      </c>
      <c r="L87" s="2787">
        <f>VLOOKUP($A87,STDwfRANGE,2,FALSE)</f>
        <v>10</v>
      </c>
      <c r="M87" s="2788"/>
      <c r="N87" s="2306">
        <f>VLOOKUP($A87,STDwfRANGE,14,FALSE)</f>
        <v>1</v>
      </c>
      <c r="O87" s="2511"/>
      <c r="P87" s="2789">
        <f>+SUM(D87:I87)+K87</f>
        <v>0.23898900279589941</v>
      </c>
      <c r="Q87" s="1087"/>
      <c r="R87" s="3207"/>
      <c r="S87" s="3207"/>
      <c r="T87" s="1273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087"/>
      <c r="AF87" s="121"/>
      <c r="AG87" s="2526"/>
      <c r="AH87" s="1343">
        <f>1-SUM(AI87:AN87)</f>
        <v>0.10582010582010593</v>
      </c>
      <c r="AI87" s="1344">
        <f t="shared" si="194"/>
        <v>0</v>
      </c>
      <c r="AJ87" s="1345">
        <f t="shared" si="194"/>
        <v>3.4391534391534383E-2</v>
      </c>
      <c r="AK87" s="1345">
        <f t="shared" si="194"/>
        <v>0</v>
      </c>
      <c r="AL87" s="1345">
        <f t="shared" si="194"/>
        <v>0.68783068783068779</v>
      </c>
      <c r="AM87" s="1346">
        <f t="shared" si="194"/>
        <v>8.5978835978835974E-2</v>
      </c>
      <c r="AN87" s="1347">
        <f>K87/$P87</f>
        <v>8.5978835978835974E-2</v>
      </c>
      <c r="AO87" s="1084"/>
      <c r="AP87" s="309">
        <f>C87*B87</f>
        <v>2</v>
      </c>
      <c r="AQ87" s="302">
        <f>$B87*L87</f>
        <v>10</v>
      </c>
      <c r="AR87" s="303">
        <f t="shared" si="195"/>
        <v>2.5289841565703634E-2</v>
      </c>
      <c r="AS87" s="303">
        <f t="shared" si="195"/>
        <v>0</v>
      </c>
      <c r="AT87" s="303">
        <f t="shared" si="195"/>
        <v>8.2191985088536819E-3</v>
      </c>
      <c r="AU87" s="303">
        <f t="shared" si="195"/>
        <v>0</v>
      </c>
      <c r="AV87" s="303">
        <f t="shared" si="195"/>
        <v>0.16438397017707365</v>
      </c>
      <c r="AW87" s="303">
        <f t="shared" si="195"/>
        <v>2.0547996272134206E-2</v>
      </c>
      <c r="AX87" s="301">
        <f t="shared" si="195"/>
        <v>10</v>
      </c>
      <c r="AY87" s="314">
        <f t="shared" si="195"/>
        <v>2.0547996272134206E-2</v>
      </c>
      <c r="AZ87" s="827"/>
      <c r="BA87" s="2289">
        <f>$B87*N87</f>
        <v>1</v>
      </c>
    </row>
    <row r="88" spans="1:53" ht="15" hidden="1" customHeight="1" outlineLevel="2" x14ac:dyDescent="0.2">
      <c r="A88" s="308"/>
      <c r="B88" s="2790"/>
      <c r="C88" s="2791"/>
      <c r="D88" s="283" t="s">
        <v>6</v>
      </c>
      <c r="E88" s="2792"/>
      <c r="F88" s="2793"/>
      <c r="G88" s="2794"/>
      <c r="H88" s="2793"/>
      <c r="I88" s="2793"/>
      <c r="J88" s="2795"/>
      <c r="K88" s="2793"/>
      <c r="L88" s="2791"/>
      <c r="M88" s="2793"/>
      <c r="N88" s="2309"/>
      <c r="O88" s="2512"/>
      <c r="P88" s="2791"/>
      <c r="Q88" s="1087"/>
      <c r="R88" s="3207"/>
      <c r="S88" s="3207"/>
      <c r="T88" s="1273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087"/>
      <c r="AF88" s="121"/>
      <c r="AG88" s="2526"/>
      <c r="AO88" s="1084"/>
      <c r="AP88" s="304"/>
      <c r="AQ88" s="305"/>
      <c r="AR88" s="305"/>
      <c r="AS88" s="305"/>
      <c r="AT88" s="305"/>
      <c r="AU88" s="305"/>
      <c r="AV88" s="305"/>
      <c r="AW88" s="305"/>
      <c r="AX88" s="305"/>
      <c r="AY88" s="306"/>
      <c r="AZ88" s="826"/>
      <c r="BA88" s="826"/>
    </row>
    <row r="89" spans="1:53" ht="15" customHeight="1" collapsed="1" x14ac:dyDescent="0.2">
      <c r="A89" s="406" t="s">
        <v>84</v>
      </c>
      <c r="B89" s="2796">
        <v>1</v>
      </c>
      <c r="C89" s="2797">
        <f>AP89/$B89</f>
        <v>41</v>
      </c>
      <c r="D89" s="2798">
        <f t="shared" ref="D89:K89" si="196">AR89/$B89</f>
        <v>0.2655433364398882</v>
      </c>
      <c r="E89" s="2798">
        <f t="shared" si="196"/>
        <v>0</v>
      </c>
      <c r="F89" s="2798">
        <f t="shared" si="196"/>
        <v>8.2191985088536819E-3</v>
      </c>
      <c r="G89" s="2799">
        <f t="shared" si="196"/>
        <v>0</v>
      </c>
      <c r="H89" s="2798">
        <f t="shared" si="196"/>
        <v>0.16438397017707365</v>
      </c>
      <c r="I89" s="2798">
        <f t="shared" si="196"/>
        <v>5.0579683131407274E-2</v>
      </c>
      <c r="J89" s="2797">
        <f t="shared" si="196"/>
        <v>20</v>
      </c>
      <c r="K89" s="2798">
        <f t="shared" si="196"/>
        <v>5.0579683131407274E-2</v>
      </c>
      <c r="L89" s="2800">
        <f>AQ89/$B89</f>
        <v>210</v>
      </c>
      <c r="M89" s="2801"/>
      <c r="N89" s="2307">
        <f>BA89/($B89*COUNT(N86:N87))</f>
        <v>1</v>
      </c>
      <c r="O89" s="2552"/>
      <c r="P89" s="2802">
        <f>+SUM(D89:I89)+K89</f>
        <v>0.53930587138863006</v>
      </c>
      <c r="Q89" s="2528"/>
      <c r="R89" s="3209"/>
      <c r="S89" s="3209"/>
      <c r="T89" s="407"/>
      <c r="U89" s="408"/>
      <c r="V89" s="408"/>
      <c r="W89" s="408"/>
      <c r="X89" s="408"/>
      <c r="Y89" s="408"/>
      <c r="Z89" s="408"/>
      <c r="AA89" s="408"/>
      <c r="AB89" s="408"/>
      <c r="AC89" s="408"/>
      <c r="AD89" s="409"/>
      <c r="AE89" s="2528"/>
      <c r="AF89" s="406" t="str">
        <f>A89</f>
        <v>Composite Workflow Analysis</v>
      </c>
      <c r="AG89" s="2529"/>
      <c r="AH89" s="1343">
        <f>1-SUM(AI89:AN89)</f>
        <v>0.49237983587338796</v>
      </c>
      <c r="AI89" s="1344">
        <f>E89/$P89</f>
        <v>0</v>
      </c>
      <c r="AJ89" s="1345">
        <f>F89/$P89</f>
        <v>1.5240328253223915E-2</v>
      </c>
      <c r="AK89" s="1345">
        <f>G89/$P89</f>
        <v>0</v>
      </c>
      <c r="AL89" s="1345">
        <f>H89/$P89</f>
        <v>0.30480656506447834</v>
      </c>
      <c r="AM89" s="1346">
        <f>I89/$P89</f>
        <v>9.3786635404454866E-2</v>
      </c>
      <c r="AN89" s="1347">
        <f>K89/$P89</f>
        <v>9.3786635404454866E-2</v>
      </c>
      <c r="AO89" s="1084"/>
      <c r="AP89" s="412">
        <f t="shared" ref="AP89:BA89" si="197">SUM(AP86:AP88)</f>
        <v>41</v>
      </c>
      <c r="AQ89" s="413">
        <f t="shared" si="197"/>
        <v>210</v>
      </c>
      <c r="AR89" s="414">
        <f t="shared" si="197"/>
        <v>0.2655433364398882</v>
      </c>
      <c r="AS89" s="414">
        <f t="shared" si="197"/>
        <v>0</v>
      </c>
      <c r="AT89" s="414">
        <f t="shared" si="197"/>
        <v>8.2191985088536819E-3</v>
      </c>
      <c r="AU89" s="414">
        <f t="shared" si="197"/>
        <v>0</v>
      </c>
      <c r="AV89" s="414">
        <f t="shared" si="197"/>
        <v>0.16438397017707365</v>
      </c>
      <c r="AW89" s="414">
        <f t="shared" si="197"/>
        <v>5.0579683131407274E-2</v>
      </c>
      <c r="AX89" s="414">
        <f t="shared" si="197"/>
        <v>20</v>
      </c>
      <c r="AY89" s="415">
        <f t="shared" si="197"/>
        <v>5.0579683131407274E-2</v>
      </c>
      <c r="AZ89" s="828"/>
      <c r="BA89" s="2290">
        <f t="shared" si="197"/>
        <v>2</v>
      </c>
    </row>
    <row r="90" spans="1:53" s="1312" customFormat="1" ht="15" customHeight="1" x14ac:dyDescent="0.2">
      <c r="A90" s="2541"/>
      <c r="B90" s="2542"/>
      <c r="C90" s="2543"/>
      <c r="D90" s="2543"/>
      <c r="E90" s="2543"/>
      <c r="F90" s="2543"/>
      <c r="G90" s="2706"/>
      <c r="H90" s="2543"/>
      <c r="I90" s="2543"/>
      <c r="J90" s="2543"/>
      <c r="K90" s="2543"/>
      <c r="L90" s="2544"/>
      <c r="M90" s="2544"/>
      <c r="N90" s="2298"/>
      <c r="O90" s="2545"/>
      <c r="P90" s="2543"/>
      <c r="Q90" s="398"/>
      <c r="R90" s="3207"/>
      <c r="S90" s="3207"/>
      <c r="T90" s="398"/>
      <c r="U90" s="398"/>
      <c r="V90" s="398"/>
      <c r="W90" s="398"/>
      <c r="X90" s="398"/>
      <c r="Y90" s="398"/>
      <c r="Z90" s="398"/>
      <c r="AA90" s="398"/>
      <c r="AB90" s="398"/>
      <c r="AC90" s="398"/>
      <c r="AD90" s="398"/>
      <c r="AE90" s="398"/>
      <c r="AF90" s="2541"/>
      <c r="AG90" s="398"/>
      <c r="AH90" s="25"/>
      <c r="AI90" s="25"/>
      <c r="AJ90" s="25"/>
      <c r="AK90" s="25"/>
      <c r="AL90" s="1297"/>
      <c r="AM90" s="25"/>
      <c r="AN90" s="25"/>
      <c r="AP90" s="1313"/>
      <c r="AQ90" s="1314"/>
      <c r="AR90" s="1313"/>
      <c r="AS90" s="1313"/>
      <c r="AT90" s="1313"/>
      <c r="AU90" s="1313"/>
      <c r="AV90" s="1313"/>
      <c r="AW90" s="1313"/>
      <c r="AX90" s="1313"/>
      <c r="AY90" s="1313"/>
      <c r="AZ90" s="1315"/>
      <c r="BA90" s="1315"/>
    </row>
    <row r="91" spans="1:53" ht="15" hidden="1" customHeight="1" outlineLevel="1" x14ac:dyDescent="0.2">
      <c r="A91" s="1317" t="s">
        <v>672</v>
      </c>
      <c r="B91" s="1318"/>
      <c r="C91" s="1319" t="s">
        <v>402</v>
      </c>
      <c r="D91" s="1320"/>
      <c r="E91" s="1320"/>
      <c r="F91" s="1320"/>
      <c r="G91" s="2707"/>
      <c r="H91" s="1320"/>
      <c r="I91" s="1320"/>
      <c r="J91" s="1320"/>
      <c r="K91" s="1320"/>
      <c r="L91" s="177"/>
      <c r="M91" s="3372" t="s">
        <v>126</v>
      </c>
      <c r="N91" s="2299"/>
      <c r="O91" s="2563"/>
      <c r="P91" s="3375" t="s">
        <v>294</v>
      </c>
      <c r="Q91" s="3378" t="s">
        <v>13</v>
      </c>
      <c r="R91" s="3210"/>
      <c r="S91" s="3210"/>
      <c r="T91" s="1267" t="s">
        <v>56</v>
      </c>
      <c r="U91" s="180"/>
      <c r="V91" s="180"/>
      <c r="W91" s="180"/>
      <c r="X91" s="180"/>
      <c r="Y91" s="180"/>
      <c r="Z91" s="180"/>
      <c r="AA91" s="180"/>
      <c r="AB91" s="180"/>
      <c r="AC91" s="177"/>
      <c r="AD91" s="3375" t="s">
        <v>294</v>
      </c>
      <c r="AE91" s="3359" t="s">
        <v>53</v>
      </c>
      <c r="AF91" s="132" t="s">
        <v>391</v>
      </c>
      <c r="AG91" s="3359" t="s">
        <v>15</v>
      </c>
      <c r="AO91" s="3359" t="s">
        <v>14</v>
      </c>
      <c r="AZ91" s="3362"/>
      <c r="BA91" s="3362"/>
    </row>
    <row r="92" spans="1:53" ht="15" hidden="1" customHeight="1" outlineLevel="1" x14ac:dyDescent="0.2">
      <c r="A92" s="151" t="s">
        <v>281</v>
      </c>
      <c r="B92" s="3365" t="s">
        <v>278</v>
      </c>
      <c r="C92" s="2566"/>
      <c r="D92" s="3368" t="str">
        <f>D$3</f>
        <v>Arc18 Baseline 4 core (1 chip) 3600 MHz</v>
      </c>
      <c r="E92" s="3369"/>
      <c r="F92" s="3369"/>
      <c r="G92" s="3369"/>
      <c r="H92" s="3369"/>
      <c r="I92" s="59" t="str">
        <f>I$3</f>
        <v xml:space="preserve"> SRint06/core =</v>
      </c>
      <c r="J92" s="59"/>
      <c r="K92" s="144">
        <f>K$3</f>
        <v>74</v>
      </c>
      <c r="L92" s="145" t="s">
        <v>345</v>
      </c>
      <c r="M92" s="3373"/>
      <c r="N92" s="2297"/>
      <c r="O92" s="2564"/>
      <c r="P92" s="3376"/>
      <c r="Q92" s="3379"/>
      <c r="R92" s="3211"/>
      <c r="S92" s="3211"/>
      <c r="T92" s="187"/>
      <c r="U92" s="3370" t="str">
        <f>U3</f>
        <v>Arc10 Baseline 4 core (1 chip) 3467 MHz</v>
      </c>
      <c r="V92" s="3371"/>
      <c r="W92" s="3371"/>
      <c r="X92" s="3371"/>
      <c r="Y92" s="3371"/>
      <c r="Z92" s="1295" t="str">
        <f>Z3</f>
        <v xml:space="preserve"> SRint06/core =</v>
      </c>
      <c r="AA92" s="59"/>
      <c r="AB92" s="144">
        <f>AB3</f>
        <v>35</v>
      </c>
      <c r="AC92" s="145" t="s">
        <v>345</v>
      </c>
      <c r="AD92" s="3376"/>
      <c r="AE92" s="3360"/>
      <c r="AF92" s="133"/>
      <c r="AG92" s="3360"/>
      <c r="AO92" s="3360"/>
      <c r="AZ92" s="3363"/>
      <c r="BA92" s="3363"/>
    </row>
    <row r="93" spans="1:53" ht="15" hidden="1" customHeight="1" outlineLevel="1" x14ac:dyDescent="0.2">
      <c r="A93" s="151" t="s">
        <v>282</v>
      </c>
      <c r="B93" s="3366"/>
      <c r="C93" s="154" t="s">
        <v>303</v>
      </c>
      <c r="D93" s="26" t="s">
        <v>297</v>
      </c>
      <c r="E93" s="26"/>
      <c r="F93" s="26"/>
      <c r="G93" s="2691"/>
      <c r="H93" s="26"/>
      <c r="I93" s="26"/>
      <c r="J93" s="22" t="s">
        <v>369</v>
      </c>
      <c r="K93" s="26"/>
      <c r="L93" s="145" t="s">
        <v>292</v>
      </c>
      <c r="M93" s="3373"/>
      <c r="N93" s="2297"/>
      <c r="O93" s="2564"/>
      <c r="P93" s="3376"/>
      <c r="Q93" s="3379"/>
      <c r="R93" s="3211"/>
      <c r="S93" s="3211"/>
      <c r="T93" s="1268" t="s">
        <v>303</v>
      </c>
      <c r="U93" s="26" t="s">
        <v>297</v>
      </c>
      <c r="V93" s="26"/>
      <c r="W93" s="26"/>
      <c r="X93" s="26"/>
      <c r="Y93" s="26"/>
      <c r="Z93" s="26"/>
      <c r="AA93" s="22" t="s">
        <v>369</v>
      </c>
      <c r="AB93" s="26"/>
      <c r="AC93" s="145" t="s">
        <v>292</v>
      </c>
      <c r="AD93" s="3376"/>
      <c r="AE93" s="3360"/>
      <c r="AF93" s="133"/>
      <c r="AG93" s="3360"/>
      <c r="AO93" s="3360"/>
      <c r="AZ93" s="3363"/>
      <c r="BA93" s="3363"/>
    </row>
    <row r="94" spans="1:53" ht="15" hidden="1" customHeight="1" outlineLevel="1" x14ac:dyDescent="0.2">
      <c r="A94" s="2269" t="s">
        <v>101</v>
      </c>
      <c r="B94" s="3367"/>
      <c r="C94" s="2270" t="s">
        <v>317</v>
      </c>
      <c r="D94" s="2271" t="s">
        <v>303</v>
      </c>
      <c r="E94" s="2271"/>
      <c r="F94" s="2271" t="s">
        <v>304</v>
      </c>
      <c r="G94" s="2708"/>
      <c r="H94" s="2271" t="s">
        <v>312</v>
      </c>
      <c r="I94" s="2271" t="s">
        <v>329</v>
      </c>
      <c r="J94" s="2271" t="s">
        <v>317</v>
      </c>
      <c r="K94" s="2271" t="s">
        <v>329</v>
      </c>
      <c r="L94" s="2272" t="s">
        <v>293</v>
      </c>
      <c r="M94" s="3374"/>
      <c r="N94" s="2300"/>
      <c r="O94" s="2565"/>
      <c r="P94" s="3377"/>
      <c r="Q94" s="3380"/>
      <c r="R94" s="3212"/>
      <c r="S94" s="3212"/>
      <c r="T94" s="2273" t="s">
        <v>317</v>
      </c>
      <c r="U94" s="2271" t="s">
        <v>303</v>
      </c>
      <c r="V94" s="2271"/>
      <c r="W94" s="2271" t="s">
        <v>304</v>
      </c>
      <c r="X94" s="2271"/>
      <c r="Y94" s="2271" t="s">
        <v>312</v>
      </c>
      <c r="Z94" s="2271" t="s">
        <v>329</v>
      </c>
      <c r="AA94" s="2271" t="s">
        <v>317</v>
      </c>
      <c r="AB94" s="2271" t="s">
        <v>329</v>
      </c>
      <c r="AC94" s="2272" t="s">
        <v>293</v>
      </c>
      <c r="AD94" s="3377"/>
      <c r="AE94" s="3361"/>
      <c r="AF94" s="2274"/>
      <c r="AG94" s="3361"/>
      <c r="AO94" s="3361"/>
      <c r="AZ94" s="3364"/>
      <c r="BA94" s="3364"/>
    </row>
    <row r="95" spans="1:53" ht="15" hidden="1" customHeight="1" outlineLevel="1" x14ac:dyDescent="0.2">
      <c r="A95" s="457" t="s">
        <v>1876</v>
      </c>
      <c r="B95" s="450" t="str">
        <f t="shared" ref="B95:K106" si="198">B$6</f>
        <v>Trips</v>
      </c>
      <c r="C95" s="172" t="str">
        <f t="shared" si="198"/>
        <v>Mbpd</v>
      </c>
      <c r="D95" s="2556" t="str">
        <f>D$6</f>
        <v>Client</v>
      </c>
      <c r="E95" s="2556" t="str">
        <f>E$6</f>
        <v>Citrix</v>
      </c>
      <c r="F95" s="2556" t="str">
        <f t="shared" si="198"/>
        <v>Web</v>
      </c>
      <c r="G95" s="2709" t="str">
        <f t="shared" si="198"/>
        <v>Portal</v>
      </c>
      <c r="H95" s="2556" t="str">
        <f t="shared" si="198"/>
        <v>SOC</v>
      </c>
      <c r="I95" s="2556" t="str">
        <f t="shared" si="198"/>
        <v>DS/MDS</v>
      </c>
      <c r="J95" s="2556" t="str">
        <f t="shared" si="198"/>
        <v>Mbpd</v>
      </c>
      <c r="K95" s="2556" t="str">
        <f t="shared" si="198"/>
        <v>DBMS</v>
      </c>
      <c r="L95" s="178" t="s">
        <v>299</v>
      </c>
      <c r="M95" s="572" t="str">
        <f>M$6</f>
        <v>DPM/c</v>
      </c>
      <c r="N95" s="2292" t="str">
        <f>N$6</f>
        <v>MT</v>
      </c>
      <c r="O95" s="2506" t="str">
        <f>O$6</f>
        <v xml:space="preserve">WF </v>
      </c>
      <c r="P95" s="181" t="s">
        <v>273</v>
      </c>
      <c r="Q95" s="1084"/>
      <c r="R95" s="3205"/>
      <c r="S95" s="3205"/>
      <c r="T95" s="1270" t="s">
        <v>308</v>
      </c>
      <c r="U95" s="2556" t="s">
        <v>303</v>
      </c>
      <c r="V95" s="2556" t="str">
        <f>V$6</f>
        <v xml:space="preserve">WTS </v>
      </c>
      <c r="W95" s="2556" t="str">
        <f>+W$6</f>
        <v>Web</v>
      </c>
      <c r="X95" s="2556" t="str">
        <f>+X$6</f>
        <v>Portal</v>
      </c>
      <c r="Y95" s="2556" t="s">
        <v>312</v>
      </c>
      <c r="Z95" s="2556" t="s">
        <v>330</v>
      </c>
      <c r="AA95" s="2556" t="s">
        <v>308</v>
      </c>
      <c r="AB95" s="2556" t="s">
        <v>309</v>
      </c>
      <c r="AC95" s="178" t="s">
        <v>299</v>
      </c>
      <c r="AD95" s="181" t="s">
        <v>273</v>
      </c>
      <c r="AE95" s="1088"/>
      <c r="AF95" s="404" t="s">
        <v>1279</v>
      </c>
      <c r="AG95" s="1087"/>
      <c r="AH95" s="1338" t="str">
        <f t="shared" ref="AH95:AM95" si="199">D95</f>
        <v>Client</v>
      </c>
      <c r="AI95" s="1339" t="str">
        <f t="shared" si="199"/>
        <v>Citrix</v>
      </c>
      <c r="AJ95" s="1339" t="str">
        <f t="shared" si="199"/>
        <v>Web</v>
      </c>
      <c r="AK95" s="1339" t="str">
        <f t="shared" si="199"/>
        <v>Portal</v>
      </c>
      <c r="AL95" s="1340" t="str">
        <f t="shared" si="199"/>
        <v>SOC</v>
      </c>
      <c r="AM95" s="1341" t="str">
        <f t="shared" si="199"/>
        <v>DS/MDS</v>
      </c>
      <c r="AN95" s="1342" t="str">
        <f>K95</f>
        <v>DBMS</v>
      </c>
      <c r="AO95" s="1084"/>
      <c r="AP95" s="2006"/>
      <c r="AQ95" s="2006"/>
      <c r="AR95" s="2006"/>
      <c r="AS95" s="2006"/>
      <c r="AT95" s="2006"/>
      <c r="AU95" s="2006"/>
      <c r="AV95" s="2006"/>
      <c r="AW95" s="2006"/>
      <c r="AX95" s="2006"/>
      <c r="AY95" s="2006"/>
      <c r="AZ95" s="2007"/>
      <c r="BA95" s="2007"/>
    </row>
    <row r="96" spans="1:53" ht="15.75" hidden="1" customHeight="1" outlineLevel="2" x14ac:dyDescent="0.2">
      <c r="A96" s="458" t="s">
        <v>1284</v>
      </c>
      <c r="B96" s="451">
        <v>200</v>
      </c>
      <c r="C96" s="155">
        <v>26.367000000000001</v>
      </c>
      <c r="D96" s="68">
        <v>0.32540625000000001</v>
      </c>
      <c r="E96" s="27"/>
      <c r="F96" s="29">
        <v>0</v>
      </c>
      <c r="G96" s="2695">
        <v>0</v>
      </c>
      <c r="H96" s="29">
        <v>0</v>
      </c>
      <c r="I96" s="28">
        <v>0</v>
      </c>
      <c r="J96" s="129">
        <v>26.367000000000001</v>
      </c>
      <c r="K96" s="28">
        <v>3.6152634374999999E-2</v>
      </c>
      <c r="L96" s="146">
        <v>3</v>
      </c>
      <c r="M96" s="571">
        <v>10</v>
      </c>
      <c r="N96" s="2293">
        <v>1</v>
      </c>
      <c r="O96" s="2507" t="s">
        <v>336</v>
      </c>
      <c r="P96" s="182">
        <f t="shared" ref="P96:P97" si="200">SUM(D96:I96,K96)</f>
        <v>0.361558884375</v>
      </c>
      <c r="Q96" s="1233"/>
      <c r="R96" s="181"/>
      <c r="S96" s="181"/>
      <c r="T96" s="129">
        <f>C96</f>
        <v>26.367000000000001</v>
      </c>
      <c r="U96" s="68">
        <f>D96*$K$3/$AB$3</f>
        <v>0.68800178571428572</v>
      </c>
      <c r="V96" s="27"/>
      <c r="W96" s="363">
        <f t="shared" ref="W96:Z98" si="201">F96*$K$3/$AB$3</f>
        <v>0</v>
      </c>
      <c r="X96" s="363">
        <f t="shared" si="201"/>
        <v>0</v>
      </c>
      <c r="Y96" s="363">
        <f t="shared" si="201"/>
        <v>0</v>
      </c>
      <c r="Z96" s="28">
        <f t="shared" si="201"/>
        <v>0</v>
      </c>
      <c r="AA96" s="129">
        <f>J96</f>
        <v>26.367000000000001</v>
      </c>
      <c r="AB96" s="28">
        <f>K96*$K$3/$AB$3</f>
        <v>7.6436998392857142E-2</v>
      </c>
      <c r="AC96" s="364">
        <f>L96</f>
        <v>3</v>
      </c>
      <c r="AD96" s="182">
        <f t="shared" ref="AD96:AD97" si="202">SUM(U96:Z96,AB96)</f>
        <v>0.76443878410714283</v>
      </c>
      <c r="AE96" s="1084"/>
      <c r="AF96" s="463" t="s">
        <v>1284</v>
      </c>
      <c r="AG96" s="1087"/>
      <c r="AH96" s="1343">
        <f>1-SUM(AI96:AN96)</f>
        <v>0.90000900009000095</v>
      </c>
      <c r="AI96" s="1344">
        <f t="shared" ref="AI96:AM98" si="203">E96/$P96</f>
        <v>0</v>
      </c>
      <c r="AJ96" s="1345">
        <f t="shared" si="203"/>
        <v>0</v>
      </c>
      <c r="AK96" s="1345">
        <f t="shared" si="203"/>
        <v>0</v>
      </c>
      <c r="AL96" s="1345">
        <f t="shared" si="203"/>
        <v>0</v>
      </c>
      <c r="AM96" s="1346">
        <f t="shared" si="203"/>
        <v>0</v>
      </c>
      <c r="AN96" s="1347">
        <f>K96/$P96</f>
        <v>9.9990999909999101E-2</v>
      </c>
      <c r="AO96" s="1084"/>
      <c r="AP96" s="2006" t="s">
        <v>872</v>
      </c>
      <c r="AQ96" s="2006"/>
      <c r="AR96" s="2006"/>
      <c r="AS96" s="2006"/>
      <c r="AT96" s="2006"/>
      <c r="AU96" s="2006"/>
      <c r="AV96" s="2006"/>
      <c r="AW96" s="2006"/>
      <c r="AX96" s="2006"/>
      <c r="AY96" s="2006"/>
      <c r="AZ96" s="2007"/>
      <c r="BA96" s="2007"/>
    </row>
    <row r="97" spans="1:53" ht="15" hidden="1" customHeight="1" outlineLevel="2" x14ac:dyDescent="0.2">
      <c r="A97" s="458" t="s">
        <v>1357</v>
      </c>
      <c r="B97" s="451">
        <v>300</v>
      </c>
      <c r="C97" s="155">
        <v>39.551000000000002</v>
      </c>
      <c r="D97" s="68">
        <v>0.48810937500000001</v>
      </c>
      <c r="E97" s="27">
        <v>0</v>
      </c>
      <c r="F97" s="29">
        <v>0</v>
      </c>
      <c r="G97" s="2695">
        <v>0</v>
      </c>
      <c r="H97" s="29">
        <v>0</v>
      </c>
      <c r="I97" s="28">
        <v>0</v>
      </c>
      <c r="J97" s="129">
        <v>39.551000000000002</v>
      </c>
      <c r="K97" s="28">
        <v>5.4228951562500002E-2</v>
      </c>
      <c r="L97" s="146">
        <v>3</v>
      </c>
      <c r="M97" s="571">
        <v>10</v>
      </c>
      <c r="N97" s="2293">
        <v>1</v>
      </c>
      <c r="O97" s="2507" t="s">
        <v>336</v>
      </c>
      <c r="P97" s="182">
        <f t="shared" si="200"/>
        <v>0.54233832656250003</v>
      </c>
      <c r="Q97" s="1084"/>
      <c r="R97" s="3219">
        <f t="shared" ref="R97" si="204">F97+G97</f>
        <v>0</v>
      </c>
      <c r="S97" s="3219">
        <f t="shared" ref="S97" si="205">E97+H97+K97</f>
        <v>5.4228951562500002E-2</v>
      </c>
      <c r="T97" s="129">
        <f>C97</f>
        <v>39.551000000000002</v>
      </c>
      <c r="U97" s="68">
        <f>D97*$K$3/$AB$3</f>
        <v>1.0320026785714287</v>
      </c>
      <c r="V97" s="27">
        <f>E97*$K$3/$AB$3</f>
        <v>0</v>
      </c>
      <c r="W97" s="363">
        <f t="shared" si="201"/>
        <v>0</v>
      </c>
      <c r="X97" s="363">
        <f t="shared" si="201"/>
        <v>0</v>
      </c>
      <c r="Y97" s="363">
        <f t="shared" si="201"/>
        <v>0</v>
      </c>
      <c r="Z97" s="28">
        <f t="shared" si="201"/>
        <v>0</v>
      </c>
      <c r="AA97" s="129">
        <f>J97</f>
        <v>39.551000000000002</v>
      </c>
      <c r="AB97" s="28">
        <f>K97*$K$3/$AB$3</f>
        <v>0.11465549758928571</v>
      </c>
      <c r="AC97" s="364">
        <f>L97</f>
        <v>3</v>
      </c>
      <c r="AD97" s="182">
        <f t="shared" si="202"/>
        <v>1.1466581761607144</v>
      </c>
      <c r="AE97" s="1084"/>
      <c r="AF97" s="463" t="s">
        <v>1357</v>
      </c>
      <c r="AG97" s="1087"/>
      <c r="AH97" s="1343">
        <f t="shared" ref="AH97:AH98" si="206">1-SUM(AI97:AN97)</f>
        <v>0.90000900009000095</v>
      </c>
      <c r="AI97" s="1344">
        <f t="shared" si="203"/>
        <v>0</v>
      </c>
      <c r="AJ97" s="1345">
        <f t="shared" si="203"/>
        <v>0</v>
      </c>
      <c r="AK97" s="1345">
        <f t="shared" si="203"/>
        <v>0</v>
      </c>
      <c r="AL97" s="1345">
        <f t="shared" si="203"/>
        <v>0</v>
      </c>
      <c r="AM97" s="1346">
        <f t="shared" si="203"/>
        <v>0</v>
      </c>
      <c r="AN97" s="1347">
        <f>K97/$P97</f>
        <v>9.9990999909999101E-2</v>
      </c>
      <c r="AO97" s="1084"/>
      <c r="AP97" s="2006"/>
      <c r="AQ97" s="2006"/>
      <c r="AR97" s="2006"/>
      <c r="AS97" s="2006"/>
      <c r="AT97" s="2006"/>
      <c r="AU97" s="2006"/>
      <c r="AV97" s="2006"/>
      <c r="AW97" s="2006"/>
      <c r="AX97" s="2006"/>
      <c r="AY97" s="2006"/>
      <c r="AZ97" s="2007"/>
      <c r="BA97" s="2007"/>
    </row>
    <row r="98" spans="1:53" ht="15" hidden="1" customHeight="1" outlineLevel="2" x14ac:dyDescent="0.2">
      <c r="A98" s="458" t="s">
        <v>1485</v>
      </c>
      <c r="B98" s="451">
        <v>10</v>
      </c>
      <c r="C98" s="155">
        <v>8.41</v>
      </c>
      <c r="D98" s="68">
        <v>9.7621875000000038E-2</v>
      </c>
      <c r="E98" s="27">
        <v>0</v>
      </c>
      <c r="F98" s="29">
        <v>1.3837837837837838E-2</v>
      </c>
      <c r="G98" s="2695">
        <v>1.4875675675675677E-2</v>
      </c>
      <c r="H98" s="29">
        <v>1.6571953125000004E-2</v>
      </c>
      <c r="I98" s="28">
        <v>0</v>
      </c>
      <c r="J98" s="129">
        <v>7.91</v>
      </c>
      <c r="K98" s="28">
        <v>1.0845790312500004E-2</v>
      </c>
      <c r="L98" s="146">
        <v>3</v>
      </c>
      <c r="M98" s="571">
        <v>6</v>
      </c>
      <c r="N98" s="2293">
        <v>1</v>
      </c>
      <c r="O98" s="2507" t="s">
        <v>336</v>
      </c>
      <c r="P98" s="182">
        <f>SUM(D98:I98,K98)</f>
        <v>0.15375313195101356</v>
      </c>
      <c r="Q98" s="1084"/>
      <c r="R98" s="3205"/>
      <c r="S98" s="3205"/>
      <c r="T98" s="129">
        <f>C98</f>
        <v>8.41</v>
      </c>
      <c r="U98" s="68">
        <f>D98*$K$3/$AB$3</f>
        <v>0.20640053571428579</v>
      </c>
      <c r="V98" s="27">
        <f>E98*$K$3/$AB$3</f>
        <v>0</v>
      </c>
      <c r="W98" s="363">
        <f t="shared" si="201"/>
        <v>2.9257142857142857E-2</v>
      </c>
      <c r="X98" s="363">
        <f t="shared" si="201"/>
        <v>3.1451428571428575E-2</v>
      </c>
      <c r="Y98" s="363">
        <f t="shared" si="201"/>
        <v>3.5037843750000006E-2</v>
      </c>
      <c r="Z98" s="28">
        <f t="shared" si="201"/>
        <v>0</v>
      </c>
      <c r="AA98" s="129">
        <f>J98</f>
        <v>7.91</v>
      </c>
      <c r="AB98" s="28">
        <f>K98*$K$3/$AB$3</f>
        <v>2.2931099517857153E-2</v>
      </c>
      <c r="AC98" s="364">
        <f>L98</f>
        <v>3</v>
      </c>
      <c r="AD98" s="182">
        <f>SUM(U98:Z98,AB98)</f>
        <v>0.32507805041071441</v>
      </c>
      <c r="AE98" s="1084"/>
      <c r="AF98" s="463" t="s">
        <v>1485</v>
      </c>
      <c r="AG98" s="1087"/>
      <c r="AH98" s="1343">
        <f t="shared" si="206"/>
        <v>0.63492609068349126</v>
      </c>
      <c r="AI98" s="1344">
        <f t="shared" si="203"/>
        <v>0</v>
      </c>
      <c r="AJ98" s="1345">
        <f t="shared" si="203"/>
        <v>9.0000363974677505E-2</v>
      </c>
      <c r="AK98" s="1345">
        <f t="shared" si="203"/>
        <v>9.6750391272778319E-2</v>
      </c>
      <c r="AL98" s="1345">
        <f t="shared" si="203"/>
        <v>0.10778286539411699</v>
      </c>
      <c r="AM98" s="1346">
        <f t="shared" si="203"/>
        <v>0</v>
      </c>
      <c r="AN98" s="1347">
        <f>K98/$P98</f>
        <v>7.0540288674935878E-2</v>
      </c>
      <c r="AO98" s="1084"/>
      <c r="AP98" s="2006"/>
      <c r="AQ98" s="2006"/>
      <c r="AR98" s="2006"/>
      <c r="AS98" s="2006"/>
      <c r="AT98" s="2006"/>
      <c r="AU98" s="2006"/>
      <c r="AV98" s="2006"/>
      <c r="AW98" s="2006"/>
      <c r="AX98" s="2006"/>
      <c r="AY98" s="2006"/>
      <c r="AZ98" s="2007"/>
      <c r="BA98" s="2007"/>
    </row>
    <row r="99" spans="1:53" ht="15" hidden="1" customHeight="1" outlineLevel="1" collapsed="1" x14ac:dyDescent="0.2">
      <c r="A99" s="457" t="s">
        <v>1877</v>
      </c>
      <c r="B99" s="450" t="str">
        <f t="shared" si="198"/>
        <v>Trips</v>
      </c>
      <c r="C99" s="172" t="str">
        <f t="shared" si="198"/>
        <v>Mbpd</v>
      </c>
      <c r="D99" s="2556" t="s">
        <v>303</v>
      </c>
      <c r="E99" s="2556" t="s">
        <v>9</v>
      </c>
      <c r="F99" s="2556" t="s">
        <v>304</v>
      </c>
      <c r="G99" s="2709" t="s">
        <v>970</v>
      </c>
      <c r="H99" s="2556" t="s">
        <v>312</v>
      </c>
      <c r="I99" s="2556" t="s">
        <v>330</v>
      </c>
      <c r="J99" s="2556" t="s">
        <v>308</v>
      </c>
      <c r="K99" s="2556" t="s">
        <v>309</v>
      </c>
      <c r="L99" s="178" t="s">
        <v>299</v>
      </c>
      <c r="M99" s="572" t="str">
        <f>M$6</f>
        <v>DPM/c</v>
      </c>
      <c r="N99" s="2292" t="str">
        <f>N$6</f>
        <v>MT</v>
      </c>
      <c r="O99" s="2506" t="str">
        <f>O$6</f>
        <v xml:space="preserve">WF </v>
      </c>
      <c r="P99" s="181" t="s">
        <v>273</v>
      </c>
      <c r="Q99" s="1084"/>
      <c r="R99" s="3205"/>
      <c r="S99" s="3205"/>
      <c r="T99" s="1270" t="s">
        <v>308</v>
      </c>
      <c r="U99" s="2556" t="s">
        <v>303</v>
      </c>
      <c r="V99" s="2556" t="str">
        <f>V$6</f>
        <v xml:space="preserve">WTS </v>
      </c>
      <c r="W99" s="2556" t="str">
        <f>+W$6</f>
        <v>Web</v>
      </c>
      <c r="X99" s="2556" t="str">
        <f>+X$6</f>
        <v>Portal</v>
      </c>
      <c r="Y99" s="2556" t="s">
        <v>312</v>
      </c>
      <c r="Z99" s="2556" t="s">
        <v>330</v>
      </c>
      <c r="AA99" s="2556" t="s">
        <v>308</v>
      </c>
      <c r="AB99" s="2556" t="s">
        <v>309</v>
      </c>
      <c r="AC99" s="178" t="s">
        <v>299</v>
      </c>
      <c r="AD99" s="181" t="s">
        <v>273</v>
      </c>
      <c r="AE99" s="1088"/>
      <c r="AF99" s="404" t="s">
        <v>1280</v>
      </c>
      <c r="AG99" s="1087"/>
      <c r="AH99" s="1338" t="str">
        <f t="shared" ref="AH99:AM99" si="207">D99</f>
        <v>Client</v>
      </c>
      <c r="AI99" s="1339" t="str">
        <f t="shared" si="207"/>
        <v xml:space="preserve">WTS </v>
      </c>
      <c r="AJ99" s="1339" t="str">
        <f t="shared" si="207"/>
        <v>Web</v>
      </c>
      <c r="AK99" s="1339" t="str">
        <f t="shared" si="207"/>
        <v>Portal</v>
      </c>
      <c r="AL99" s="1340" t="str">
        <f t="shared" si="207"/>
        <v>SOC</v>
      </c>
      <c r="AM99" s="1341" t="str">
        <f t="shared" si="207"/>
        <v>SDE</v>
      </c>
      <c r="AN99" s="1342" t="str">
        <f>K99</f>
        <v>DBMS</v>
      </c>
      <c r="AO99" s="1084"/>
      <c r="AP99" s="2006"/>
      <c r="AQ99" s="2006"/>
      <c r="AR99" s="2006"/>
      <c r="AS99" s="2006"/>
      <c r="AT99" s="2006"/>
      <c r="AU99" s="2006"/>
      <c r="AV99" s="2006"/>
      <c r="AW99" s="2006"/>
      <c r="AX99" s="2006"/>
      <c r="AY99" s="2006"/>
      <c r="AZ99" s="2007"/>
      <c r="BA99" s="2007"/>
    </row>
    <row r="100" spans="1:53" ht="15.75" hidden="1" customHeight="1" outlineLevel="2" x14ac:dyDescent="0.2">
      <c r="A100" s="458" t="s">
        <v>1285</v>
      </c>
      <c r="B100" s="451">
        <v>10</v>
      </c>
      <c r="C100" s="155">
        <v>0.73799999999999999</v>
      </c>
      <c r="D100" s="68">
        <v>2.0756756756756756E-2</v>
      </c>
      <c r="E100" s="27">
        <v>0.32540625000000001</v>
      </c>
      <c r="F100" s="29">
        <v>0</v>
      </c>
      <c r="G100" s="2695">
        <v>0</v>
      </c>
      <c r="H100" s="29">
        <v>0</v>
      </c>
      <c r="I100" s="28">
        <v>0</v>
      </c>
      <c r="J100" s="129">
        <v>26.367000000000001</v>
      </c>
      <c r="K100" s="28">
        <v>3.6152634374999999E-2</v>
      </c>
      <c r="L100" s="146">
        <v>3</v>
      </c>
      <c r="M100" s="571">
        <v>10</v>
      </c>
      <c r="N100" s="2293">
        <v>1</v>
      </c>
      <c r="O100" s="2507" t="s">
        <v>336</v>
      </c>
      <c r="P100" s="182">
        <f t="shared" ref="P100:P105" si="208">SUM(D100:I100,K100)</f>
        <v>0.38231564113175676</v>
      </c>
      <c r="Q100" s="1233"/>
      <c r="R100" s="181"/>
      <c r="S100" s="181"/>
      <c r="T100" s="129">
        <f>C100</f>
        <v>0.73799999999999999</v>
      </c>
      <c r="U100" s="68">
        <f t="shared" ref="U100:Z101" si="209">D100*$K$3/$AB$3</f>
        <v>4.3885714285714285E-2</v>
      </c>
      <c r="V100" s="27">
        <f t="shared" si="209"/>
        <v>0.68800178571428572</v>
      </c>
      <c r="W100" s="363">
        <f t="shared" si="209"/>
        <v>0</v>
      </c>
      <c r="X100" s="363">
        <f t="shared" si="209"/>
        <v>0</v>
      </c>
      <c r="Y100" s="363">
        <f t="shared" si="209"/>
        <v>0</v>
      </c>
      <c r="Z100" s="28">
        <f t="shared" si="209"/>
        <v>0</v>
      </c>
      <c r="AA100" s="129">
        <f>J100</f>
        <v>26.367000000000001</v>
      </c>
      <c r="AB100" s="28">
        <f>K100*$K$3/$AB$3</f>
        <v>7.6436998392857142E-2</v>
      </c>
      <c r="AC100" s="364">
        <f>L100</f>
        <v>3</v>
      </c>
      <c r="AD100" s="182">
        <f t="shared" ref="AD100:AD101" si="210">SUM(U100:Z100,AB100)</f>
        <v>0.80832449839285714</v>
      </c>
      <c r="AE100" s="1084"/>
      <c r="AF100" s="463" t="s">
        <v>1285</v>
      </c>
      <c r="AG100" s="1087"/>
      <c r="AH100" s="1343">
        <f>1-SUM(AI100:AN100)</f>
        <v>5.4292198706051287E-2</v>
      </c>
      <c r="AI100" s="1344">
        <f t="shared" ref="AI100:AM105" si="211">E100/$P100</f>
        <v>0.85114553261988002</v>
      </c>
      <c r="AJ100" s="1345">
        <f t="shared" si="211"/>
        <v>0</v>
      </c>
      <c r="AK100" s="1345">
        <f t="shared" si="211"/>
        <v>0</v>
      </c>
      <c r="AL100" s="1345">
        <f t="shared" si="211"/>
        <v>0</v>
      </c>
      <c r="AM100" s="1346">
        <f t="shared" si="211"/>
        <v>0</v>
      </c>
      <c r="AN100" s="1347">
        <f t="shared" ref="AN100:AN105" si="212">K100/$P100</f>
        <v>9.4562268674068667E-2</v>
      </c>
      <c r="AO100" s="1084"/>
      <c r="AP100" s="2006" t="s">
        <v>872</v>
      </c>
      <c r="AQ100" s="2006"/>
      <c r="AR100" s="2006"/>
      <c r="AS100" s="2006"/>
      <c r="AT100" s="2006"/>
      <c r="AU100" s="2006"/>
      <c r="AV100" s="2006"/>
      <c r="AW100" s="2006"/>
      <c r="AX100" s="2006"/>
      <c r="AY100" s="2006"/>
      <c r="AZ100" s="2007"/>
      <c r="BA100" s="2007"/>
    </row>
    <row r="101" spans="1:53" ht="15" hidden="1" customHeight="1" outlineLevel="2" x14ac:dyDescent="0.2">
      <c r="A101" s="458" t="s">
        <v>1362</v>
      </c>
      <c r="B101" s="451">
        <v>10</v>
      </c>
      <c r="C101" s="155">
        <v>1.107</v>
      </c>
      <c r="D101" s="68">
        <v>2.0756756756756756E-2</v>
      </c>
      <c r="E101" s="27">
        <v>0.48810937500000001</v>
      </c>
      <c r="F101" s="29">
        <v>0</v>
      </c>
      <c r="G101" s="2695">
        <v>0</v>
      </c>
      <c r="H101" s="29">
        <v>0</v>
      </c>
      <c r="I101" s="28">
        <v>0</v>
      </c>
      <c r="J101" s="129">
        <v>39.551000000000002</v>
      </c>
      <c r="K101" s="28">
        <v>5.4228951562500002E-2</v>
      </c>
      <c r="L101" s="146">
        <v>3</v>
      </c>
      <c r="M101" s="571">
        <v>10</v>
      </c>
      <c r="N101" s="2293">
        <v>1</v>
      </c>
      <c r="O101" s="2507" t="s">
        <v>336</v>
      </c>
      <c r="P101" s="182">
        <f t="shared" si="208"/>
        <v>0.56309508331925673</v>
      </c>
      <c r="Q101" s="1084"/>
      <c r="R101" s="3219">
        <f t="shared" ref="R101" si="213">F101+G101</f>
        <v>0</v>
      </c>
      <c r="S101" s="3219">
        <f t="shared" ref="S101" si="214">E101+H101+K101</f>
        <v>0.54233832656250003</v>
      </c>
      <c r="T101" s="129">
        <f>C101</f>
        <v>1.107</v>
      </c>
      <c r="U101" s="68">
        <f t="shared" si="209"/>
        <v>4.3885714285714285E-2</v>
      </c>
      <c r="V101" s="27">
        <f t="shared" si="209"/>
        <v>1.0320026785714287</v>
      </c>
      <c r="W101" s="363">
        <f t="shared" si="209"/>
        <v>0</v>
      </c>
      <c r="X101" s="363">
        <f t="shared" si="209"/>
        <v>0</v>
      </c>
      <c r="Y101" s="363">
        <f t="shared" si="209"/>
        <v>0</v>
      </c>
      <c r="Z101" s="28">
        <f t="shared" si="209"/>
        <v>0</v>
      </c>
      <c r="AA101" s="129">
        <f>J101</f>
        <v>39.551000000000002</v>
      </c>
      <c r="AB101" s="28">
        <f>K101*$K$3/$AB$3</f>
        <v>0.11465549758928571</v>
      </c>
      <c r="AC101" s="364">
        <f>L101</f>
        <v>3</v>
      </c>
      <c r="AD101" s="182">
        <f t="shared" si="210"/>
        <v>1.1905438904464287</v>
      </c>
      <c r="AE101" s="1084"/>
      <c r="AF101" s="463" t="s">
        <v>1362</v>
      </c>
      <c r="AG101" s="1087"/>
      <c r="AH101" s="1343">
        <f t="shared" ref="AH101:AH103" si="215">1-SUM(AI101:AN101)</f>
        <v>3.6861903738179658E-2</v>
      </c>
      <c r="AI101" s="1344">
        <f t="shared" si="211"/>
        <v>0.86683295496518797</v>
      </c>
      <c r="AJ101" s="1345">
        <f t="shared" si="211"/>
        <v>0</v>
      </c>
      <c r="AK101" s="1345">
        <f t="shared" si="211"/>
        <v>0</v>
      </c>
      <c r="AL101" s="1345">
        <f t="shared" si="211"/>
        <v>0</v>
      </c>
      <c r="AM101" s="1346">
        <f t="shared" si="211"/>
        <v>0</v>
      </c>
      <c r="AN101" s="1347">
        <f t="shared" si="212"/>
        <v>9.6305141296632382E-2</v>
      </c>
      <c r="AO101" s="1084"/>
      <c r="AP101" s="2006"/>
      <c r="AQ101" s="2006"/>
      <c r="AR101" s="2006"/>
      <c r="AS101" s="2006"/>
      <c r="AT101" s="2006"/>
      <c r="AU101" s="2006"/>
      <c r="AV101" s="2006"/>
      <c r="AW101" s="2006"/>
      <c r="AX101" s="2006"/>
      <c r="AY101" s="2006"/>
      <c r="AZ101" s="2007"/>
      <c r="BA101" s="2007"/>
    </row>
    <row r="102" spans="1:53" ht="15.75" hidden="1" customHeight="1" outlineLevel="2" x14ac:dyDescent="0.2">
      <c r="A102" s="458" t="s">
        <v>1286</v>
      </c>
      <c r="B102" s="451">
        <v>10</v>
      </c>
      <c r="C102" s="155">
        <v>5.274</v>
      </c>
      <c r="D102" s="68">
        <v>2.9547169811320755E-2</v>
      </c>
      <c r="E102" s="27">
        <v>0.45492574439858491</v>
      </c>
      <c r="F102" s="29">
        <v>0</v>
      </c>
      <c r="G102" s="2695">
        <v>0</v>
      </c>
      <c r="H102" s="29">
        <v>0</v>
      </c>
      <c r="I102" s="28">
        <v>0</v>
      </c>
      <c r="J102" s="129">
        <v>26.367000000000001</v>
      </c>
      <c r="K102" s="28">
        <v>5.0542250202682777E-2</v>
      </c>
      <c r="L102" s="146">
        <v>3</v>
      </c>
      <c r="M102" s="571">
        <v>10</v>
      </c>
      <c r="N102" s="2293">
        <v>1</v>
      </c>
      <c r="O102" s="2507" t="s">
        <v>336</v>
      </c>
      <c r="P102" s="182">
        <f t="shared" si="208"/>
        <v>0.53501516441258845</v>
      </c>
      <c r="Q102" s="1233"/>
      <c r="R102" s="3204"/>
      <c r="S102" s="3204"/>
      <c r="T102" s="129">
        <v>5.2729999999999997</v>
      </c>
      <c r="U102" s="68">
        <v>2.9547169811320755E-2</v>
      </c>
      <c r="V102" s="27">
        <v>0.45492574439858491</v>
      </c>
      <c r="W102" s="363">
        <v>0</v>
      </c>
      <c r="X102" s="363">
        <v>0</v>
      </c>
      <c r="Y102" s="363">
        <v>0</v>
      </c>
      <c r="Z102" s="28">
        <v>0</v>
      </c>
      <c r="AA102" s="129">
        <v>26.367000000000001</v>
      </c>
      <c r="AB102" s="28">
        <v>5.0542250202682777E-2</v>
      </c>
      <c r="AC102" s="364">
        <v>3</v>
      </c>
      <c r="AD102" s="182">
        <v>0.53501516441258845</v>
      </c>
      <c r="AE102" s="1084"/>
      <c r="AF102" s="463" t="s">
        <v>1286</v>
      </c>
      <c r="AG102" s="1087"/>
      <c r="AH102" s="1343">
        <f t="shared" si="215"/>
        <v>5.5226789400935283E-2</v>
      </c>
      <c r="AI102" s="1344">
        <f t="shared" si="211"/>
        <v>0.8503043925830841</v>
      </c>
      <c r="AJ102" s="1345">
        <f t="shared" si="211"/>
        <v>0</v>
      </c>
      <c r="AK102" s="1345">
        <f t="shared" si="211"/>
        <v>0</v>
      </c>
      <c r="AL102" s="1345">
        <f t="shared" si="211"/>
        <v>0</v>
      </c>
      <c r="AM102" s="1346">
        <f t="shared" si="211"/>
        <v>0</v>
      </c>
      <c r="AN102" s="1347">
        <f t="shared" si="212"/>
        <v>9.446881801598063E-2</v>
      </c>
      <c r="AO102" s="1084"/>
      <c r="AP102" s="2006"/>
      <c r="AQ102" s="2006"/>
      <c r="AR102" s="2006"/>
      <c r="AS102" s="2006"/>
      <c r="AT102" s="2006"/>
      <c r="AU102" s="2006"/>
      <c r="AV102" s="2006"/>
      <c r="AW102" s="2006"/>
      <c r="AX102" s="2006"/>
      <c r="AY102" s="2006"/>
      <c r="AZ102" s="2007"/>
      <c r="BA102" s="2007"/>
    </row>
    <row r="103" spans="1:53" ht="15.75" hidden="1" customHeight="1" outlineLevel="2" x14ac:dyDescent="0.2">
      <c r="A103" s="458" t="s">
        <v>1363</v>
      </c>
      <c r="B103" s="451">
        <v>10</v>
      </c>
      <c r="C103" s="155">
        <v>7.91</v>
      </c>
      <c r="D103" s="68">
        <v>2.9547169811320755E-2</v>
      </c>
      <c r="E103" s="27">
        <v>0.45492574439858491</v>
      </c>
      <c r="F103" s="29">
        <v>0</v>
      </c>
      <c r="G103" s="2695">
        <v>0</v>
      </c>
      <c r="H103" s="29">
        <v>0</v>
      </c>
      <c r="I103" s="28">
        <v>0</v>
      </c>
      <c r="J103" s="129">
        <v>26.367000000000001</v>
      </c>
      <c r="K103" s="28">
        <v>5.0542250202682777E-2</v>
      </c>
      <c r="L103" s="146">
        <v>3</v>
      </c>
      <c r="M103" s="571">
        <v>10</v>
      </c>
      <c r="N103" s="2293">
        <v>1</v>
      </c>
      <c r="O103" s="2507" t="s">
        <v>336</v>
      </c>
      <c r="P103" s="182">
        <f t="shared" si="208"/>
        <v>0.53501516441258845</v>
      </c>
      <c r="Q103" s="1233"/>
      <c r="R103" s="3204"/>
      <c r="S103" s="3204"/>
      <c r="T103" s="129">
        <v>5.2729999999999997</v>
      </c>
      <c r="U103" s="68">
        <v>2.9547169811320755E-2</v>
      </c>
      <c r="V103" s="27">
        <v>0.45492574439858491</v>
      </c>
      <c r="W103" s="363">
        <v>0</v>
      </c>
      <c r="X103" s="363">
        <v>0</v>
      </c>
      <c r="Y103" s="363">
        <v>0</v>
      </c>
      <c r="Z103" s="28">
        <v>0</v>
      </c>
      <c r="AA103" s="129">
        <v>26.367000000000001</v>
      </c>
      <c r="AB103" s="28">
        <v>5.0542250202682777E-2</v>
      </c>
      <c r="AC103" s="364">
        <v>3</v>
      </c>
      <c r="AD103" s="182">
        <v>0.53501516441258845</v>
      </c>
      <c r="AE103" s="1084"/>
      <c r="AF103" s="463" t="s">
        <v>1363</v>
      </c>
      <c r="AG103" s="1087"/>
      <c r="AH103" s="1343">
        <f t="shared" si="215"/>
        <v>5.5226789400935283E-2</v>
      </c>
      <c r="AI103" s="1344">
        <f t="shared" si="211"/>
        <v>0.8503043925830841</v>
      </c>
      <c r="AJ103" s="1345">
        <f t="shared" si="211"/>
        <v>0</v>
      </c>
      <c r="AK103" s="1345">
        <f t="shared" si="211"/>
        <v>0</v>
      </c>
      <c r="AL103" s="1345">
        <f t="shared" si="211"/>
        <v>0</v>
      </c>
      <c r="AM103" s="1346">
        <f t="shared" si="211"/>
        <v>0</v>
      </c>
      <c r="AN103" s="1347">
        <f t="shared" si="212"/>
        <v>9.446881801598063E-2</v>
      </c>
      <c r="AO103" s="1084"/>
      <c r="AP103" s="2006"/>
      <c r="AQ103" s="2006"/>
      <c r="AR103" s="2006"/>
      <c r="AS103" s="2006"/>
      <c r="AT103" s="2006"/>
      <c r="AU103" s="2006"/>
      <c r="AV103" s="2006"/>
      <c r="AW103" s="2006"/>
      <c r="AX103" s="2006"/>
      <c r="AY103" s="2006"/>
      <c r="AZ103" s="2007"/>
      <c r="BA103" s="2007"/>
    </row>
    <row r="104" spans="1:53" ht="15" hidden="1" customHeight="1" outlineLevel="2" x14ac:dyDescent="0.2">
      <c r="A104" s="458" t="s">
        <v>1580</v>
      </c>
      <c r="B104" s="451">
        <v>10</v>
      </c>
      <c r="C104" s="155">
        <v>0.66400000000000003</v>
      </c>
      <c r="D104" s="68">
        <v>2.9547169811320755E-2</v>
      </c>
      <c r="E104" s="27">
        <v>0.45492574439858491</v>
      </c>
      <c r="F104" s="29">
        <v>1.9698113207547167E-2</v>
      </c>
      <c r="G104" s="2695">
        <v>2.0792452830188679E-3</v>
      </c>
      <c r="H104" s="29">
        <v>7.710605837264152E-2</v>
      </c>
      <c r="I104" s="28">
        <v>0</v>
      </c>
      <c r="J104" s="129">
        <v>26.367000000000001</v>
      </c>
      <c r="K104" s="28">
        <v>5.0542250202682777E-2</v>
      </c>
      <c r="L104" s="146">
        <v>3</v>
      </c>
      <c r="M104" s="571">
        <v>6</v>
      </c>
      <c r="N104" s="2293">
        <v>1</v>
      </c>
      <c r="O104" s="2507" t="s">
        <v>336</v>
      </c>
      <c r="P104" s="182">
        <f t="shared" si="208"/>
        <v>0.63389858127579601</v>
      </c>
      <c r="Q104" s="1084"/>
      <c r="R104" s="3205"/>
      <c r="S104" s="3205"/>
      <c r="T104" s="129">
        <v>0.73799999999999999</v>
      </c>
      <c r="U104" s="68">
        <v>2.9547169811320755E-2</v>
      </c>
      <c r="V104" s="27">
        <v>0.45492574439858491</v>
      </c>
      <c r="W104" s="363">
        <v>1.9698113207547167E-2</v>
      </c>
      <c r="X104" s="363">
        <v>2.0792452830188679E-3</v>
      </c>
      <c r="Y104" s="363">
        <v>7.710605837264152E-2</v>
      </c>
      <c r="Z104" s="28">
        <v>0</v>
      </c>
      <c r="AA104" s="129">
        <v>26.367000000000001</v>
      </c>
      <c r="AB104" s="28">
        <v>5.0542250202682777E-2</v>
      </c>
      <c r="AC104" s="364">
        <v>3</v>
      </c>
      <c r="AD104" s="182">
        <v>0.63389858127579601</v>
      </c>
      <c r="AE104" s="1084"/>
      <c r="AF104" s="463" t="s">
        <v>1580</v>
      </c>
      <c r="AG104" s="1087"/>
      <c r="AH104" s="1343">
        <f t="shared" ref="AH104:AH105" si="216">1-SUM(AI104:AN104)</f>
        <v>4.6611825115389305E-2</v>
      </c>
      <c r="AI104" s="1344">
        <f t="shared" si="211"/>
        <v>0.71766329478604118</v>
      </c>
      <c r="AJ104" s="1345">
        <f t="shared" si="211"/>
        <v>3.1074550076926152E-2</v>
      </c>
      <c r="AK104" s="1345">
        <f t="shared" si="211"/>
        <v>3.2800913970088721E-3</v>
      </c>
      <c r="AL104" s="1345">
        <f t="shared" si="211"/>
        <v>0.12163784657390531</v>
      </c>
      <c r="AM104" s="1346">
        <f t="shared" si="211"/>
        <v>0</v>
      </c>
      <c r="AN104" s="1347">
        <f t="shared" si="212"/>
        <v>7.973239205072917E-2</v>
      </c>
      <c r="AO104" s="1084"/>
      <c r="AP104" s="2006"/>
      <c r="AQ104" s="2006"/>
      <c r="AR104" s="2006"/>
      <c r="AS104" s="2006"/>
      <c r="AT104" s="2006"/>
      <c r="AU104" s="2006"/>
      <c r="AV104" s="2006"/>
      <c r="AW104" s="2006"/>
      <c r="AX104" s="2006"/>
      <c r="AY104" s="2006"/>
      <c r="AZ104" s="2007"/>
      <c r="BA104" s="2007"/>
    </row>
    <row r="105" spans="1:53" ht="15" hidden="1" customHeight="1" outlineLevel="2" x14ac:dyDescent="0.2">
      <c r="A105" s="458" t="s">
        <v>1581</v>
      </c>
      <c r="B105" s="451">
        <v>10</v>
      </c>
      <c r="C105" s="155">
        <v>4.7460000000000004</v>
      </c>
      <c r="D105" s="68">
        <v>2.0756756756756756E-2</v>
      </c>
      <c r="E105" s="27">
        <v>9.7621875000000038E-2</v>
      </c>
      <c r="F105" s="29">
        <v>1.3837837837837838E-2</v>
      </c>
      <c r="G105" s="2695">
        <v>1.4875675675675677E-2</v>
      </c>
      <c r="H105" s="29">
        <v>1.6571953125000004E-2</v>
      </c>
      <c r="I105" s="28">
        <v>0</v>
      </c>
      <c r="J105" s="129">
        <v>1.107</v>
      </c>
      <c r="K105" s="28">
        <v>1.0845790312500004E-2</v>
      </c>
      <c r="L105" s="146">
        <v>3</v>
      </c>
      <c r="M105" s="571">
        <v>6</v>
      </c>
      <c r="N105" s="2293">
        <v>1</v>
      </c>
      <c r="O105" s="2507" t="s">
        <v>336</v>
      </c>
      <c r="P105" s="182">
        <f t="shared" si="208"/>
        <v>0.17450988870777032</v>
      </c>
      <c r="Q105" s="1084"/>
      <c r="R105" s="3205"/>
      <c r="S105" s="3205"/>
      <c r="T105" s="129">
        <f>C105</f>
        <v>4.7460000000000004</v>
      </c>
      <c r="U105" s="68">
        <f t="shared" ref="U105:Z105" si="217">D105*$K$3/$AB$3</f>
        <v>4.3885714285714285E-2</v>
      </c>
      <c r="V105" s="27">
        <f t="shared" si="217"/>
        <v>0.20640053571428579</v>
      </c>
      <c r="W105" s="363">
        <f t="shared" si="217"/>
        <v>2.9257142857142857E-2</v>
      </c>
      <c r="X105" s="363">
        <f t="shared" si="217"/>
        <v>3.1451428571428575E-2</v>
      </c>
      <c r="Y105" s="363">
        <f t="shared" si="217"/>
        <v>3.5037843750000006E-2</v>
      </c>
      <c r="Z105" s="28">
        <f t="shared" si="217"/>
        <v>0</v>
      </c>
      <c r="AA105" s="129">
        <f>J105</f>
        <v>1.107</v>
      </c>
      <c r="AB105" s="28">
        <f>K105*$K$3/$AB$3</f>
        <v>2.2931099517857153E-2</v>
      </c>
      <c r="AC105" s="364">
        <f>L105</f>
        <v>3</v>
      </c>
      <c r="AD105" s="182">
        <f t="shared" ref="AD105" si="218">SUM(U105:Z105,AB105)</f>
        <v>0.36896376469642872</v>
      </c>
      <c r="AE105" s="1084"/>
      <c r="AF105" s="463" t="s">
        <v>1581</v>
      </c>
      <c r="AG105" s="1087"/>
      <c r="AH105" s="1343">
        <f t="shared" si="216"/>
        <v>0.11894315508684716</v>
      </c>
      <c r="AI105" s="1344">
        <f t="shared" si="211"/>
        <v>0.5594059782106392</v>
      </c>
      <c r="AJ105" s="1345">
        <f t="shared" si="211"/>
        <v>7.9295436724564752E-2</v>
      </c>
      <c r="AK105" s="1345">
        <f t="shared" si="211"/>
        <v>8.5242594478907113E-2</v>
      </c>
      <c r="AL105" s="1345">
        <f t="shared" si="211"/>
        <v>9.4962831319839777E-2</v>
      </c>
      <c r="AM105" s="1346">
        <f t="shared" si="211"/>
        <v>0</v>
      </c>
      <c r="AN105" s="1347">
        <f t="shared" si="212"/>
        <v>6.2150004179202016E-2</v>
      </c>
      <c r="AO105" s="1084"/>
      <c r="AP105" s="2006"/>
      <c r="AQ105" s="2006"/>
      <c r="AR105" s="2006"/>
      <c r="AS105" s="2006"/>
      <c r="AT105" s="2006"/>
      <c r="AU105" s="2006"/>
      <c r="AV105" s="2006"/>
      <c r="AW105" s="2006"/>
      <c r="AX105" s="2006"/>
      <c r="AY105" s="2006"/>
      <c r="AZ105" s="2007"/>
      <c r="BA105" s="2007"/>
    </row>
    <row r="106" spans="1:53" ht="15" hidden="1" customHeight="1" outlineLevel="1" collapsed="1" x14ac:dyDescent="0.2">
      <c r="A106" s="457" t="s">
        <v>1878</v>
      </c>
      <c r="B106" s="450" t="str">
        <f t="shared" si="198"/>
        <v>Trips</v>
      </c>
      <c r="C106" s="172" t="str">
        <f t="shared" si="198"/>
        <v>Mbpd</v>
      </c>
      <c r="D106" s="2556" t="s">
        <v>303</v>
      </c>
      <c r="E106" s="2556" t="s">
        <v>9</v>
      </c>
      <c r="F106" s="2556" t="s">
        <v>304</v>
      </c>
      <c r="G106" s="2709" t="s">
        <v>970</v>
      </c>
      <c r="H106" s="2556" t="s">
        <v>312</v>
      </c>
      <c r="I106" s="2556" t="s">
        <v>330</v>
      </c>
      <c r="J106" s="2556" t="s">
        <v>308</v>
      </c>
      <c r="K106" s="2556" t="s">
        <v>309</v>
      </c>
      <c r="L106" s="178" t="s">
        <v>299</v>
      </c>
      <c r="M106" s="572" t="str">
        <f>M$6</f>
        <v>DPM/c</v>
      </c>
      <c r="N106" s="2292" t="str">
        <f>N$6</f>
        <v>MT</v>
      </c>
      <c r="O106" s="2506" t="str">
        <f>O$6</f>
        <v xml:space="preserve">WF </v>
      </c>
      <c r="P106" s="181" t="s">
        <v>273</v>
      </c>
      <c r="Q106" s="1084"/>
      <c r="R106" s="181"/>
      <c r="S106" s="181"/>
      <c r="T106" s="1270" t="s">
        <v>308</v>
      </c>
      <c r="U106" s="2556" t="s">
        <v>303</v>
      </c>
      <c r="V106" s="2556" t="str">
        <f>V$6</f>
        <v xml:space="preserve">WTS </v>
      </c>
      <c r="W106" s="2556" t="str">
        <f>+W$6</f>
        <v>Web</v>
      </c>
      <c r="X106" s="2556" t="str">
        <f>+X$6</f>
        <v>Portal</v>
      </c>
      <c r="Y106" s="2556" t="s">
        <v>312</v>
      </c>
      <c r="Z106" s="2556" t="s">
        <v>330</v>
      </c>
      <c r="AA106" s="2556" t="s">
        <v>308</v>
      </c>
      <c r="AB106" s="2556" t="s">
        <v>309</v>
      </c>
      <c r="AC106" s="178" t="s">
        <v>299</v>
      </c>
      <c r="AD106" s="181" t="s">
        <v>273</v>
      </c>
      <c r="AE106" s="1088"/>
      <c r="AF106" s="404" t="s">
        <v>1279</v>
      </c>
      <c r="AG106" s="1087"/>
      <c r="AH106" s="1338" t="str">
        <f t="shared" ref="AH106:AM106" si="219">D106</f>
        <v>Client</v>
      </c>
      <c r="AI106" s="1339" t="str">
        <f t="shared" si="219"/>
        <v xml:space="preserve">WTS </v>
      </c>
      <c r="AJ106" s="1339" t="str">
        <f t="shared" si="219"/>
        <v>Web</v>
      </c>
      <c r="AK106" s="1339" t="str">
        <f t="shared" si="219"/>
        <v>Portal</v>
      </c>
      <c r="AL106" s="1340" t="str">
        <f t="shared" si="219"/>
        <v>SOC</v>
      </c>
      <c r="AM106" s="1341" t="str">
        <f t="shared" si="219"/>
        <v>SDE</v>
      </c>
      <c r="AN106" s="1342" t="str">
        <f>K106</f>
        <v>DBMS</v>
      </c>
      <c r="AO106" s="1084"/>
      <c r="AP106" s="2006"/>
      <c r="AQ106" s="2006"/>
      <c r="AR106" s="2006"/>
      <c r="AS106" s="2006"/>
      <c r="AT106" s="2006"/>
      <c r="AU106" s="2006"/>
      <c r="AV106" s="2006"/>
      <c r="AW106" s="2006"/>
      <c r="AX106" s="2006"/>
      <c r="AY106" s="2006"/>
      <c r="AZ106" s="2007"/>
      <c r="BA106" s="2007"/>
    </row>
    <row r="107" spans="1:53" ht="15" hidden="1" customHeight="1" outlineLevel="2" x14ac:dyDescent="0.2">
      <c r="A107" s="458" t="s">
        <v>1358</v>
      </c>
      <c r="B107" s="451">
        <v>100</v>
      </c>
      <c r="C107" s="155">
        <v>26.367000000000001</v>
      </c>
      <c r="D107" s="68">
        <v>0.32540625000000001</v>
      </c>
      <c r="E107" s="27">
        <v>0</v>
      </c>
      <c r="F107" s="29">
        <v>0</v>
      </c>
      <c r="G107" s="2695">
        <v>0</v>
      </c>
      <c r="H107" s="29">
        <v>0</v>
      </c>
      <c r="I107" s="28">
        <v>0</v>
      </c>
      <c r="J107" s="129">
        <v>26.367000000000001</v>
      </c>
      <c r="K107" s="28">
        <v>3.6152634374999999E-2</v>
      </c>
      <c r="L107" s="146">
        <v>3</v>
      </c>
      <c r="M107" s="571">
        <v>10</v>
      </c>
      <c r="N107" s="2293">
        <v>2</v>
      </c>
      <c r="O107" s="2507" t="s">
        <v>336</v>
      </c>
      <c r="P107" s="182">
        <f t="shared" ref="P107:P108" si="220">SUM(D107:I107,K107)</f>
        <v>0.361558884375</v>
      </c>
      <c r="Q107" s="1084"/>
      <c r="R107" s="3219">
        <f t="shared" ref="R107" si="221">F107+G107</f>
        <v>0</v>
      </c>
      <c r="S107" s="3219">
        <f t="shared" ref="S107" si="222">E107+H107+K107</f>
        <v>3.6152634374999999E-2</v>
      </c>
      <c r="T107" s="129">
        <f>C107</f>
        <v>26.367000000000001</v>
      </c>
      <c r="U107" s="68">
        <f t="shared" ref="U107:Z110" si="223">D107*$K$3/$AB$3</f>
        <v>0.68800178571428572</v>
      </c>
      <c r="V107" s="27">
        <f t="shared" si="223"/>
        <v>0</v>
      </c>
      <c r="W107" s="363">
        <f t="shared" si="223"/>
        <v>0</v>
      </c>
      <c r="X107" s="363">
        <f t="shared" si="223"/>
        <v>0</v>
      </c>
      <c r="Y107" s="363">
        <f t="shared" si="223"/>
        <v>0</v>
      </c>
      <c r="Z107" s="28">
        <f t="shared" si="223"/>
        <v>0</v>
      </c>
      <c r="AA107" s="129">
        <f>J107</f>
        <v>26.367000000000001</v>
      </c>
      <c r="AB107" s="28">
        <f>K107*$K$3/$AB$3</f>
        <v>7.6436998392857142E-2</v>
      </c>
      <c r="AC107" s="364">
        <f>L107</f>
        <v>3</v>
      </c>
      <c r="AD107" s="182">
        <f t="shared" ref="AD107:AD108" si="224">SUM(U107:Z107,AB107)</f>
        <v>0.76443878410714283</v>
      </c>
      <c r="AE107" s="1084"/>
      <c r="AF107" s="463" t="s">
        <v>1358</v>
      </c>
      <c r="AG107" s="1087"/>
      <c r="AH107" s="1343">
        <f t="shared" ref="AH107:AH110" si="225">1-SUM(AI107:AN107)</f>
        <v>0.90000900009000095</v>
      </c>
      <c r="AI107" s="1344">
        <f t="shared" ref="AI107:AM110" si="226">E107/$P107</f>
        <v>0</v>
      </c>
      <c r="AJ107" s="1345">
        <f t="shared" si="226"/>
        <v>0</v>
      </c>
      <c r="AK107" s="1345">
        <f t="shared" si="226"/>
        <v>0</v>
      </c>
      <c r="AL107" s="1345">
        <f t="shared" si="226"/>
        <v>0</v>
      </c>
      <c r="AM107" s="1346">
        <f t="shared" si="226"/>
        <v>0</v>
      </c>
      <c r="AN107" s="1347">
        <f>K107/$P107</f>
        <v>9.9990999909999101E-2</v>
      </c>
      <c r="AO107" s="1084"/>
      <c r="AP107" s="2006"/>
      <c r="AQ107" s="2006"/>
      <c r="AR107" s="2006"/>
      <c r="AS107" s="2006"/>
      <c r="AT107" s="2006"/>
      <c r="AU107" s="2006"/>
      <c r="AV107" s="2006"/>
      <c r="AW107" s="2006"/>
      <c r="AX107" s="2006"/>
      <c r="AY107" s="2006"/>
      <c r="AZ107" s="2007"/>
      <c r="BA107" s="2007"/>
    </row>
    <row r="108" spans="1:53" ht="15" hidden="1" customHeight="1" outlineLevel="2" x14ac:dyDescent="0.2">
      <c r="A108" s="458" t="s">
        <v>1359</v>
      </c>
      <c r="B108" s="451">
        <v>150</v>
      </c>
      <c r="C108" s="155">
        <v>39.551000000000002</v>
      </c>
      <c r="D108" s="68">
        <v>0.48810937500000001</v>
      </c>
      <c r="E108" s="27">
        <v>0</v>
      </c>
      <c r="F108" s="29">
        <v>0</v>
      </c>
      <c r="G108" s="2695">
        <v>0</v>
      </c>
      <c r="H108" s="29">
        <v>0</v>
      </c>
      <c r="I108" s="28">
        <v>0</v>
      </c>
      <c r="J108" s="129">
        <v>39.551000000000002</v>
      </c>
      <c r="K108" s="28">
        <v>5.4228951562500002E-2</v>
      </c>
      <c r="L108" s="146">
        <v>3</v>
      </c>
      <c r="M108" s="571">
        <v>10</v>
      </c>
      <c r="N108" s="2293">
        <v>2</v>
      </c>
      <c r="O108" s="2507" t="s">
        <v>336</v>
      </c>
      <c r="P108" s="182">
        <f t="shared" si="220"/>
        <v>0.54233832656250003</v>
      </c>
      <c r="Q108" s="1084"/>
      <c r="R108" s="3219">
        <f t="shared" ref="R108" si="227">F108+G108</f>
        <v>0</v>
      </c>
      <c r="S108" s="3219">
        <f t="shared" ref="S108" si="228">E108+H108+K108</f>
        <v>5.4228951562500002E-2</v>
      </c>
      <c r="T108" s="129">
        <f>C108</f>
        <v>39.551000000000002</v>
      </c>
      <c r="U108" s="68">
        <f t="shared" si="223"/>
        <v>1.0320026785714287</v>
      </c>
      <c r="V108" s="27">
        <f t="shared" si="223"/>
        <v>0</v>
      </c>
      <c r="W108" s="363">
        <f t="shared" si="223"/>
        <v>0</v>
      </c>
      <c r="X108" s="363">
        <f t="shared" si="223"/>
        <v>0</v>
      </c>
      <c r="Y108" s="363">
        <f t="shared" si="223"/>
        <v>0</v>
      </c>
      <c r="Z108" s="28">
        <f t="shared" si="223"/>
        <v>0</v>
      </c>
      <c r="AA108" s="129">
        <f>J108</f>
        <v>39.551000000000002</v>
      </c>
      <c r="AB108" s="28">
        <f>K108*$K$3/$AB$3</f>
        <v>0.11465549758928571</v>
      </c>
      <c r="AC108" s="364">
        <f>L108</f>
        <v>3</v>
      </c>
      <c r="AD108" s="182">
        <f t="shared" si="224"/>
        <v>1.1466581761607144</v>
      </c>
      <c r="AE108" s="1084"/>
      <c r="AF108" s="463" t="s">
        <v>1359</v>
      </c>
      <c r="AG108" s="1087"/>
      <c r="AH108" s="1343">
        <f t="shared" si="225"/>
        <v>0.90000900009000095</v>
      </c>
      <c r="AI108" s="1344">
        <f t="shared" si="226"/>
        <v>0</v>
      </c>
      <c r="AJ108" s="1345">
        <f t="shared" si="226"/>
        <v>0</v>
      </c>
      <c r="AK108" s="1345">
        <f t="shared" si="226"/>
        <v>0</v>
      </c>
      <c r="AL108" s="1345">
        <f t="shared" si="226"/>
        <v>0</v>
      </c>
      <c r="AM108" s="1346">
        <f t="shared" si="226"/>
        <v>0</v>
      </c>
      <c r="AN108" s="1347">
        <f>K108/$P108</f>
        <v>9.9990999909999101E-2</v>
      </c>
      <c r="AO108" s="1084"/>
      <c r="AP108" s="2006"/>
      <c r="AQ108" s="2006"/>
      <c r="AR108" s="2006"/>
      <c r="AS108" s="2006"/>
      <c r="AT108" s="2006"/>
      <c r="AU108" s="2006"/>
      <c r="AV108" s="2006"/>
      <c r="AW108" s="2006"/>
      <c r="AX108" s="2006"/>
      <c r="AY108" s="2006"/>
      <c r="AZ108" s="2007"/>
      <c r="BA108" s="2007"/>
    </row>
    <row r="109" spans="1:53" ht="15" hidden="1" customHeight="1" outlineLevel="2" x14ac:dyDescent="0.2">
      <c r="A109" s="458" t="s">
        <v>1360</v>
      </c>
      <c r="B109" s="451">
        <v>10</v>
      </c>
      <c r="C109" s="155">
        <v>8.41</v>
      </c>
      <c r="D109" s="68">
        <v>9.7621874999999997E-2</v>
      </c>
      <c r="E109" s="27">
        <v>0</v>
      </c>
      <c r="F109" s="29">
        <v>1.3837837837837838E-2</v>
      </c>
      <c r="G109" s="2695">
        <v>1.4875675675675677E-2</v>
      </c>
      <c r="H109" s="29">
        <v>1.6571953125000004E-2</v>
      </c>
      <c r="I109" s="28">
        <v>0</v>
      </c>
      <c r="J109" s="129">
        <v>7.91</v>
      </c>
      <c r="K109" s="28">
        <v>1.0845790312500004E-2</v>
      </c>
      <c r="L109" s="146">
        <v>3</v>
      </c>
      <c r="M109" s="571">
        <v>6</v>
      </c>
      <c r="N109" s="2293">
        <v>2</v>
      </c>
      <c r="O109" s="2507" t="s">
        <v>336</v>
      </c>
      <c r="P109" s="182">
        <f>SUM(D109:I109,K109)</f>
        <v>0.15375313195101351</v>
      </c>
      <c r="Q109" s="1084"/>
      <c r="R109" s="3205"/>
      <c r="S109" s="3205"/>
      <c r="T109" s="129">
        <f>C109</f>
        <v>8.41</v>
      </c>
      <c r="U109" s="68">
        <f t="shared" si="223"/>
        <v>0.20640053571428571</v>
      </c>
      <c r="V109" s="27">
        <f t="shared" si="223"/>
        <v>0</v>
      </c>
      <c r="W109" s="363">
        <f t="shared" si="223"/>
        <v>2.9257142857142857E-2</v>
      </c>
      <c r="X109" s="363">
        <f t="shared" si="223"/>
        <v>3.1451428571428575E-2</v>
      </c>
      <c r="Y109" s="363">
        <f t="shared" si="223"/>
        <v>3.5037843750000006E-2</v>
      </c>
      <c r="Z109" s="28">
        <f t="shared" si="223"/>
        <v>0</v>
      </c>
      <c r="AA109" s="129">
        <f>J109</f>
        <v>7.91</v>
      </c>
      <c r="AB109" s="28">
        <f>K109*$K$3/$AB$3</f>
        <v>2.2931099517857153E-2</v>
      </c>
      <c r="AC109" s="364">
        <f>L109</f>
        <v>3</v>
      </c>
      <c r="AD109" s="182">
        <f>SUM(U109:Z109,AB109)</f>
        <v>0.3250780504107143</v>
      </c>
      <c r="AE109" s="1084"/>
      <c r="AF109" s="463" t="s">
        <v>1360</v>
      </c>
      <c r="AG109" s="1087"/>
      <c r="AH109" s="1343">
        <f t="shared" si="225"/>
        <v>0.63492609068349126</v>
      </c>
      <c r="AI109" s="1344">
        <f t="shared" si="226"/>
        <v>0</v>
      </c>
      <c r="AJ109" s="1345">
        <f t="shared" si="226"/>
        <v>9.0000363974677533E-2</v>
      </c>
      <c r="AK109" s="1345">
        <f t="shared" si="226"/>
        <v>9.675039127277836E-2</v>
      </c>
      <c r="AL109" s="1345">
        <f t="shared" si="226"/>
        <v>0.10778286539411704</v>
      </c>
      <c r="AM109" s="1346">
        <f t="shared" si="226"/>
        <v>0</v>
      </c>
      <c r="AN109" s="1347">
        <f>K109/$P109</f>
        <v>7.0540288674935905E-2</v>
      </c>
      <c r="AO109" s="1084"/>
      <c r="AP109" s="2006"/>
      <c r="AQ109" s="2006"/>
      <c r="AR109" s="2006"/>
      <c r="AS109" s="2006"/>
      <c r="AT109" s="2006"/>
      <c r="AU109" s="2006"/>
      <c r="AV109" s="2006"/>
      <c r="AW109" s="2006"/>
      <c r="AX109" s="2006"/>
      <c r="AY109" s="2006"/>
      <c r="AZ109" s="2007"/>
      <c r="BA109" s="2007"/>
    </row>
    <row r="110" spans="1:53" ht="16" hidden="1" outlineLevel="2" x14ac:dyDescent="0.2">
      <c r="A110" s="458" t="s">
        <v>1361</v>
      </c>
      <c r="B110" s="451">
        <v>150</v>
      </c>
      <c r="C110" s="155">
        <v>39.551000000000002</v>
      </c>
      <c r="D110" s="68">
        <v>0.97621875000000002</v>
      </c>
      <c r="E110" s="27">
        <v>0</v>
      </c>
      <c r="F110" s="29">
        <v>0</v>
      </c>
      <c r="G110" s="2695">
        <v>0</v>
      </c>
      <c r="H110" s="29">
        <v>0</v>
      </c>
      <c r="I110" s="28">
        <v>0</v>
      </c>
      <c r="J110" s="129">
        <v>39.551000000000002</v>
      </c>
      <c r="K110" s="28">
        <v>5.4228951562500002E-2</v>
      </c>
      <c r="L110" s="146">
        <v>3</v>
      </c>
      <c r="M110" s="571">
        <v>10</v>
      </c>
      <c r="N110" s="2293">
        <v>2</v>
      </c>
      <c r="O110" s="2507" t="s">
        <v>336</v>
      </c>
      <c r="P110" s="182">
        <f t="shared" ref="P110" si="229">SUM(D110:I110,K110)</f>
        <v>1.0304477015625</v>
      </c>
      <c r="Q110" s="1084"/>
      <c r="R110" s="3205"/>
      <c r="S110" s="3205"/>
      <c r="T110" s="129">
        <f>C110</f>
        <v>39.551000000000002</v>
      </c>
      <c r="U110" s="68">
        <f t="shared" si="223"/>
        <v>2.0640053571428574</v>
      </c>
      <c r="V110" s="27">
        <f t="shared" si="223"/>
        <v>0</v>
      </c>
      <c r="W110" s="363">
        <f t="shared" si="223"/>
        <v>0</v>
      </c>
      <c r="X110" s="363">
        <f t="shared" si="223"/>
        <v>0</v>
      </c>
      <c r="Y110" s="363">
        <f t="shared" si="223"/>
        <v>0</v>
      </c>
      <c r="Z110" s="28">
        <f t="shared" si="223"/>
        <v>0</v>
      </c>
      <c r="AA110" s="129">
        <f>J110</f>
        <v>39.551000000000002</v>
      </c>
      <c r="AB110" s="28">
        <f>K110*$K$3/$AB$3</f>
        <v>0.11465549758928571</v>
      </c>
      <c r="AC110" s="364">
        <f>L110</f>
        <v>3</v>
      </c>
      <c r="AD110" s="182">
        <f>SUM(U110:Z110,AB110)</f>
        <v>2.1786608547321431</v>
      </c>
      <c r="AE110" s="1084"/>
      <c r="AF110" s="463" t="s">
        <v>1361</v>
      </c>
      <c r="AG110" s="1087"/>
      <c r="AH110" s="1343">
        <f t="shared" si="225"/>
        <v>0.94737340722845909</v>
      </c>
      <c r="AI110" s="1344">
        <f t="shared" si="226"/>
        <v>0</v>
      </c>
      <c r="AJ110" s="1345">
        <f t="shared" si="226"/>
        <v>0</v>
      </c>
      <c r="AK110" s="1345">
        <f t="shared" si="226"/>
        <v>0</v>
      </c>
      <c r="AL110" s="1345">
        <f t="shared" si="226"/>
        <v>0</v>
      </c>
      <c r="AM110" s="1346">
        <f t="shared" si="226"/>
        <v>0</v>
      </c>
      <c r="AN110" s="1347">
        <f>K110/$P110</f>
        <v>5.2626592771540907E-2</v>
      </c>
      <c r="AO110" s="1084"/>
      <c r="AP110" s="2006"/>
      <c r="AQ110" s="2006"/>
      <c r="AR110" s="2006"/>
      <c r="AS110" s="2006"/>
      <c r="AT110" s="2006"/>
      <c r="AU110" s="2006"/>
      <c r="AV110" s="2006"/>
      <c r="AW110" s="2006"/>
      <c r="AX110" s="2006"/>
      <c r="AY110" s="2006"/>
      <c r="AZ110" s="2007"/>
      <c r="BA110" s="2007"/>
    </row>
    <row r="111" spans="1:53" ht="15" hidden="1" customHeight="1" outlineLevel="1" collapsed="1" x14ac:dyDescent="0.2">
      <c r="A111" s="457" t="s">
        <v>1879</v>
      </c>
      <c r="B111" s="450" t="str">
        <f t="shared" ref="B111:C111" si="230">B$6</f>
        <v>Trips</v>
      </c>
      <c r="C111" s="172" t="str">
        <f t="shared" si="230"/>
        <v>Mbpd</v>
      </c>
      <c r="D111" s="2556" t="s">
        <v>303</v>
      </c>
      <c r="E111" s="2556" t="s">
        <v>9</v>
      </c>
      <c r="F111" s="2556" t="s">
        <v>304</v>
      </c>
      <c r="G111" s="2709" t="s">
        <v>970</v>
      </c>
      <c r="H111" s="2556" t="s">
        <v>312</v>
      </c>
      <c r="I111" s="2556" t="s">
        <v>330</v>
      </c>
      <c r="J111" s="2556" t="s">
        <v>308</v>
      </c>
      <c r="K111" s="2556" t="s">
        <v>309</v>
      </c>
      <c r="L111" s="178" t="s">
        <v>299</v>
      </c>
      <c r="M111" s="572" t="str">
        <f>M$6</f>
        <v>DPM/c</v>
      </c>
      <c r="N111" s="2292" t="str">
        <f>N$6</f>
        <v>MT</v>
      </c>
      <c r="O111" s="2506" t="str">
        <f>O$6</f>
        <v xml:space="preserve">WF </v>
      </c>
      <c r="P111" s="181" t="s">
        <v>273</v>
      </c>
      <c r="Q111" s="1084"/>
      <c r="R111" s="181"/>
      <c r="S111" s="181"/>
      <c r="T111" s="1270" t="s">
        <v>308</v>
      </c>
      <c r="U111" s="2556" t="s">
        <v>303</v>
      </c>
      <c r="V111" s="2556" t="str">
        <f>V$6</f>
        <v xml:space="preserve">WTS </v>
      </c>
      <c r="W111" s="2556" t="str">
        <f>+W$6</f>
        <v>Web</v>
      </c>
      <c r="X111" s="2556" t="str">
        <f>+X$6</f>
        <v>Portal</v>
      </c>
      <c r="Y111" s="2556" t="s">
        <v>312</v>
      </c>
      <c r="Z111" s="2556" t="s">
        <v>330</v>
      </c>
      <c r="AA111" s="2556" t="s">
        <v>308</v>
      </c>
      <c r="AB111" s="2556" t="s">
        <v>309</v>
      </c>
      <c r="AC111" s="178" t="s">
        <v>299</v>
      </c>
      <c r="AD111" s="181" t="s">
        <v>273</v>
      </c>
      <c r="AE111" s="1088"/>
      <c r="AF111" s="404" t="s">
        <v>1280</v>
      </c>
      <c r="AG111" s="1087"/>
      <c r="AH111" s="1338" t="str">
        <f t="shared" ref="AH111:AM111" si="231">D111</f>
        <v>Client</v>
      </c>
      <c r="AI111" s="1339" t="str">
        <f t="shared" si="231"/>
        <v xml:space="preserve">WTS </v>
      </c>
      <c r="AJ111" s="1339" t="str">
        <f t="shared" si="231"/>
        <v>Web</v>
      </c>
      <c r="AK111" s="1339" t="str">
        <f t="shared" si="231"/>
        <v>Portal</v>
      </c>
      <c r="AL111" s="1340" t="str">
        <f t="shared" si="231"/>
        <v>SOC</v>
      </c>
      <c r="AM111" s="1341" t="str">
        <f t="shared" si="231"/>
        <v>SDE</v>
      </c>
      <c r="AN111" s="1342" t="str">
        <f>K111</f>
        <v>DBMS</v>
      </c>
      <c r="AO111" s="1084"/>
      <c r="AP111" s="2006"/>
      <c r="AQ111" s="2006"/>
      <c r="AR111" s="2006"/>
      <c r="AS111" s="2006"/>
      <c r="AT111" s="2006"/>
      <c r="AU111" s="2006"/>
      <c r="AV111" s="2006"/>
      <c r="AW111" s="2006"/>
      <c r="AX111" s="2006"/>
      <c r="AY111" s="2006"/>
      <c r="AZ111" s="2007"/>
      <c r="BA111" s="2007"/>
    </row>
    <row r="112" spans="1:53" ht="15" hidden="1" customHeight="1" outlineLevel="2" x14ac:dyDescent="0.2">
      <c r="A112" s="458" t="s">
        <v>1287</v>
      </c>
      <c r="B112" s="451">
        <v>10</v>
      </c>
      <c r="C112" s="155">
        <v>0.73799999999999999</v>
      </c>
      <c r="D112" s="68">
        <v>2.0756756756756756E-2</v>
      </c>
      <c r="E112" s="27">
        <v>0.32540625000000001</v>
      </c>
      <c r="F112" s="29">
        <v>0</v>
      </c>
      <c r="G112" s="2695">
        <v>0</v>
      </c>
      <c r="H112" s="29">
        <v>0</v>
      </c>
      <c r="I112" s="28">
        <v>0</v>
      </c>
      <c r="J112" s="129">
        <v>26.367000000000001</v>
      </c>
      <c r="K112" s="28">
        <v>3.6152634374999999E-2</v>
      </c>
      <c r="L112" s="146">
        <v>3</v>
      </c>
      <c r="M112" s="571">
        <v>10</v>
      </c>
      <c r="N112" s="2293">
        <v>2</v>
      </c>
      <c r="O112" s="2507" t="s">
        <v>336</v>
      </c>
      <c r="P112" s="182">
        <f t="shared" ref="P112:P119" si="232">SUM(D112:I112,K112)</f>
        <v>0.38231564113175676</v>
      </c>
      <c r="Q112" s="1084"/>
      <c r="R112" s="3219">
        <f t="shared" ref="R112" si="233">F112+G112</f>
        <v>0</v>
      </c>
      <c r="S112" s="3219">
        <f t="shared" ref="S112" si="234">E112+H112+K112</f>
        <v>0.361558884375</v>
      </c>
      <c r="T112" s="129">
        <f>C112</f>
        <v>0.73799999999999999</v>
      </c>
      <c r="U112" s="68">
        <f t="shared" ref="U112:Z115" si="235">D112*$K$3/$AB$3</f>
        <v>4.3885714285714285E-2</v>
      </c>
      <c r="V112" s="27">
        <f t="shared" si="235"/>
        <v>0.68800178571428572</v>
      </c>
      <c r="W112" s="363">
        <f t="shared" si="235"/>
        <v>0</v>
      </c>
      <c r="X112" s="363">
        <f t="shared" si="235"/>
        <v>0</v>
      </c>
      <c r="Y112" s="363">
        <f t="shared" si="235"/>
        <v>0</v>
      </c>
      <c r="Z112" s="28">
        <f t="shared" si="235"/>
        <v>0</v>
      </c>
      <c r="AA112" s="129">
        <f>J112</f>
        <v>26.367000000000001</v>
      </c>
      <c r="AB112" s="28">
        <f>K112*$K$3/$AB$3</f>
        <v>7.6436998392857142E-2</v>
      </c>
      <c r="AC112" s="364">
        <f>L112</f>
        <v>3</v>
      </c>
      <c r="AD112" s="182">
        <f t="shared" ref="AD112:AD113" si="236">SUM(U112:Z112,AB112)</f>
        <v>0.80832449839285714</v>
      </c>
      <c r="AE112" s="1084"/>
      <c r="AF112" s="463" t="s">
        <v>1287</v>
      </c>
      <c r="AG112" s="1087"/>
      <c r="AH112" s="1343">
        <f t="shared" ref="AH112:AH119" si="237">1-SUM(AI112:AN112)</f>
        <v>5.4292198706051287E-2</v>
      </c>
      <c r="AI112" s="1344">
        <f t="shared" ref="AI112:AM119" si="238">E112/$P112</f>
        <v>0.85114553261988002</v>
      </c>
      <c r="AJ112" s="1345">
        <f t="shared" si="238"/>
        <v>0</v>
      </c>
      <c r="AK112" s="1345">
        <f t="shared" si="238"/>
        <v>0</v>
      </c>
      <c r="AL112" s="1345">
        <f t="shared" si="238"/>
        <v>0</v>
      </c>
      <c r="AM112" s="1346">
        <f t="shared" si="238"/>
        <v>0</v>
      </c>
      <c r="AN112" s="1347">
        <f t="shared" ref="AN112:AN119" si="239">K112/$P112</f>
        <v>9.4562268674068667E-2</v>
      </c>
      <c r="AO112" s="1084"/>
      <c r="AP112" s="2006"/>
      <c r="AQ112" s="2006"/>
      <c r="AR112" s="2006"/>
      <c r="AS112" s="2006"/>
      <c r="AT112" s="2006"/>
      <c r="AU112" s="2006"/>
      <c r="AV112" s="2006"/>
      <c r="AW112" s="2006"/>
      <c r="AX112" s="2006"/>
      <c r="AY112" s="2006"/>
      <c r="AZ112" s="2007"/>
      <c r="BA112" s="2007"/>
    </row>
    <row r="113" spans="1:55" ht="15" hidden="1" customHeight="1" outlineLevel="2" x14ac:dyDescent="0.2">
      <c r="A113" s="458" t="s">
        <v>1365</v>
      </c>
      <c r="B113" s="451">
        <v>10</v>
      </c>
      <c r="C113" s="155">
        <v>1.107</v>
      </c>
      <c r="D113" s="68">
        <v>2.0756756756756756E-2</v>
      </c>
      <c r="E113" s="27">
        <v>0.48810937500000001</v>
      </c>
      <c r="F113" s="29">
        <v>0</v>
      </c>
      <c r="G113" s="2695">
        <v>0</v>
      </c>
      <c r="H113" s="29">
        <v>0</v>
      </c>
      <c r="I113" s="28">
        <v>0</v>
      </c>
      <c r="J113" s="129">
        <v>39.551000000000002</v>
      </c>
      <c r="K113" s="28">
        <v>5.4228951562500002E-2</v>
      </c>
      <c r="L113" s="146">
        <v>3</v>
      </c>
      <c r="M113" s="571">
        <v>10</v>
      </c>
      <c r="N113" s="2293">
        <v>2</v>
      </c>
      <c r="O113" s="2507" t="s">
        <v>336</v>
      </c>
      <c r="P113" s="182">
        <f t="shared" si="232"/>
        <v>0.56309508331925673</v>
      </c>
      <c r="Q113" s="1084"/>
      <c r="R113" s="3205"/>
      <c r="S113" s="3205"/>
      <c r="T113" s="129">
        <f>C113</f>
        <v>1.107</v>
      </c>
      <c r="U113" s="68">
        <f t="shared" si="235"/>
        <v>4.3885714285714285E-2</v>
      </c>
      <c r="V113" s="27">
        <f t="shared" si="235"/>
        <v>1.0320026785714287</v>
      </c>
      <c r="W113" s="363">
        <f t="shared" si="235"/>
        <v>0</v>
      </c>
      <c r="X113" s="363">
        <f t="shared" si="235"/>
        <v>0</v>
      </c>
      <c r="Y113" s="363">
        <f t="shared" si="235"/>
        <v>0</v>
      </c>
      <c r="Z113" s="28">
        <f t="shared" si="235"/>
        <v>0</v>
      </c>
      <c r="AA113" s="129">
        <f>J113</f>
        <v>39.551000000000002</v>
      </c>
      <c r="AB113" s="28">
        <f>K113*$K$3/$AB$3</f>
        <v>0.11465549758928571</v>
      </c>
      <c r="AC113" s="364">
        <f>L113</f>
        <v>3</v>
      </c>
      <c r="AD113" s="182">
        <f t="shared" si="236"/>
        <v>1.1905438904464287</v>
      </c>
      <c r="AE113" s="1084"/>
      <c r="AF113" s="463" t="s">
        <v>1365</v>
      </c>
      <c r="AG113" s="1087"/>
      <c r="AH113" s="1343">
        <f t="shared" si="237"/>
        <v>3.6861903738179658E-2</v>
      </c>
      <c r="AI113" s="1344">
        <f t="shared" si="238"/>
        <v>0.86683295496518797</v>
      </c>
      <c r="AJ113" s="1345">
        <f t="shared" si="238"/>
        <v>0</v>
      </c>
      <c r="AK113" s="1345">
        <f t="shared" si="238"/>
        <v>0</v>
      </c>
      <c r="AL113" s="1345">
        <f t="shared" si="238"/>
        <v>0</v>
      </c>
      <c r="AM113" s="1346">
        <f t="shared" si="238"/>
        <v>0</v>
      </c>
      <c r="AN113" s="1347">
        <f t="shared" si="239"/>
        <v>9.6305141296632382E-2</v>
      </c>
      <c r="AO113" s="1084"/>
      <c r="AP113" s="2006"/>
      <c r="AQ113" s="2006"/>
      <c r="AR113" s="2006"/>
      <c r="AS113" s="2006"/>
      <c r="AT113" s="2006"/>
      <c r="AU113" s="2006"/>
      <c r="AV113" s="2006"/>
      <c r="AW113" s="2006"/>
      <c r="AX113" s="2006"/>
      <c r="AY113" s="2006"/>
      <c r="AZ113" s="2007"/>
      <c r="BA113" s="2007"/>
    </row>
    <row r="114" spans="1:55" ht="16" hidden="1" outlineLevel="2" x14ac:dyDescent="0.2">
      <c r="A114" s="458" t="s">
        <v>1288</v>
      </c>
      <c r="B114" s="451">
        <v>10</v>
      </c>
      <c r="C114" s="155">
        <v>5.274</v>
      </c>
      <c r="D114" s="68">
        <v>2.0756756756756756E-2</v>
      </c>
      <c r="E114" s="27">
        <v>0.32540625000000001</v>
      </c>
      <c r="F114" s="29">
        <v>0</v>
      </c>
      <c r="G114" s="2695">
        <v>0</v>
      </c>
      <c r="H114" s="29">
        <v>0</v>
      </c>
      <c r="I114" s="28">
        <v>0</v>
      </c>
      <c r="J114" s="129">
        <v>26.367000000000001</v>
      </c>
      <c r="K114" s="28">
        <v>3.6152634374999999E-2</v>
      </c>
      <c r="L114" s="146">
        <v>3</v>
      </c>
      <c r="M114" s="571">
        <v>10</v>
      </c>
      <c r="N114" s="2293">
        <v>2</v>
      </c>
      <c r="O114" s="2507" t="s">
        <v>336</v>
      </c>
      <c r="P114" s="182">
        <f t="shared" si="232"/>
        <v>0.38231564113175676</v>
      </c>
      <c r="Q114" s="1084"/>
      <c r="R114" s="3205"/>
      <c r="S114" s="3205"/>
      <c r="T114" s="129">
        <f>C114</f>
        <v>5.274</v>
      </c>
      <c r="U114" s="68">
        <f t="shared" si="235"/>
        <v>4.3885714285714285E-2</v>
      </c>
      <c r="V114" s="27">
        <f t="shared" si="235"/>
        <v>0.68800178571428572</v>
      </c>
      <c r="W114" s="363">
        <f t="shared" si="235"/>
        <v>0</v>
      </c>
      <c r="X114" s="363">
        <f t="shared" si="235"/>
        <v>0</v>
      </c>
      <c r="Y114" s="363">
        <f t="shared" si="235"/>
        <v>0</v>
      </c>
      <c r="Z114" s="28">
        <f t="shared" si="235"/>
        <v>0</v>
      </c>
      <c r="AA114" s="129">
        <f>J114</f>
        <v>26.367000000000001</v>
      </c>
      <c r="AB114" s="28">
        <f>K114*$K$3/$AB$3</f>
        <v>7.6436998392857142E-2</v>
      </c>
      <c r="AC114" s="364">
        <f>L114</f>
        <v>3</v>
      </c>
      <c r="AD114" s="182">
        <f>SUM(U114:Z114,AB114)</f>
        <v>0.80832449839285714</v>
      </c>
      <c r="AE114" s="1084"/>
      <c r="AF114" s="463" t="s">
        <v>1288</v>
      </c>
      <c r="AG114" s="1087"/>
      <c r="AH114" s="1343">
        <f t="shared" si="237"/>
        <v>5.4292198706051287E-2</v>
      </c>
      <c r="AI114" s="1344">
        <f t="shared" si="238"/>
        <v>0.85114553261988002</v>
      </c>
      <c r="AJ114" s="1345">
        <f t="shared" si="238"/>
        <v>0</v>
      </c>
      <c r="AK114" s="1345">
        <f t="shared" si="238"/>
        <v>0</v>
      </c>
      <c r="AL114" s="1345">
        <f t="shared" si="238"/>
        <v>0</v>
      </c>
      <c r="AM114" s="1346">
        <f t="shared" si="238"/>
        <v>0</v>
      </c>
      <c r="AN114" s="1347">
        <f t="shared" si="239"/>
        <v>9.4562268674068667E-2</v>
      </c>
      <c r="AO114" s="1084"/>
      <c r="AP114" s="2006"/>
      <c r="AQ114" s="2006"/>
      <c r="AR114" s="2006"/>
      <c r="AS114" s="2006"/>
      <c r="AT114" s="2006"/>
      <c r="AU114" s="2006"/>
      <c r="AV114" s="2006"/>
      <c r="AW114" s="2006"/>
      <c r="AX114" s="2006"/>
      <c r="AY114" s="2006"/>
      <c r="AZ114" s="2007"/>
      <c r="BA114" s="2007"/>
    </row>
    <row r="115" spans="1:55" ht="15" hidden="1" customHeight="1" outlineLevel="2" x14ac:dyDescent="0.2">
      <c r="A115" s="458" t="s">
        <v>1364</v>
      </c>
      <c r="B115" s="451">
        <v>10</v>
      </c>
      <c r="C115" s="155">
        <v>7.91</v>
      </c>
      <c r="D115" s="68">
        <v>2.0756756756756756E-2</v>
      </c>
      <c r="E115" s="27">
        <v>0.48810937500000001</v>
      </c>
      <c r="F115" s="29">
        <v>0</v>
      </c>
      <c r="G115" s="2695">
        <v>0</v>
      </c>
      <c r="H115" s="29">
        <v>0</v>
      </c>
      <c r="I115" s="28">
        <v>0</v>
      </c>
      <c r="J115" s="129">
        <v>39.551000000000002</v>
      </c>
      <c r="K115" s="28">
        <v>5.4228951562500002E-2</v>
      </c>
      <c r="L115" s="146">
        <v>3</v>
      </c>
      <c r="M115" s="571">
        <v>10</v>
      </c>
      <c r="N115" s="2293">
        <v>2</v>
      </c>
      <c r="O115" s="2507" t="s">
        <v>336</v>
      </c>
      <c r="P115" s="182">
        <f t="shared" si="232"/>
        <v>0.56309508331925673</v>
      </c>
      <c r="Q115" s="1084"/>
      <c r="R115" s="3205"/>
      <c r="S115" s="3205"/>
      <c r="T115" s="129">
        <f>C115</f>
        <v>7.91</v>
      </c>
      <c r="U115" s="68">
        <f t="shared" si="235"/>
        <v>4.3885714285714285E-2</v>
      </c>
      <c r="V115" s="27">
        <f t="shared" si="235"/>
        <v>1.0320026785714287</v>
      </c>
      <c r="W115" s="363">
        <f t="shared" si="235"/>
        <v>0</v>
      </c>
      <c r="X115" s="363">
        <f t="shared" si="235"/>
        <v>0</v>
      </c>
      <c r="Y115" s="363">
        <f t="shared" si="235"/>
        <v>0</v>
      </c>
      <c r="Z115" s="28">
        <f t="shared" si="235"/>
        <v>0</v>
      </c>
      <c r="AA115" s="129">
        <f>J115</f>
        <v>39.551000000000002</v>
      </c>
      <c r="AB115" s="28">
        <f>K115*$K$3/$AB$3</f>
        <v>0.11465549758928571</v>
      </c>
      <c r="AC115" s="364">
        <f>L115</f>
        <v>3</v>
      </c>
      <c r="AD115" s="182">
        <f t="shared" ref="AD115" si="240">SUM(U115:Z115,AB115)</f>
        <v>1.1905438904464287</v>
      </c>
      <c r="AE115" s="1084"/>
      <c r="AF115" s="463" t="s">
        <v>1364</v>
      </c>
      <c r="AG115" s="1087"/>
      <c r="AH115" s="1343">
        <f t="shared" si="237"/>
        <v>3.6861903738179658E-2</v>
      </c>
      <c r="AI115" s="1344">
        <f t="shared" si="238"/>
        <v>0.86683295496518797</v>
      </c>
      <c r="AJ115" s="1345">
        <f t="shared" si="238"/>
        <v>0</v>
      </c>
      <c r="AK115" s="1345">
        <f t="shared" si="238"/>
        <v>0</v>
      </c>
      <c r="AL115" s="1345">
        <f t="shared" si="238"/>
        <v>0</v>
      </c>
      <c r="AM115" s="1346">
        <f t="shared" si="238"/>
        <v>0</v>
      </c>
      <c r="AN115" s="1347">
        <f t="shared" si="239"/>
        <v>9.6305141296632382E-2</v>
      </c>
      <c r="AO115" s="1084"/>
      <c r="AP115" s="2006"/>
      <c r="AQ115" s="2006"/>
      <c r="AR115" s="2006"/>
      <c r="AS115" s="2006"/>
      <c r="AT115" s="2006"/>
      <c r="AU115" s="2006"/>
      <c r="AV115" s="2006"/>
      <c r="AW115" s="2006"/>
      <c r="AX115" s="2006"/>
      <c r="AY115" s="2006"/>
      <c r="AZ115" s="2007"/>
      <c r="BA115" s="2007"/>
    </row>
    <row r="116" spans="1:55" ht="15" hidden="1" customHeight="1" outlineLevel="2" x14ac:dyDescent="0.2">
      <c r="A116" s="458" t="s">
        <v>1366</v>
      </c>
      <c r="B116" s="451">
        <v>10</v>
      </c>
      <c r="C116" s="155">
        <v>0.66400000000000003</v>
      </c>
      <c r="D116" s="68">
        <v>2.9547169811320755E-2</v>
      </c>
      <c r="E116" s="27">
        <v>0.45492574439858491</v>
      </c>
      <c r="F116" s="29">
        <v>1.9698113207547167E-2</v>
      </c>
      <c r="G116" s="2695">
        <v>2.0792452830188679E-3</v>
      </c>
      <c r="H116" s="29">
        <v>7.710605837264152E-2</v>
      </c>
      <c r="I116" s="28">
        <v>0</v>
      </c>
      <c r="J116" s="129">
        <v>26.367000000000001</v>
      </c>
      <c r="K116" s="28">
        <v>5.0542250202682777E-2</v>
      </c>
      <c r="L116" s="146">
        <v>3</v>
      </c>
      <c r="M116" s="571">
        <v>6</v>
      </c>
      <c r="N116" s="2293">
        <v>2</v>
      </c>
      <c r="O116" s="2507" t="s">
        <v>336</v>
      </c>
      <c r="P116" s="182">
        <f t="shared" si="232"/>
        <v>0.63389858127579601</v>
      </c>
      <c r="Q116" s="1084"/>
      <c r="R116" s="3205"/>
      <c r="S116" s="3205"/>
      <c r="T116" s="129">
        <v>0.73799999999999999</v>
      </c>
      <c r="U116" s="68">
        <v>2.9547169811320755E-2</v>
      </c>
      <c r="V116" s="27">
        <v>0.45492574439858491</v>
      </c>
      <c r="W116" s="363">
        <v>1.9698113207547167E-2</v>
      </c>
      <c r="X116" s="363">
        <v>2.0792452830188679E-3</v>
      </c>
      <c r="Y116" s="363">
        <v>7.710605837264152E-2</v>
      </c>
      <c r="Z116" s="28">
        <v>0</v>
      </c>
      <c r="AA116" s="129">
        <v>26.367000000000001</v>
      </c>
      <c r="AB116" s="28">
        <v>5.0542250202682777E-2</v>
      </c>
      <c r="AC116" s="364">
        <v>3</v>
      </c>
      <c r="AD116" s="182">
        <v>0.63389858127579601</v>
      </c>
      <c r="AE116" s="1084"/>
      <c r="AF116" s="463" t="s">
        <v>1366</v>
      </c>
      <c r="AG116" s="1087"/>
      <c r="AH116" s="1343">
        <f t="shared" si="237"/>
        <v>4.6611825115389305E-2</v>
      </c>
      <c r="AI116" s="1344">
        <f t="shared" si="238"/>
        <v>0.71766329478604118</v>
      </c>
      <c r="AJ116" s="1345">
        <f t="shared" si="238"/>
        <v>3.1074550076926152E-2</v>
      </c>
      <c r="AK116" s="1345">
        <f t="shared" si="238"/>
        <v>3.2800913970088721E-3</v>
      </c>
      <c r="AL116" s="1345">
        <f t="shared" si="238"/>
        <v>0.12163784657390531</v>
      </c>
      <c r="AM116" s="1346">
        <f t="shared" si="238"/>
        <v>0</v>
      </c>
      <c r="AN116" s="1347">
        <f t="shared" si="239"/>
        <v>7.973239205072917E-2</v>
      </c>
      <c r="AO116" s="1084"/>
      <c r="AP116" s="2006"/>
      <c r="AQ116" s="2006"/>
      <c r="AR116" s="2006"/>
      <c r="AS116" s="2006"/>
      <c r="AT116" s="2006"/>
      <c r="AU116" s="2006"/>
      <c r="AV116" s="2006"/>
      <c r="AW116" s="2006"/>
      <c r="AX116" s="2006"/>
      <c r="AY116" s="2006"/>
      <c r="AZ116" s="2007"/>
      <c r="BA116" s="2007"/>
    </row>
    <row r="117" spans="1:55" ht="15" hidden="1" customHeight="1" outlineLevel="2" x14ac:dyDescent="0.2">
      <c r="A117" s="458" t="s">
        <v>1579</v>
      </c>
      <c r="B117" s="451">
        <v>10</v>
      </c>
      <c r="C117" s="155">
        <v>4.7460000000000004</v>
      </c>
      <c r="D117" s="68">
        <v>2.0756756756756756E-2</v>
      </c>
      <c r="E117" s="27">
        <v>9.7621875000000038E-2</v>
      </c>
      <c r="F117" s="29">
        <v>1.3837837837837838E-2</v>
      </c>
      <c r="G117" s="2695">
        <v>1.4875675675675677E-2</v>
      </c>
      <c r="H117" s="29">
        <v>1.6571953125000004E-2</v>
      </c>
      <c r="I117" s="28">
        <v>0</v>
      </c>
      <c r="J117" s="129">
        <v>1.107</v>
      </c>
      <c r="K117" s="28">
        <v>1.0845790312500004E-2</v>
      </c>
      <c r="L117" s="146">
        <v>3</v>
      </c>
      <c r="M117" s="571">
        <v>6</v>
      </c>
      <c r="N117" s="2293">
        <v>2</v>
      </c>
      <c r="O117" s="2507" t="s">
        <v>336</v>
      </c>
      <c r="P117" s="182">
        <f t="shared" si="232"/>
        <v>0.17450988870777032</v>
      </c>
      <c r="Q117" s="1084"/>
      <c r="R117" s="3205"/>
      <c r="S117" s="3205"/>
      <c r="T117" s="129">
        <f>C117</f>
        <v>4.7460000000000004</v>
      </c>
      <c r="U117" s="68">
        <f t="shared" ref="U117:Z119" si="241">D117*$K$3/$AB$3</f>
        <v>4.3885714285714285E-2</v>
      </c>
      <c r="V117" s="27">
        <f t="shared" si="241"/>
        <v>0.20640053571428579</v>
      </c>
      <c r="W117" s="363">
        <f t="shared" si="241"/>
        <v>2.9257142857142857E-2</v>
      </c>
      <c r="X117" s="363">
        <f t="shared" si="241"/>
        <v>3.1451428571428575E-2</v>
      </c>
      <c r="Y117" s="363">
        <f t="shared" si="241"/>
        <v>3.5037843750000006E-2</v>
      </c>
      <c r="Z117" s="28">
        <f t="shared" si="241"/>
        <v>0</v>
      </c>
      <c r="AA117" s="129">
        <f>J117</f>
        <v>1.107</v>
      </c>
      <c r="AB117" s="28">
        <f>K117*$K$3/$AB$3</f>
        <v>2.2931099517857153E-2</v>
      </c>
      <c r="AC117" s="364">
        <f>L117</f>
        <v>3</v>
      </c>
      <c r="AD117" s="182">
        <f t="shared" ref="AD117" si="242">SUM(U117:Z117,AB117)</f>
        <v>0.36896376469642872</v>
      </c>
      <c r="AE117" s="1084"/>
      <c r="AF117" s="463" t="s">
        <v>1579</v>
      </c>
      <c r="AG117" s="1087"/>
      <c r="AH117" s="1343">
        <f t="shared" si="237"/>
        <v>0.11894315508684716</v>
      </c>
      <c r="AI117" s="1344">
        <f t="shared" si="238"/>
        <v>0.5594059782106392</v>
      </c>
      <c r="AJ117" s="1345">
        <f t="shared" si="238"/>
        <v>7.9295436724564752E-2</v>
      </c>
      <c r="AK117" s="1345">
        <f t="shared" si="238"/>
        <v>8.5242594478907113E-2</v>
      </c>
      <c r="AL117" s="1345">
        <f t="shared" si="238"/>
        <v>9.4962831319839777E-2</v>
      </c>
      <c r="AM117" s="1346">
        <f t="shared" si="238"/>
        <v>0</v>
      </c>
      <c r="AN117" s="1347">
        <f t="shared" si="239"/>
        <v>6.2150004179202016E-2</v>
      </c>
      <c r="AO117" s="1084"/>
      <c r="AP117" s="2006"/>
      <c r="AQ117" s="2006"/>
      <c r="AR117" s="2006"/>
      <c r="AS117" s="2006"/>
      <c r="AT117" s="2006"/>
      <c r="AU117" s="2006"/>
      <c r="AV117" s="2006"/>
      <c r="AW117" s="2006"/>
      <c r="AX117" s="2006"/>
      <c r="AY117" s="2006"/>
      <c r="AZ117" s="2007"/>
      <c r="BA117" s="2007"/>
    </row>
    <row r="118" spans="1:55" ht="16" hidden="1" outlineLevel="2" x14ac:dyDescent="0.2">
      <c r="A118" s="458" t="s">
        <v>1368</v>
      </c>
      <c r="B118" s="451">
        <v>10</v>
      </c>
      <c r="C118" s="155">
        <v>5.5369999999999999</v>
      </c>
      <c r="D118" s="68">
        <v>2.0756756756756756E-2</v>
      </c>
      <c r="E118" s="27">
        <v>0.97621875000000002</v>
      </c>
      <c r="F118" s="29">
        <v>0</v>
      </c>
      <c r="G118" s="2695">
        <v>0</v>
      </c>
      <c r="H118" s="29">
        <v>0</v>
      </c>
      <c r="I118" s="28">
        <v>0</v>
      </c>
      <c r="J118" s="129">
        <v>39.551000000000002</v>
      </c>
      <c r="K118" s="28">
        <v>5.4228951562500002E-2</v>
      </c>
      <c r="L118" s="146">
        <v>3</v>
      </c>
      <c r="M118" s="571">
        <v>10</v>
      </c>
      <c r="N118" s="2293">
        <v>2</v>
      </c>
      <c r="O118" s="2507" t="s">
        <v>336</v>
      </c>
      <c r="P118" s="182">
        <f t="shared" si="232"/>
        <v>1.0512044583192568</v>
      </c>
      <c r="Q118" s="1084"/>
      <c r="R118" s="3205"/>
      <c r="S118" s="3205"/>
      <c r="T118" s="129">
        <f>C118</f>
        <v>5.5369999999999999</v>
      </c>
      <c r="U118" s="68">
        <f t="shared" si="241"/>
        <v>4.3885714285714285E-2</v>
      </c>
      <c r="V118" s="27">
        <f t="shared" si="241"/>
        <v>2.0640053571428574</v>
      </c>
      <c r="W118" s="363">
        <f t="shared" si="241"/>
        <v>0</v>
      </c>
      <c r="X118" s="363">
        <f t="shared" si="241"/>
        <v>0</v>
      </c>
      <c r="Y118" s="363">
        <f t="shared" si="241"/>
        <v>0</v>
      </c>
      <c r="Z118" s="28">
        <f t="shared" si="241"/>
        <v>0</v>
      </c>
      <c r="AA118" s="129">
        <f>J118</f>
        <v>39.551000000000002</v>
      </c>
      <c r="AB118" s="28">
        <f>K118*$K$3/$AB$3</f>
        <v>0.11465549758928571</v>
      </c>
      <c r="AC118" s="364">
        <f>L118</f>
        <v>3</v>
      </c>
      <c r="AD118" s="182">
        <f>SUM(U118:Z118,AB118)</f>
        <v>2.2225465690178572</v>
      </c>
      <c r="AE118" s="1084"/>
      <c r="AF118" s="463" t="s">
        <v>1368</v>
      </c>
      <c r="AG118" s="1087"/>
      <c r="AH118" s="1343">
        <f t="shared" si="237"/>
        <v>1.9745689425579638E-2</v>
      </c>
      <c r="AI118" s="1344">
        <f t="shared" si="238"/>
        <v>0.92866686615927274</v>
      </c>
      <c r="AJ118" s="1345">
        <f t="shared" si="238"/>
        <v>0</v>
      </c>
      <c r="AK118" s="1345">
        <f t="shared" si="238"/>
        <v>0</v>
      </c>
      <c r="AL118" s="1345">
        <f t="shared" si="238"/>
        <v>0</v>
      </c>
      <c r="AM118" s="1346">
        <f t="shared" si="238"/>
        <v>0</v>
      </c>
      <c r="AN118" s="1347">
        <f t="shared" si="239"/>
        <v>5.15874444151476E-2</v>
      </c>
      <c r="AO118" s="1084"/>
      <c r="AP118" s="2006"/>
      <c r="AQ118" s="2006"/>
      <c r="AR118" s="2006"/>
      <c r="AS118" s="2006"/>
      <c r="AT118" s="2006"/>
      <c r="AU118" s="2006"/>
      <c r="AV118" s="2006"/>
      <c r="AW118" s="2006"/>
      <c r="AX118" s="2006"/>
      <c r="AY118" s="2006"/>
      <c r="AZ118" s="2007"/>
      <c r="BA118" s="2007"/>
    </row>
    <row r="119" spans="1:55" ht="15" hidden="1" customHeight="1" outlineLevel="2" x14ac:dyDescent="0.2">
      <c r="A119" s="458" t="s">
        <v>1369</v>
      </c>
      <c r="B119" s="451">
        <v>10</v>
      </c>
      <c r="C119" s="155">
        <v>39.552</v>
      </c>
      <c r="D119" s="68">
        <v>2.0756756756756756E-2</v>
      </c>
      <c r="E119" s="27">
        <v>0.97621875000000002</v>
      </c>
      <c r="F119" s="29">
        <v>0</v>
      </c>
      <c r="G119" s="2695">
        <v>0</v>
      </c>
      <c r="H119" s="29">
        <v>0</v>
      </c>
      <c r="I119" s="28">
        <v>0</v>
      </c>
      <c r="J119" s="129">
        <v>39.551000000000002</v>
      </c>
      <c r="K119" s="28">
        <v>5.4228951562500002E-2</v>
      </c>
      <c r="L119" s="146">
        <v>3</v>
      </c>
      <c r="M119" s="571">
        <v>10</v>
      </c>
      <c r="N119" s="2293">
        <v>2</v>
      </c>
      <c r="O119" s="2507" t="s">
        <v>336</v>
      </c>
      <c r="P119" s="182">
        <f t="shared" si="232"/>
        <v>1.0512044583192568</v>
      </c>
      <c r="Q119" s="1084"/>
      <c r="R119" s="3205"/>
      <c r="S119" s="3205"/>
      <c r="T119" s="129">
        <f>C119</f>
        <v>39.552</v>
      </c>
      <c r="U119" s="68">
        <f t="shared" si="241"/>
        <v>4.3885714285714285E-2</v>
      </c>
      <c r="V119" s="27">
        <f t="shared" si="241"/>
        <v>2.0640053571428574</v>
      </c>
      <c r="W119" s="363">
        <f t="shared" si="241"/>
        <v>0</v>
      </c>
      <c r="X119" s="363">
        <f t="shared" si="241"/>
        <v>0</v>
      </c>
      <c r="Y119" s="363">
        <f t="shared" si="241"/>
        <v>0</v>
      </c>
      <c r="Z119" s="28">
        <f t="shared" si="241"/>
        <v>0</v>
      </c>
      <c r="AA119" s="129">
        <f>J119</f>
        <v>39.551000000000002</v>
      </c>
      <c r="AB119" s="28">
        <f>K119*$K$3/$AB$3</f>
        <v>0.11465549758928571</v>
      </c>
      <c r="AC119" s="364">
        <f>L119</f>
        <v>3</v>
      </c>
      <c r="AD119" s="182">
        <f t="shared" ref="AD119" si="243">SUM(U119:Z119,AB119)</f>
        <v>2.2225465690178572</v>
      </c>
      <c r="AE119" s="1084"/>
      <c r="AF119" s="463" t="s">
        <v>1369</v>
      </c>
      <c r="AG119" s="1087"/>
      <c r="AH119" s="1343">
        <f t="shared" si="237"/>
        <v>1.9745689425579638E-2</v>
      </c>
      <c r="AI119" s="1344">
        <f t="shared" si="238"/>
        <v>0.92866686615927274</v>
      </c>
      <c r="AJ119" s="1345">
        <f t="shared" si="238"/>
        <v>0</v>
      </c>
      <c r="AK119" s="1345">
        <f t="shared" si="238"/>
        <v>0</v>
      </c>
      <c r="AL119" s="1345">
        <f t="shared" si="238"/>
        <v>0</v>
      </c>
      <c r="AM119" s="1346">
        <f t="shared" si="238"/>
        <v>0</v>
      </c>
      <c r="AN119" s="1347">
        <f t="shared" si="239"/>
        <v>5.15874444151476E-2</v>
      </c>
      <c r="AO119" s="1084"/>
      <c r="AP119" s="2006"/>
      <c r="AQ119" s="2006"/>
      <c r="AR119" s="2006"/>
      <c r="AS119" s="2006"/>
      <c r="AT119" s="2006"/>
      <c r="AU119" s="2006"/>
      <c r="AV119" s="2006"/>
      <c r="AW119" s="2006"/>
      <c r="AX119" s="2006"/>
      <c r="AY119" s="2006"/>
      <c r="AZ119" s="2007"/>
      <c r="BA119" s="2007"/>
    </row>
    <row r="120" spans="1:55" ht="15" hidden="1" customHeight="1" outlineLevel="1" collapsed="1" x14ac:dyDescent="0.2">
      <c r="A120" s="457" t="s">
        <v>1880</v>
      </c>
      <c r="B120" s="450" t="str">
        <f t="shared" ref="B120:K120" si="244">B$6</f>
        <v>Trips</v>
      </c>
      <c r="C120" s="172" t="str">
        <f t="shared" si="244"/>
        <v>Mbpd</v>
      </c>
      <c r="D120" s="2556" t="str">
        <f t="shared" si="244"/>
        <v>Client</v>
      </c>
      <c r="E120" s="2556" t="str">
        <f t="shared" si="244"/>
        <v>Citrix</v>
      </c>
      <c r="F120" s="2556" t="str">
        <f t="shared" si="244"/>
        <v>Web</v>
      </c>
      <c r="G120" s="2709" t="str">
        <f t="shared" si="244"/>
        <v>Portal</v>
      </c>
      <c r="H120" s="2556" t="str">
        <f t="shared" si="244"/>
        <v>SOC</v>
      </c>
      <c r="I120" s="2556" t="str">
        <f t="shared" si="244"/>
        <v>DS/MDS</v>
      </c>
      <c r="J120" s="2556" t="str">
        <f t="shared" si="244"/>
        <v>Mbpd</v>
      </c>
      <c r="K120" s="2556" t="str">
        <f t="shared" si="244"/>
        <v>DBMS</v>
      </c>
      <c r="L120" s="178" t="s">
        <v>299</v>
      </c>
      <c r="M120" s="572" t="str">
        <f>M$6</f>
        <v>DPM/c</v>
      </c>
      <c r="N120" s="2292" t="str">
        <f>N$6</f>
        <v>MT</v>
      </c>
      <c r="O120" s="2506" t="str">
        <f>O$6</f>
        <v xml:space="preserve">WF </v>
      </c>
      <c r="P120" s="181" t="s">
        <v>273</v>
      </c>
      <c r="Q120" s="1084"/>
      <c r="R120" s="181"/>
      <c r="S120" s="181"/>
      <c r="T120" s="1270" t="s">
        <v>308</v>
      </c>
      <c r="U120" s="2556" t="s">
        <v>303</v>
      </c>
      <c r="V120" s="2556" t="str">
        <f>V$6</f>
        <v xml:space="preserve">WTS </v>
      </c>
      <c r="W120" s="2556" t="str">
        <f>+W$6</f>
        <v>Web</v>
      </c>
      <c r="X120" s="2556" t="str">
        <f>+X$6</f>
        <v>Portal</v>
      </c>
      <c r="Y120" s="2556" t="s">
        <v>312</v>
      </c>
      <c r="Z120" s="2556" t="s">
        <v>330</v>
      </c>
      <c r="AA120" s="2556" t="s">
        <v>308</v>
      </c>
      <c r="AB120" s="2556" t="s">
        <v>309</v>
      </c>
      <c r="AC120" s="178" t="s">
        <v>299</v>
      </c>
      <c r="AD120" s="181" t="s">
        <v>273</v>
      </c>
      <c r="AE120" s="1084"/>
      <c r="AF120" s="404" t="s">
        <v>1281</v>
      </c>
      <c r="AG120" s="1087"/>
      <c r="AH120" s="1338" t="str">
        <f t="shared" ref="AH120:AM120" si="245">D120</f>
        <v>Client</v>
      </c>
      <c r="AI120" s="1339" t="str">
        <f t="shared" si="245"/>
        <v>Citrix</v>
      </c>
      <c r="AJ120" s="1339" t="str">
        <f t="shared" si="245"/>
        <v>Web</v>
      </c>
      <c r="AK120" s="1339" t="str">
        <f t="shared" si="245"/>
        <v>Portal</v>
      </c>
      <c r="AL120" s="1340" t="str">
        <f t="shared" si="245"/>
        <v>SOC</v>
      </c>
      <c r="AM120" s="1341" t="str">
        <f t="shared" si="245"/>
        <v>DS/MDS</v>
      </c>
      <c r="AN120" s="1342" t="str">
        <f>K120</f>
        <v>DBMS</v>
      </c>
      <c r="AO120" s="1084"/>
      <c r="AP120" s="2006"/>
      <c r="AQ120" s="2006"/>
      <c r="AR120" s="2006"/>
      <c r="AS120" s="2006"/>
      <c r="AT120" s="2006"/>
      <c r="AU120" s="2006"/>
      <c r="AV120" s="2006"/>
      <c r="AW120" s="2006"/>
      <c r="AX120" s="2006"/>
      <c r="AY120" s="2006"/>
      <c r="AZ120" s="2007"/>
      <c r="BA120" s="2007"/>
    </row>
    <row r="121" spans="1:55" ht="15" hidden="1" customHeight="1" outlineLevel="2" x14ac:dyDescent="0.2">
      <c r="A121" s="459" t="s">
        <v>1371</v>
      </c>
      <c r="B121" s="451">
        <v>10</v>
      </c>
      <c r="C121" s="155">
        <v>2.1339999999999999</v>
      </c>
      <c r="D121" s="68">
        <v>2.0756756756756756E-2</v>
      </c>
      <c r="E121" s="27">
        <v>0</v>
      </c>
      <c r="F121" s="1931">
        <v>1.3837837837837838E-2</v>
      </c>
      <c r="G121" s="2655">
        <v>1.4875675675675677E-2</v>
      </c>
      <c r="H121" s="29">
        <v>0.16564488281249998</v>
      </c>
      <c r="I121" s="28">
        <v>0</v>
      </c>
      <c r="J121" s="129">
        <v>20.010000000000002</v>
      </c>
      <c r="K121" s="28">
        <v>2.8312533046874994E-2</v>
      </c>
      <c r="L121" s="146">
        <v>3</v>
      </c>
      <c r="M121" s="571">
        <v>6</v>
      </c>
      <c r="N121" s="2293">
        <v>1</v>
      </c>
      <c r="O121" s="2507" t="s">
        <v>332</v>
      </c>
      <c r="P121" s="182">
        <f t="shared" ref="P121:P130" si="246">SUM(D121:I121,K121)</f>
        <v>0.24342768612964524</v>
      </c>
      <c r="Q121" s="1215"/>
      <c r="R121" s="3219">
        <f t="shared" ref="R121" si="247">F121+G121</f>
        <v>2.8713513513513512E-2</v>
      </c>
      <c r="S121" s="3219">
        <f t="shared" ref="S121" si="248">E121+H121+K121</f>
        <v>0.19395741585937498</v>
      </c>
      <c r="T121" s="129">
        <f t="shared" ref="T121:T130" si="249">C121</f>
        <v>2.1339999999999999</v>
      </c>
      <c r="U121" s="68">
        <f t="shared" ref="U121:U130" si="250">D121*$K$3/$AB$3</f>
        <v>4.3885714285714285E-2</v>
      </c>
      <c r="V121" s="27">
        <f t="shared" ref="V121:V130" si="251">E121*$K$3/$AB$3</f>
        <v>0</v>
      </c>
      <c r="W121" s="363">
        <f t="shared" ref="W121:W130" si="252">F121*$K$3/$AB$3</f>
        <v>2.9257142857142857E-2</v>
      </c>
      <c r="X121" s="363">
        <f t="shared" ref="X121:X130" si="253">G121*$K$3/$AB$3</f>
        <v>3.1451428571428575E-2</v>
      </c>
      <c r="Y121" s="363">
        <f t="shared" ref="Y121:Y130" si="254">H121*$K$3/$AB$3</f>
        <v>0.35022060937499994</v>
      </c>
      <c r="Z121" s="28">
        <f t="shared" ref="Z121:Z130" si="255">I121*$K$3/$AB$3</f>
        <v>0</v>
      </c>
      <c r="AA121" s="129">
        <f t="shared" ref="AA121:AA130" si="256">J121</f>
        <v>20.010000000000002</v>
      </c>
      <c r="AB121" s="28">
        <f t="shared" ref="AB121:AB130" si="257">K121*$K$3/$AB$3</f>
        <v>5.9860784156249992E-2</v>
      </c>
      <c r="AC121" s="364">
        <f t="shared" ref="AC121:AC130" si="258">L121</f>
        <v>3</v>
      </c>
      <c r="AD121" s="182">
        <f t="shared" ref="AD121" si="259">SUM(U121:Z121,AB121)</f>
        <v>0.51467567924553559</v>
      </c>
      <c r="AE121" s="1084"/>
      <c r="AF121" s="462" t="s">
        <v>1371</v>
      </c>
      <c r="AG121" s="1087"/>
      <c r="AH121" s="1343">
        <f t="shared" ref="AH121" si="260">1-SUM(AI121:AN121)</f>
        <v>8.5268677062896092E-2</v>
      </c>
      <c r="AI121" s="1344">
        <f t="shared" ref="AI121:AI130" si="261">E121/$P121</f>
        <v>0</v>
      </c>
      <c r="AJ121" s="1345">
        <f t="shared" ref="AJ121:AJ130" si="262">F121/$P121</f>
        <v>5.6845784708597413E-2</v>
      </c>
      <c r="AK121" s="1345">
        <f t="shared" ref="AK121:AK130" si="263">G121/$P121</f>
        <v>6.1109218561742222E-2</v>
      </c>
      <c r="AL121" s="1345">
        <f t="shared" ref="AL121:AL130" si="264">H121/$P121</f>
        <v>0.68046854261384415</v>
      </c>
      <c r="AM121" s="1346">
        <f t="shared" ref="AM121:AM130" si="265">I121/$P121</f>
        <v>0</v>
      </c>
      <c r="AN121" s="1347">
        <f t="shared" ref="AN121:AN130" si="266">K121/$P121</f>
        <v>0.11630777705292011</v>
      </c>
      <c r="AO121" s="1084"/>
      <c r="AP121" s="2008" t="s">
        <v>874</v>
      </c>
      <c r="AQ121" s="2006"/>
      <c r="AR121" s="2006"/>
      <c r="AS121" s="2006"/>
      <c r="AT121" s="2006"/>
      <c r="AU121" s="2006"/>
      <c r="AV121" s="2006"/>
      <c r="AW121" s="2006"/>
      <c r="AX121" s="2006"/>
      <c r="AY121" s="2006"/>
      <c r="AZ121" s="2007"/>
      <c r="BA121" s="2007"/>
      <c r="BB121" s="1722"/>
      <c r="BC121" s="1722"/>
    </row>
    <row r="122" spans="1:55" ht="15" hidden="1" customHeight="1" outlineLevel="2" x14ac:dyDescent="0.2">
      <c r="A122" s="459" t="s">
        <v>1291</v>
      </c>
      <c r="B122" s="451">
        <v>10</v>
      </c>
      <c r="C122" s="155">
        <v>2.1339999999999999</v>
      </c>
      <c r="D122" s="68">
        <v>2.0756756756756756E-2</v>
      </c>
      <c r="E122" s="27">
        <v>0</v>
      </c>
      <c r="F122" s="1931">
        <v>6.9189189189189189E-3</v>
      </c>
      <c r="G122" s="2655">
        <v>0</v>
      </c>
      <c r="H122" s="29">
        <v>0.11042992187499999</v>
      </c>
      <c r="I122" s="28">
        <v>0</v>
      </c>
      <c r="J122" s="129">
        <v>13.34</v>
      </c>
      <c r="K122" s="28">
        <v>1.8875022031250001E-2</v>
      </c>
      <c r="L122" s="146">
        <v>3</v>
      </c>
      <c r="M122" s="571">
        <v>6</v>
      </c>
      <c r="N122" s="2293">
        <v>1</v>
      </c>
      <c r="O122" s="2507" t="s">
        <v>332</v>
      </c>
      <c r="P122" s="182">
        <f t="shared" si="246"/>
        <v>0.15698061958192566</v>
      </c>
      <c r="Q122" s="1084"/>
      <c r="R122" s="3205"/>
      <c r="S122" s="3205"/>
      <c r="T122" s="129">
        <f t="shared" si="249"/>
        <v>2.1339999999999999</v>
      </c>
      <c r="U122" s="68">
        <f t="shared" si="250"/>
        <v>4.3885714285714285E-2</v>
      </c>
      <c r="V122" s="27">
        <f t="shared" si="251"/>
        <v>0</v>
      </c>
      <c r="W122" s="363">
        <f t="shared" si="252"/>
        <v>1.4628571428571428E-2</v>
      </c>
      <c r="X122" s="363">
        <f t="shared" si="253"/>
        <v>0</v>
      </c>
      <c r="Y122" s="363">
        <f t="shared" si="254"/>
        <v>0.23348040624999997</v>
      </c>
      <c r="Z122" s="28">
        <f t="shared" si="255"/>
        <v>0</v>
      </c>
      <c r="AA122" s="129">
        <f t="shared" si="256"/>
        <v>13.34</v>
      </c>
      <c r="AB122" s="28">
        <f t="shared" si="257"/>
        <v>3.9907189437500004E-2</v>
      </c>
      <c r="AC122" s="364">
        <f t="shared" si="258"/>
        <v>3</v>
      </c>
      <c r="AD122" s="182">
        <f>SUM(U122:Z122,AB122)</f>
        <v>0.33190188140178567</v>
      </c>
      <c r="AE122" s="1084"/>
      <c r="AF122" s="462" t="s">
        <v>1291</v>
      </c>
      <c r="AG122" s="1087"/>
      <c r="AH122" s="1343">
        <f t="shared" ref="AH122:AH130" si="267">1-SUM(AI122:AN122)</f>
        <v>0.13222496389705052</v>
      </c>
      <c r="AI122" s="1344">
        <f t="shared" si="261"/>
        <v>0</v>
      </c>
      <c r="AJ122" s="1345">
        <f t="shared" si="262"/>
        <v>4.4074987965683536E-2</v>
      </c>
      <c r="AK122" s="1345">
        <f t="shared" si="263"/>
        <v>0</v>
      </c>
      <c r="AL122" s="1345">
        <f t="shared" si="264"/>
        <v>0.70346213544767155</v>
      </c>
      <c r="AM122" s="1346">
        <f t="shared" si="265"/>
        <v>0</v>
      </c>
      <c r="AN122" s="1347">
        <f t="shared" si="266"/>
        <v>0.12023791268959434</v>
      </c>
      <c r="AO122" s="1084"/>
      <c r="AP122" s="2006" t="s">
        <v>873</v>
      </c>
      <c r="AQ122" s="2006"/>
      <c r="AR122" s="2006"/>
      <c r="AS122" s="2006"/>
      <c r="AT122" s="2006"/>
      <c r="AU122" s="2006"/>
      <c r="AV122" s="2006"/>
      <c r="AW122" s="2006"/>
      <c r="AX122" s="2006"/>
      <c r="AY122" s="2006"/>
      <c r="AZ122" s="2007"/>
      <c r="BA122" s="2007"/>
      <c r="BB122" s="1722"/>
      <c r="BC122" s="1722"/>
    </row>
    <row r="123" spans="1:55" ht="15" hidden="1" customHeight="1" outlineLevel="2" x14ac:dyDescent="0.2">
      <c r="A123" s="459" t="s">
        <v>1372</v>
      </c>
      <c r="B123" s="451">
        <v>10</v>
      </c>
      <c r="C123" s="155">
        <v>2.1339999999999999</v>
      </c>
      <c r="D123" s="68">
        <v>2.0756756756756756E-2</v>
      </c>
      <c r="E123" s="27">
        <v>0</v>
      </c>
      <c r="F123" s="1931">
        <v>6.9189189189189189E-3</v>
      </c>
      <c r="G123" s="2655">
        <v>0</v>
      </c>
      <c r="H123" s="29">
        <v>0.16564488281249998</v>
      </c>
      <c r="I123" s="28">
        <v>0</v>
      </c>
      <c r="J123" s="129">
        <v>20.010000000000002</v>
      </c>
      <c r="K123" s="28">
        <v>2.8312533046874994E-2</v>
      </c>
      <c r="L123" s="146">
        <v>3</v>
      </c>
      <c r="M123" s="571">
        <v>6</v>
      </c>
      <c r="N123" s="2293">
        <v>1</v>
      </c>
      <c r="O123" s="2507" t="s">
        <v>332</v>
      </c>
      <c r="P123" s="182">
        <f t="shared" si="246"/>
        <v>0.22163309153505065</v>
      </c>
      <c r="Q123" s="1084"/>
      <c r="R123" s="3205"/>
      <c r="S123" s="3205"/>
      <c r="T123" s="129">
        <f t="shared" si="249"/>
        <v>2.1339999999999999</v>
      </c>
      <c r="U123" s="68">
        <f t="shared" si="250"/>
        <v>4.3885714285714285E-2</v>
      </c>
      <c r="V123" s="27">
        <f t="shared" si="251"/>
        <v>0</v>
      </c>
      <c r="W123" s="363">
        <f t="shared" si="252"/>
        <v>1.4628571428571428E-2</v>
      </c>
      <c r="X123" s="363">
        <f t="shared" si="253"/>
        <v>0</v>
      </c>
      <c r="Y123" s="363">
        <f t="shared" si="254"/>
        <v>0.35022060937499994</v>
      </c>
      <c r="Z123" s="28">
        <f t="shared" si="255"/>
        <v>0</v>
      </c>
      <c r="AA123" s="129">
        <f t="shared" si="256"/>
        <v>20.010000000000002</v>
      </c>
      <c r="AB123" s="28">
        <f t="shared" si="257"/>
        <v>5.9860784156249992E-2</v>
      </c>
      <c r="AC123" s="364">
        <f t="shared" si="258"/>
        <v>3</v>
      </c>
      <c r="AD123" s="182">
        <f>SUM(U123:Z123,AB123)</f>
        <v>0.46859567924553563</v>
      </c>
      <c r="AE123" s="1084"/>
      <c r="AF123" s="462" t="s">
        <v>1372</v>
      </c>
      <c r="AG123" s="1087"/>
      <c r="AH123" s="1343">
        <f t="shared" si="267"/>
        <v>9.3653689586665978E-2</v>
      </c>
      <c r="AI123" s="1344">
        <f t="shared" si="261"/>
        <v>0</v>
      </c>
      <c r="AJ123" s="1345">
        <f t="shared" si="262"/>
        <v>3.1217896528888654E-2</v>
      </c>
      <c r="AK123" s="1345">
        <f t="shared" si="263"/>
        <v>0</v>
      </c>
      <c r="AL123" s="1345">
        <f t="shared" si="264"/>
        <v>0.74738335176046444</v>
      </c>
      <c r="AM123" s="1346">
        <f t="shared" si="265"/>
        <v>0</v>
      </c>
      <c r="AN123" s="1347">
        <f t="shared" si="266"/>
        <v>0.12774506212398093</v>
      </c>
      <c r="AO123" s="1084"/>
      <c r="AP123" s="2006" t="s">
        <v>873</v>
      </c>
      <c r="AQ123" s="2006"/>
      <c r="AR123" s="2006"/>
      <c r="AS123" s="2006"/>
      <c r="AT123" s="2006"/>
      <c r="AU123" s="2006"/>
      <c r="AV123" s="2006"/>
      <c r="AW123" s="2006"/>
      <c r="AX123" s="2006"/>
      <c r="AY123" s="2006"/>
      <c r="AZ123" s="2007"/>
      <c r="BA123" s="2007"/>
      <c r="BB123" s="1722"/>
      <c r="BC123" s="1722"/>
    </row>
    <row r="124" spans="1:55" ht="15" hidden="1" customHeight="1" outlineLevel="2" x14ac:dyDescent="0.2">
      <c r="A124" s="459" t="s">
        <v>1373</v>
      </c>
      <c r="B124" s="451">
        <v>10</v>
      </c>
      <c r="C124" s="155">
        <v>2.6339999999999999</v>
      </c>
      <c r="D124" s="68">
        <v>2.0756756756756756E-2</v>
      </c>
      <c r="E124" s="27">
        <v>0</v>
      </c>
      <c r="F124" s="1931">
        <v>6.9189189189189189E-3</v>
      </c>
      <c r="G124" s="2655">
        <v>0</v>
      </c>
      <c r="H124" s="29">
        <v>0.16564488281249998</v>
      </c>
      <c r="I124" s="28">
        <v>0</v>
      </c>
      <c r="J124" s="129">
        <v>20.010000000000002</v>
      </c>
      <c r="K124" s="28">
        <v>2.8312533046874994E-2</v>
      </c>
      <c r="L124" s="146">
        <v>3</v>
      </c>
      <c r="M124" s="571">
        <v>6</v>
      </c>
      <c r="N124" s="2293">
        <v>1</v>
      </c>
      <c r="O124" s="2507" t="s">
        <v>332</v>
      </c>
      <c r="P124" s="182">
        <f t="shared" si="246"/>
        <v>0.22163309153505065</v>
      </c>
      <c r="Q124" s="1084"/>
      <c r="R124" s="3205"/>
      <c r="S124" s="3205"/>
      <c r="T124" s="129">
        <f t="shared" si="249"/>
        <v>2.6339999999999999</v>
      </c>
      <c r="U124" s="68">
        <f t="shared" si="250"/>
        <v>4.3885714285714285E-2</v>
      </c>
      <c r="V124" s="27">
        <f t="shared" si="251"/>
        <v>0</v>
      </c>
      <c r="W124" s="363">
        <f t="shared" si="252"/>
        <v>1.4628571428571428E-2</v>
      </c>
      <c r="X124" s="363">
        <f t="shared" si="253"/>
        <v>0</v>
      </c>
      <c r="Y124" s="363">
        <f t="shared" si="254"/>
        <v>0.35022060937499994</v>
      </c>
      <c r="Z124" s="28">
        <f t="shared" si="255"/>
        <v>0</v>
      </c>
      <c r="AA124" s="129">
        <f t="shared" si="256"/>
        <v>20.010000000000002</v>
      </c>
      <c r="AB124" s="28">
        <f t="shared" si="257"/>
        <v>5.9860784156249992E-2</v>
      </c>
      <c r="AC124" s="364">
        <f t="shared" si="258"/>
        <v>3</v>
      </c>
      <c r="AD124" s="182">
        <f>SUM(U124:Z124,AB124)</f>
        <v>0.46859567924553563</v>
      </c>
      <c r="AE124" s="1084"/>
      <c r="AF124" s="462" t="s">
        <v>1373</v>
      </c>
      <c r="AG124" s="1087"/>
      <c r="AH124" s="1343">
        <f t="shared" si="267"/>
        <v>9.3653689586665978E-2</v>
      </c>
      <c r="AI124" s="1344">
        <f t="shared" si="261"/>
        <v>0</v>
      </c>
      <c r="AJ124" s="1345">
        <f t="shared" si="262"/>
        <v>3.1217896528888654E-2</v>
      </c>
      <c r="AK124" s="1345">
        <f t="shared" si="263"/>
        <v>0</v>
      </c>
      <c r="AL124" s="1345">
        <f t="shared" si="264"/>
        <v>0.74738335176046444</v>
      </c>
      <c r="AM124" s="1346">
        <f t="shared" si="265"/>
        <v>0</v>
      </c>
      <c r="AN124" s="1347">
        <f t="shared" si="266"/>
        <v>0.12774506212398093</v>
      </c>
      <c r="AO124" s="1084"/>
      <c r="AP124" s="2006" t="s">
        <v>873</v>
      </c>
      <c r="AQ124" s="2006"/>
      <c r="AR124" s="2006"/>
      <c r="AS124" s="2006"/>
      <c r="AT124" s="2006"/>
      <c r="AU124" s="2006"/>
      <c r="AV124" s="2006"/>
      <c r="AW124" s="2006"/>
      <c r="AX124" s="2006"/>
      <c r="AY124" s="2006"/>
      <c r="AZ124" s="2007"/>
      <c r="BA124" s="2007"/>
      <c r="BB124" s="1722"/>
      <c r="BC124" s="1722"/>
    </row>
    <row r="125" spans="1:55" ht="15" hidden="1" customHeight="1" outlineLevel="2" x14ac:dyDescent="0.2">
      <c r="A125" s="459" t="s">
        <v>1374</v>
      </c>
      <c r="B125" s="451">
        <v>10</v>
      </c>
      <c r="C125" s="155">
        <v>1.994</v>
      </c>
      <c r="D125" s="68">
        <v>2.0756756756756756E-2</v>
      </c>
      <c r="E125" s="27">
        <v>0</v>
      </c>
      <c r="F125" s="1931">
        <v>6.9189189189189189E-3</v>
      </c>
      <c r="G125" s="2655">
        <v>0</v>
      </c>
      <c r="H125" s="29">
        <v>6.6257953125000005E-2</v>
      </c>
      <c r="I125" s="28">
        <v>0</v>
      </c>
      <c r="J125" s="129">
        <v>8.0039999999999996</v>
      </c>
      <c r="K125" s="28">
        <v>1.1325013218750001E-2</v>
      </c>
      <c r="L125" s="146">
        <v>3</v>
      </c>
      <c r="M125" s="571">
        <v>6</v>
      </c>
      <c r="N125" s="2293">
        <v>1</v>
      </c>
      <c r="O125" s="2507" t="s">
        <v>332</v>
      </c>
      <c r="P125" s="182">
        <f t="shared" si="246"/>
        <v>0.10525864201942568</v>
      </c>
      <c r="Q125" s="1084"/>
      <c r="R125" s="3205"/>
      <c r="S125" s="3205"/>
      <c r="T125" s="129">
        <f t="shared" si="249"/>
        <v>1.994</v>
      </c>
      <c r="U125" s="68">
        <f t="shared" si="250"/>
        <v>4.3885714285714285E-2</v>
      </c>
      <c r="V125" s="27">
        <f t="shared" si="251"/>
        <v>0</v>
      </c>
      <c r="W125" s="363">
        <f t="shared" si="252"/>
        <v>1.4628571428571428E-2</v>
      </c>
      <c r="X125" s="363">
        <f t="shared" si="253"/>
        <v>0</v>
      </c>
      <c r="Y125" s="363">
        <f t="shared" si="254"/>
        <v>0.14008824375000004</v>
      </c>
      <c r="Z125" s="28">
        <f t="shared" si="255"/>
        <v>0</v>
      </c>
      <c r="AA125" s="129">
        <f t="shared" si="256"/>
        <v>8.0039999999999996</v>
      </c>
      <c r="AB125" s="28">
        <f t="shared" si="257"/>
        <v>2.3944313662500001E-2</v>
      </c>
      <c r="AC125" s="364">
        <f t="shared" si="258"/>
        <v>3</v>
      </c>
      <c r="AD125" s="182">
        <f t="shared" ref="AD125:AD127" si="268">SUM(U125:Z125,AB125)</f>
        <v>0.22254684312678574</v>
      </c>
      <c r="AE125" s="1084"/>
      <c r="AF125" s="462" t="s">
        <v>1374</v>
      </c>
      <c r="AG125" s="1087"/>
      <c r="AH125" s="1343">
        <f t="shared" si="267"/>
        <v>0.19719764912914273</v>
      </c>
      <c r="AI125" s="1344">
        <f t="shared" si="261"/>
        <v>0</v>
      </c>
      <c r="AJ125" s="1345">
        <f t="shared" si="262"/>
        <v>6.5732549709714275E-2</v>
      </c>
      <c r="AK125" s="1345">
        <f t="shared" si="263"/>
        <v>0</v>
      </c>
      <c r="AL125" s="1345">
        <f t="shared" si="264"/>
        <v>0.62947755978812625</v>
      </c>
      <c r="AM125" s="1346">
        <f t="shared" si="265"/>
        <v>0</v>
      </c>
      <c r="AN125" s="1347">
        <f t="shared" si="266"/>
        <v>0.10759224137301665</v>
      </c>
      <c r="AO125" s="1084"/>
      <c r="AP125" s="2006" t="s">
        <v>873</v>
      </c>
      <c r="AQ125" s="2006"/>
      <c r="AR125" s="2006"/>
      <c r="AS125" s="2006"/>
      <c r="AT125" s="2006"/>
      <c r="AU125" s="2006"/>
      <c r="AV125" s="2006"/>
      <c r="AW125" s="2006"/>
      <c r="AX125" s="2006"/>
      <c r="AY125" s="2006"/>
      <c r="AZ125" s="2007"/>
      <c r="BA125" s="2007"/>
      <c r="BB125" s="1722"/>
      <c r="BC125" s="1722"/>
    </row>
    <row r="126" spans="1:55" ht="15" hidden="1" customHeight="1" outlineLevel="2" x14ac:dyDescent="0.2">
      <c r="A126" s="459" t="s">
        <v>1425</v>
      </c>
      <c r="B126" s="451">
        <v>10</v>
      </c>
      <c r="C126" s="155">
        <v>4.5019999999999998</v>
      </c>
      <c r="D126" s="68">
        <v>7.5059923986486518E-2</v>
      </c>
      <c r="E126" s="27">
        <v>0</v>
      </c>
      <c r="F126" s="1931">
        <v>1.3837837837837838E-2</v>
      </c>
      <c r="G126" s="2655">
        <v>1.4875675675675677E-2</v>
      </c>
      <c r="H126" s="29">
        <v>1.2741914062500003E-2</v>
      </c>
      <c r="I126" s="28">
        <v>0</v>
      </c>
      <c r="J126" s="129">
        <v>4.0019999999999998</v>
      </c>
      <c r="K126" s="28">
        <v>5.6625066093750022E-3</v>
      </c>
      <c r="L126" s="146">
        <v>3</v>
      </c>
      <c r="M126" s="571">
        <v>6</v>
      </c>
      <c r="N126" s="2293">
        <v>1</v>
      </c>
      <c r="O126" s="2507" t="s">
        <v>332</v>
      </c>
      <c r="P126" s="182">
        <f t="shared" si="246"/>
        <v>0.12217785817187503</v>
      </c>
      <c r="Q126" s="1084"/>
      <c r="R126" s="3205"/>
      <c r="S126" s="3205"/>
      <c r="T126" s="129">
        <f t="shared" si="249"/>
        <v>4.5019999999999998</v>
      </c>
      <c r="U126" s="68">
        <f t="shared" si="250"/>
        <v>0.15869812500000005</v>
      </c>
      <c r="V126" s="27">
        <f t="shared" si="251"/>
        <v>0</v>
      </c>
      <c r="W126" s="363">
        <f t="shared" si="252"/>
        <v>2.9257142857142857E-2</v>
      </c>
      <c r="X126" s="363">
        <f t="shared" si="253"/>
        <v>3.1451428571428575E-2</v>
      </c>
      <c r="Y126" s="363">
        <f t="shared" si="254"/>
        <v>2.6940046875000009E-2</v>
      </c>
      <c r="Z126" s="28">
        <f t="shared" si="255"/>
        <v>0</v>
      </c>
      <c r="AA126" s="129">
        <f t="shared" si="256"/>
        <v>4.0019999999999998</v>
      </c>
      <c r="AB126" s="28">
        <f t="shared" si="257"/>
        <v>1.1972156831250004E-2</v>
      </c>
      <c r="AC126" s="364">
        <f t="shared" si="258"/>
        <v>3</v>
      </c>
      <c r="AD126" s="182">
        <f t="shared" si="268"/>
        <v>0.25831890013482151</v>
      </c>
      <c r="AE126" s="1084"/>
      <c r="AF126" s="462" t="s">
        <v>1375</v>
      </c>
      <c r="AG126" s="1087"/>
      <c r="AH126" s="1343">
        <f t="shared" si="267"/>
        <v>0.61434964656930835</v>
      </c>
      <c r="AI126" s="1344">
        <f t="shared" si="261"/>
        <v>0</v>
      </c>
      <c r="AJ126" s="1345">
        <f t="shared" si="262"/>
        <v>0.11325978409583272</v>
      </c>
      <c r="AK126" s="1345">
        <f t="shared" si="263"/>
        <v>0.12175426790302019</v>
      </c>
      <c r="AL126" s="1345">
        <f t="shared" si="264"/>
        <v>0.10428987914140038</v>
      </c>
      <c r="AM126" s="1346">
        <f t="shared" si="265"/>
        <v>0</v>
      </c>
      <c r="AN126" s="1347">
        <f t="shared" si="266"/>
        <v>4.6346422290438331E-2</v>
      </c>
      <c r="AO126" s="1084"/>
      <c r="AP126" s="2006" t="s">
        <v>878</v>
      </c>
      <c r="AQ126" s="2006"/>
      <c r="AR126" s="2006"/>
      <c r="AS126" s="2006"/>
      <c r="AT126" s="2006"/>
      <c r="AU126" s="2006"/>
      <c r="AV126" s="2006"/>
      <c r="AW126" s="2006"/>
      <c r="AX126" s="2006"/>
      <c r="AY126" s="2006"/>
      <c r="AZ126" s="2007"/>
      <c r="BA126" s="2007"/>
      <c r="BB126" s="1722"/>
      <c r="BC126" s="1722"/>
    </row>
    <row r="127" spans="1:55" ht="15" hidden="1" customHeight="1" outlineLevel="2" x14ac:dyDescent="0.2">
      <c r="A127" s="459" t="s">
        <v>92</v>
      </c>
      <c r="B127" s="451">
        <v>10</v>
      </c>
      <c r="C127" s="155">
        <v>0.5</v>
      </c>
      <c r="D127" s="68">
        <v>2.0756756756756756E-2</v>
      </c>
      <c r="E127" s="27">
        <v>0</v>
      </c>
      <c r="F127" s="1931">
        <v>6.9189189189189189E-3</v>
      </c>
      <c r="G127" s="2695">
        <v>0</v>
      </c>
      <c r="H127" s="29">
        <v>7.0918918918918923E-3</v>
      </c>
      <c r="I127" s="28">
        <v>0</v>
      </c>
      <c r="J127" s="129">
        <v>0.5</v>
      </c>
      <c r="K127" s="28">
        <v>0</v>
      </c>
      <c r="L127" s="146">
        <v>3</v>
      </c>
      <c r="M127" s="571">
        <v>6</v>
      </c>
      <c r="N127" s="2293">
        <v>1</v>
      </c>
      <c r="O127" s="2507" t="s">
        <v>332</v>
      </c>
      <c r="P127" s="182">
        <f t="shared" si="246"/>
        <v>3.4767567567567569E-2</v>
      </c>
      <c r="Q127" s="1084"/>
      <c r="R127" s="3205"/>
      <c r="S127" s="3205"/>
      <c r="T127" s="129">
        <f t="shared" si="249"/>
        <v>0.5</v>
      </c>
      <c r="U127" s="68">
        <f t="shared" si="250"/>
        <v>4.3885714285714285E-2</v>
      </c>
      <c r="V127" s="27">
        <f t="shared" si="251"/>
        <v>0</v>
      </c>
      <c r="W127" s="363">
        <f t="shared" si="252"/>
        <v>1.4628571428571428E-2</v>
      </c>
      <c r="X127" s="363">
        <f t="shared" si="253"/>
        <v>0</v>
      </c>
      <c r="Y127" s="363">
        <f t="shared" si="254"/>
        <v>1.4994285714285715E-2</v>
      </c>
      <c r="Z127" s="28">
        <f t="shared" si="255"/>
        <v>0</v>
      </c>
      <c r="AA127" s="129">
        <f t="shared" si="256"/>
        <v>0.5</v>
      </c>
      <c r="AB127" s="28">
        <f t="shared" si="257"/>
        <v>0</v>
      </c>
      <c r="AC127" s="364">
        <f t="shared" si="258"/>
        <v>3</v>
      </c>
      <c r="AD127" s="182">
        <f t="shared" si="268"/>
        <v>7.3508571428571423E-2</v>
      </c>
      <c r="AE127" s="1084"/>
      <c r="AF127" s="462" t="s">
        <v>92</v>
      </c>
      <c r="AG127" s="1087"/>
      <c r="AH127" s="1343">
        <f t="shared" si="267"/>
        <v>0.59701492537313428</v>
      </c>
      <c r="AI127" s="1344">
        <f t="shared" si="261"/>
        <v>0</v>
      </c>
      <c r="AJ127" s="1345">
        <f t="shared" si="262"/>
        <v>0.19900497512437809</v>
      </c>
      <c r="AK127" s="1345">
        <f t="shared" si="263"/>
        <v>0</v>
      </c>
      <c r="AL127" s="1345">
        <f t="shared" si="264"/>
        <v>0.20398009950248758</v>
      </c>
      <c r="AM127" s="1346">
        <f t="shared" si="265"/>
        <v>0</v>
      </c>
      <c r="AN127" s="1347">
        <f t="shared" si="266"/>
        <v>0</v>
      </c>
      <c r="AO127" s="1084"/>
      <c r="AP127" s="2006" t="s">
        <v>875</v>
      </c>
      <c r="AQ127" s="2006"/>
      <c r="AR127" s="2006"/>
      <c r="AS127" s="2006"/>
      <c r="AT127" s="2006"/>
      <c r="AU127" s="2006"/>
      <c r="AV127" s="2006"/>
      <c r="AW127" s="2006"/>
      <c r="AX127" s="2006"/>
      <c r="AY127" s="2006"/>
      <c r="AZ127" s="2007"/>
      <c r="BA127" s="2007"/>
      <c r="BB127" s="1722"/>
      <c r="BC127" s="1722"/>
    </row>
    <row r="128" spans="1:55" ht="15" hidden="1" customHeight="1" outlineLevel="2" x14ac:dyDescent="0.2">
      <c r="A128" s="459" t="s">
        <v>1272</v>
      </c>
      <c r="B128" s="451">
        <v>150</v>
      </c>
      <c r="C128" s="155">
        <v>2.6339999999999999</v>
      </c>
      <c r="D128" s="68">
        <v>2.0756756756756756E-2</v>
      </c>
      <c r="E128" s="27">
        <v>0</v>
      </c>
      <c r="F128" s="1931">
        <v>6.9189189189189189E-3</v>
      </c>
      <c r="G128" s="2695">
        <v>1.4875675675675677E-2</v>
      </c>
      <c r="H128" s="29">
        <v>0</v>
      </c>
      <c r="I128" s="28">
        <v>0</v>
      </c>
      <c r="J128" s="129">
        <v>20.010000000000002</v>
      </c>
      <c r="K128" s="28">
        <v>0</v>
      </c>
      <c r="L128" s="146">
        <v>3</v>
      </c>
      <c r="M128" s="571">
        <v>10</v>
      </c>
      <c r="N128" s="2293">
        <v>1</v>
      </c>
      <c r="O128" s="2507" t="s">
        <v>332</v>
      </c>
      <c r="P128" s="182">
        <f t="shared" si="246"/>
        <v>4.2551351351351352E-2</v>
      </c>
      <c r="Q128" s="1084"/>
      <c r="R128" s="3205"/>
      <c r="S128" s="3205"/>
      <c r="T128" s="129">
        <f t="shared" si="249"/>
        <v>2.6339999999999999</v>
      </c>
      <c r="U128" s="68">
        <f t="shared" si="250"/>
        <v>4.3885714285714285E-2</v>
      </c>
      <c r="V128" s="27">
        <f t="shared" si="251"/>
        <v>0</v>
      </c>
      <c r="W128" s="363">
        <f t="shared" si="252"/>
        <v>1.4628571428571428E-2</v>
      </c>
      <c r="X128" s="363">
        <f t="shared" si="253"/>
        <v>3.1451428571428575E-2</v>
      </c>
      <c r="Y128" s="363">
        <f t="shared" si="254"/>
        <v>0</v>
      </c>
      <c r="Z128" s="28">
        <f t="shared" si="255"/>
        <v>0</v>
      </c>
      <c r="AA128" s="129">
        <f t="shared" si="256"/>
        <v>20.010000000000002</v>
      </c>
      <c r="AB128" s="28">
        <f t="shared" si="257"/>
        <v>0</v>
      </c>
      <c r="AC128" s="364">
        <f t="shared" si="258"/>
        <v>3</v>
      </c>
      <c r="AD128" s="182">
        <f>SUM(U128:Z128,AB128)</f>
        <v>8.9965714285714288E-2</v>
      </c>
      <c r="AE128" s="1084"/>
      <c r="AF128" s="462" t="s">
        <v>1272</v>
      </c>
      <c r="AG128" s="1087"/>
      <c r="AH128" s="1343">
        <f t="shared" si="267"/>
        <v>0.48780487804878048</v>
      </c>
      <c r="AI128" s="1344">
        <f t="shared" si="261"/>
        <v>0</v>
      </c>
      <c r="AJ128" s="1345">
        <f t="shared" si="262"/>
        <v>0.16260162601626016</v>
      </c>
      <c r="AK128" s="1345">
        <f t="shared" si="263"/>
        <v>0.34959349593495936</v>
      </c>
      <c r="AL128" s="1345">
        <f t="shared" si="264"/>
        <v>0</v>
      </c>
      <c r="AM128" s="1346">
        <f t="shared" si="265"/>
        <v>0</v>
      </c>
      <c r="AN128" s="1347">
        <f t="shared" si="266"/>
        <v>0</v>
      </c>
      <c r="AO128" s="1084"/>
      <c r="AP128" s="2006" t="s">
        <v>875</v>
      </c>
      <c r="AQ128" s="2006"/>
      <c r="AR128" s="2006"/>
      <c r="AS128" s="2006"/>
      <c r="AT128" s="2006"/>
      <c r="AU128" s="2006"/>
      <c r="AV128" s="2006"/>
      <c r="AW128" s="2006"/>
      <c r="AX128" s="2006"/>
      <c r="AY128" s="2006"/>
      <c r="AZ128" s="2007"/>
      <c r="BA128" s="2007"/>
      <c r="BB128" s="1722"/>
      <c r="BC128" s="1722"/>
    </row>
    <row r="129" spans="1:55" ht="15" hidden="1" customHeight="1" outlineLevel="2" x14ac:dyDescent="0.2">
      <c r="A129" s="459" t="s">
        <v>1376</v>
      </c>
      <c r="B129" s="451">
        <v>10</v>
      </c>
      <c r="C129" s="155">
        <v>2.1339999999999999</v>
      </c>
      <c r="D129" s="68">
        <v>2.0756756756756756E-2</v>
      </c>
      <c r="E129" s="27">
        <v>0</v>
      </c>
      <c r="F129" s="1931">
        <v>6.9189189189189189E-3</v>
      </c>
      <c r="G129" s="2695">
        <v>0</v>
      </c>
      <c r="H129" s="29">
        <v>0.25343667070312503</v>
      </c>
      <c r="I129" s="28">
        <v>0</v>
      </c>
      <c r="J129" s="129">
        <v>20.010000000000002</v>
      </c>
      <c r="K129" s="28">
        <v>2.8312533046874994E-2</v>
      </c>
      <c r="L129" s="146">
        <v>3</v>
      </c>
      <c r="M129" s="571">
        <v>6</v>
      </c>
      <c r="N129" s="2293">
        <v>1</v>
      </c>
      <c r="O129" s="2507" t="s">
        <v>332</v>
      </c>
      <c r="P129" s="182">
        <f t="shared" si="246"/>
        <v>0.3094248794256757</v>
      </c>
      <c r="Q129" s="1084"/>
      <c r="R129" s="3205"/>
      <c r="S129" s="3205"/>
      <c r="T129" s="129">
        <f t="shared" si="249"/>
        <v>2.1339999999999999</v>
      </c>
      <c r="U129" s="68">
        <f t="shared" si="250"/>
        <v>4.3885714285714285E-2</v>
      </c>
      <c r="V129" s="27">
        <f t="shared" si="251"/>
        <v>0</v>
      </c>
      <c r="W129" s="363">
        <f t="shared" si="252"/>
        <v>1.4628571428571428E-2</v>
      </c>
      <c r="X129" s="363">
        <f t="shared" si="253"/>
        <v>0</v>
      </c>
      <c r="Y129" s="363">
        <f t="shared" si="254"/>
        <v>0.53583753234375009</v>
      </c>
      <c r="Z129" s="28">
        <f t="shared" si="255"/>
        <v>0</v>
      </c>
      <c r="AA129" s="129">
        <f t="shared" si="256"/>
        <v>20.010000000000002</v>
      </c>
      <c r="AB129" s="28">
        <f t="shared" si="257"/>
        <v>5.9860784156249992E-2</v>
      </c>
      <c r="AC129" s="364">
        <f t="shared" si="258"/>
        <v>3</v>
      </c>
      <c r="AD129" s="182">
        <f t="shared" ref="AD129:AD130" si="269">SUM(U129:Z129,AB129)</f>
        <v>0.65421260221428579</v>
      </c>
      <c r="AE129" s="1084"/>
      <c r="AF129" s="462" t="s">
        <v>1376</v>
      </c>
      <c r="AG129" s="1087"/>
      <c r="AH129" s="1343">
        <f t="shared" si="267"/>
        <v>6.7081731744659368E-2</v>
      </c>
      <c r="AI129" s="1344">
        <f t="shared" si="261"/>
        <v>0</v>
      </c>
      <c r="AJ129" s="1345">
        <f t="shared" si="262"/>
        <v>2.2360577248219798E-2</v>
      </c>
      <c r="AK129" s="1345">
        <f t="shared" si="263"/>
        <v>0</v>
      </c>
      <c r="AL129" s="1345">
        <f t="shared" si="264"/>
        <v>0.81905718497339153</v>
      </c>
      <c r="AM129" s="1346">
        <f t="shared" si="265"/>
        <v>0</v>
      </c>
      <c r="AN129" s="1347">
        <f t="shared" si="266"/>
        <v>9.1500506033729279E-2</v>
      </c>
      <c r="AO129" s="1084"/>
      <c r="AP129" s="2006" t="s">
        <v>876</v>
      </c>
      <c r="AQ129" s="2006"/>
      <c r="AR129" s="2006"/>
      <c r="AS129" s="2006"/>
      <c r="AT129" s="2006"/>
      <c r="AU129" s="2006"/>
      <c r="AV129" s="2006"/>
      <c r="AW129" s="2006"/>
      <c r="AX129" s="2006"/>
      <c r="AY129" s="2006"/>
      <c r="AZ129" s="2007"/>
      <c r="BA129" s="2007"/>
      <c r="BB129" s="1722"/>
      <c r="BC129" s="1722"/>
    </row>
    <row r="130" spans="1:55" ht="15" hidden="1" customHeight="1" outlineLevel="2" x14ac:dyDescent="0.2">
      <c r="A130" s="459" t="s">
        <v>1377</v>
      </c>
      <c r="B130" s="451">
        <v>10</v>
      </c>
      <c r="C130" s="155">
        <v>2.1339999999999999</v>
      </c>
      <c r="D130" s="68">
        <v>2.0756756756756756E-2</v>
      </c>
      <c r="E130" s="27">
        <v>0</v>
      </c>
      <c r="F130" s="1931">
        <v>6.9189189189189189E-3</v>
      </c>
      <c r="G130" s="2695">
        <v>0</v>
      </c>
      <c r="H130" s="29">
        <v>0.26867599992187502</v>
      </c>
      <c r="I130" s="28">
        <v>0</v>
      </c>
      <c r="J130" s="129">
        <v>20.010000000000002</v>
      </c>
      <c r="K130" s="28">
        <v>2.8312533046874994E-2</v>
      </c>
      <c r="L130" s="146">
        <v>3</v>
      </c>
      <c r="M130" s="571">
        <v>6</v>
      </c>
      <c r="N130" s="2293">
        <v>1</v>
      </c>
      <c r="O130" s="2507" t="s">
        <v>332</v>
      </c>
      <c r="P130" s="182">
        <f t="shared" si="246"/>
        <v>0.32466420864442569</v>
      </c>
      <c r="Q130" s="1084"/>
      <c r="R130" s="3205"/>
      <c r="S130" s="3205"/>
      <c r="T130" s="129">
        <f t="shared" si="249"/>
        <v>2.1339999999999999</v>
      </c>
      <c r="U130" s="68">
        <f t="shared" si="250"/>
        <v>4.3885714285714285E-2</v>
      </c>
      <c r="V130" s="27">
        <f t="shared" si="251"/>
        <v>0</v>
      </c>
      <c r="W130" s="363">
        <f t="shared" si="252"/>
        <v>1.4628571428571428E-2</v>
      </c>
      <c r="X130" s="363">
        <f t="shared" si="253"/>
        <v>0</v>
      </c>
      <c r="Y130" s="363">
        <f t="shared" si="254"/>
        <v>0.56805782840625008</v>
      </c>
      <c r="Z130" s="28">
        <f t="shared" si="255"/>
        <v>0</v>
      </c>
      <c r="AA130" s="129">
        <f t="shared" si="256"/>
        <v>20.010000000000002</v>
      </c>
      <c r="AB130" s="28">
        <f t="shared" si="257"/>
        <v>5.9860784156249992E-2</v>
      </c>
      <c r="AC130" s="364">
        <f t="shared" si="258"/>
        <v>3</v>
      </c>
      <c r="AD130" s="182">
        <f t="shared" si="269"/>
        <v>0.68643289827678577</v>
      </c>
      <c r="AE130" s="1084"/>
      <c r="AF130" s="462" t="s">
        <v>1377</v>
      </c>
      <c r="AG130" s="1087"/>
      <c r="AH130" s="1343">
        <f t="shared" si="267"/>
        <v>6.3932999708907534E-2</v>
      </c>
      <c r="AI130" s="1344">
        <f t="shared" si="261"/>
        <v>0</v>
      </c>
      <c r="AJ130" s="1345">
        <f t="shared" si="262"/>
        <v>2.1310999902969172E-2</v>
      </c>
      <c r="AK130" s="1345">
        <f t="shared" si="263"/>
        <v>0</v>
      </c>
      <c r="AL130" s="1345">
        <f t="shared" si="264"/>
        <v>0.82755041291333309</v>
      </c>
      <c r="AM130" s="1346">
        <f t="shared" si="265"/>
        <v>0</v>
      </c>
      <c r="AN130" s="1347">
        <f t="shared" si="266"/>
        <v>8.720558747479018E-2</v>
      </c>
      <c r="AO130" s="1084"/>
      <c r="AP130" s="2006" t="s">
        <v>876</v>
      </c>
      <c r="AQ130" s="2006"/>
      <c r="AR130" s="2006"/>
      <c r="AS130" s="2006"/>
      <c r="AT130" s="2006"/>
      <c r="AU130" s="2006"/>
      <c r="AV130" s="2006"/>
      <c r="AW130" s="2006"/>
      <c r="AX130" s="2006"/>
      <c r="AY130" s="2006"/>
      <c r="AZ130" s="2007"/>
      <c r="BA130" s="2007"/>
      <c r="BB130" s="1722"/>
      <c r="BC130" s="1722"/>
    </row>
    <row r="131" spans="1:55" ht="15" hidden="1" customHeight="1" outlineLevel="1" collapsed="1" x14ac:dyDescent="0.2">
      <c r="A131" s="457" t="s">
        <v>1882</v>
      </c>
      <c r="B131" s="450" t="str">
        <f t="shared" ref="B131:C131" si="270">B$6</f>
        <v>Trips</v>
      </c>
      <c r="C131" s="172" t="str">
        <f t="shared" si="270"/>
        <v>Mbpd</v>
      </c>
      <c r="D131" s="2556" t="s">
        <v>303</v>
      </c>
      <c r="E131" s="2556" t="s">
        <v>9</v>
      </c>
      <c r="F131" s="2556" t="s">
        <v>304</v>
      </c>
      <c r="G131" s="2709" t="s">
        <v>970</v>
      </c>
      <c r="H131" s="2556" t="s">
        <v>312</v>
      </c>
      <c r="I131" s="2556" t="s">
        <v>330</v>
      </c>
      <c r="J131" s="2556" t="s">
        <v>308</v>
      </c>
      <c r="K131" s="2556" t="s">
        <v>309</v>
      </c>
      <c r="L131" s="178" t="s">
        <v>299</v>
      </c>
      <c r="M131" s="572" t="str">
        <f>M$6</f>
        <v>DPM/c</v>
      </c>
      <c r="N131" s="2292" t="str">
        <f>N$6</f>
        <v>MT</v>
      </c>
      <c r="O131" s="2506" t="str">
        <f>O$6</f>
        <v xml:space="preserve">WF </v>
      </c>
      <c r="P131" s="181" t="s">
        <v>273</v>
      </c>
      <c r="Q131" s="1084"/>
      <c r="R131" s="181"/>
      <c r="S131" s="181"/>
      <c r="T131" s="1270" t="s">
        <v>308</v>
      </c>
      <c r="U131" s="2556" t="s">
        <v>303</v>
      </c>
      <c r="V131" s="2556" t="str">
        <f>V$6</f>
        <v xml:space="preserve">WTS </v>
      </c>
      <c r="W131" s="2556" t="str">
        <f>+W$6</f>
        <v>Web</v>
      </c>
      <c r="X131" s="2556" t="str">
        <f>+X$6</f>
        <v>Portal</v>
      </c>
      <c r="Y131" s="2556" t="s">
        <v>312</v>
      </c>
      <c r="Z131" s="2556" t="s">
        <v>330</v>
      </c>
      <c r="AA131" s="2556" t="s">
        <v>308</v>
      </c>
      <c r="AB131" s="2556" t="s">
        <v>309</v>
      </c>
      <c r="AC131" s="178" t="s">
        <v>299</v>
      </c>
      <c r="AD131" s="181" t="s">
        <v>273</v>
      </c>
      <c r="AE131" s="1084"/>
      <c r="AF131" s="404" t="s">
        <v>1282</v>
      </c>
      <c r="AG131" s="1087"/>
      <c r="AH131" s="1338" t="str">
        <f t="shared" ref="AH131:AM131" si="271">D131</f>
        <v>Client</v>
      </c>
      <c r="AI131" s="1339" t="str">
        <f t="shared" si="271"/>
        <v xml:space="preserve">WTS </v>
      </c>
      <c r="AJ131" s="1339" t="str">
        <f t="shared" si="271"/>
        <v>Web</v>
      </c>
      <c r="AK131" s="1339" t="str">
        <f t="shared" si="271"/>
        <v>Portal</v>
      </c>
      <c r="AL131" s="1340" t="str">
        <f t="shared" si="271"/>
        <v>SOC</v>
      </c>
      <c r="AM131" s="1341" t="str">
        <f t="shared" si="271"/>
        <v>SDE</v>
      </c>
      <c r="AN131" s="1342" t="str">
        <f>K131</f>
        <v>DBMS</v>
      </c>
      <c r="AO131" s="1084"/>
      <c r="AP131" s="2006"/>
      <c r="AQ131" s="2006"/>
      <c r="AR131" s="2006"/>
      <c r="AS131" s="2006"/>
      <c r="AT131" s="2006"/>
      <c r="AU131" s="2006"/>
      <c r="AV131" s="2006"/>
      <c r="AW131" s="2006"/>
      <c r="AX131" s="2006"/>
      <c r="AY131" s="2006"/>
      <c r="AZ131" s="2007"/>
      <c r="BA131" s="2007"/>
    </row>
    <row r="132" spans="1:55" ht="15" hidden="1" customHeight="1" outlineLevel="2" x14ac:dyDescent="0.2">
      <c r="A132" s="459" t="s">
        <v>1294</v>
      </c>
      <c r="B132" s="451">
        <v>10</v>
      </c>
      <c r="C132" s="155">
        <v>1.3340000000000001</v>
      </c>
      <c r="D132" s="68">
        <v>2.2489864864864858E-3</v>
      </c>
      <c r="E132" s="27">
        <v>0</v>
      </c>
      <c r="F132" s="30">
        <v>6.9189189189189189E-3</v>
      </c>
      <c r="G132" s="2696">
        <v>0</v>
      </c>
      <c r="H132" s="1175">
        <v>4.2473046874999983E-3</v>
      </c>
      <c r="I132" s="28">
        <v>0</v>
      </c>
      <c r="J132" s="129">
        <v>1.3340000000000001</v>
      </c>
      <c r="K132" s="28">
        <v>1.8875022031249996E-3</v>
      </c>
      <c r="L132" s="146">
        <v>3</v>
      </c>
      <c r="M132" s="571">
        <v>6</v>
      </c>
      <c r="N132" s="2293">
        <v>1</v>
      </c>
      <c r="O132" s="2507" t="s">
        <v>332</v>
      </c>
      <c r="P132" s="182">
        <f>SUM(D132:I132,K132)</f>
        <v>1.5302712296030401E-2</v>
      </c>
      <c r="Q132" s="1084"/>
      <c r="R132" s="3219">
        <f t="shared" ref="R132" si="272">F132+G132</f>
        <v>6.9189189189189189E-3</v>
      </c>
      <c r="S132" s="3219">
        <f t="shared" ref="S132" si="273">E132+H132+K132</f>
        <v>6.1348068906249978E-3</v>
      </c>
      <c r="T132" s="129">
        <f>C132</f>
        <v>1.3340000000000001</v>
      </c>
      <c r="U132" s="68">
        <f t="shared" ref="U132:Z133" si="274">D132*$K$3/$AB$3</f>
        <v>4.7549999999999979E-3</v>
      </c>
      <c r="V132" s="27">
        <f t="shared" si="274"/>
        <v>0</v>
      </c>
      <c r="W132" s="363">
        <f t="shared" si="274"/>
        <v>1.4628571428571428E-2</v>
      </c>
      <c r="X132" s="363">
        <f t="shared" si="274"/>
        <v>0</v>
      </c>
      <c r="Y132" s="363">
        <f t="shared" si="274"/>
        <v>8.9800156249999954E-3</v>
      </c>
      <c r="Z132" s="28">
        <f t="shared" si="274"/>
        <v>0</v>
      </c>
      <c r="AA132" s="129">
        <f>J132</f>
        <v>1.3340000000000001</v>
      </c>
      <c r="AB132" s="28">
        <f>K132*$K$3/$AB$3</f>
        <v>3.990718943749999E-3</v>
      </c>
      <c r="AC132" s="364">
        <f>L132</f>
        <v>3</v>
      </c>
      <c r="AD132" s="182">
        <f>SUM(U132:Z132,AB132)</f>
        <v>3.235430599732142E-2</v>
      </c>
      <c r="AE132" s="1084"/>
      <c r="AF132" s="1166" t="s">
        <v>1378</v>
      </c>
      <c r="AG132" s="1087"/>
      <c r="AH132" s="1343">
        <f t="shared" ref="AH132:AH133" si="275">1-SUM(AI132:AN132)</f>
        <v>0.14696652743513217</v>
      </c>
      <c r="AI132" s="1344">
        <f t="shared" ref="AI132:AM133" si="276">E132/$P132</f>
        <v>0</v>
      </c>
      <c r="AJ132" s="1345">
        <f t="shared" si="276"/>
        <v>0.45213677059809326</v>
      </c>
      <c r="AK132" s="1345">
        <f t="shared" si="276"/>
        <v>0</v>
      </c>
      <c r="AL132" s="1345">
        <f t="shared" si="276"/>
        <v>0.27755241066655678</v>
      </c>
      <c r="AM132" s="1346">
        <f t="shared" si="276"/>
        <v>0</v>
      </c>
      <c r="AN132" s="1347">
        <f>K132/$P132</f>
        <v>0.12334429130021786</v>
      </c>
      <c r="AO132" s="1084"/>
      <c r="AP132" s="2006"/>
      <c r="AQ132" s="2006"/>
      <c r="AR132" s="2006"/>
      <c r="AS132" s="2006"/>
      <c r="AT132" s="2006"/>
      <c r="AU132" s="2006"/>
      <c r="AV132" s="2006"/>
      <c r="AW132" s="2006"/>
      <c r="AX132" s="2006"/>
      <c r="AY132" s="2006"/>
      <c r="AZ132" s="2007"/>
      <c r="BA132" s="2007"/>
    </row>
    <row r="133" spans="1:55" ht="15" hidden="1" customHeight="1" outlineLevel="2" x14ac:dyDescent="0.2">
      <c r="A133" s="459" t="s">
        <v>1295</v>
      </c>
      <c r="B133" s="451">
        <v>10</v>
      </c>
      <c r="C133" s="155">
        <v>13.34</v>
      </c>
      <c r="D133" s="68">
        <v>2.2489864864864866E-2</v>
      </c>
      <c r="E133" s="27">
        <v>0</v>
      </c>
      <c r="F133" s="30">
        <v>6.9189189189189189E-3</v>
      </c>
      <c r="G133" s="2696">
        <v>0</v>
      </c>
      <c r="H133" s="1175">
        <v>4.2473046874999996E-2</v>
      </c>
      <c r="I133" s="28">
        <v>0</v>
      </c>
      <c r="J133" s="129">
        <v>13.34</v>
      </c>
      <c r="K133" s="28">
        <v>1.8875022031250001E-2</v>
      </c>
      <c r="L133" s="146">
        <v>3</v>
      </c>
      <c r="M133" s="571">
        <v>6</v>
      </c>
      <c r="N133" s="2293">
        <v>1</v>
      </c>
      <c r="O133" s="2507" t="s">
        <v>332</v>
      </c>
      <c r="P133" s="182">
        <f>SUM(D133:I133,K133)</f>
        <v>9.0756852690033779E-2</v>
      </c>
      <c r="Q133" s="1084"/>
      <c r="R133" s="3205"/>
      <c r="S133" s="3205"/>
      <c r="T133" s="129">
        <f>C133</f>
        <v>13.34</v>
      </c>
      <c r="U133" s="68">
        <f t="shared" si="274"/>
        <v>4.7550000000000002E-2</v>
      </c>
      <c r="V133" s="27">
        <f t="shared" si="274"/>
        <v>0</v>
      </c>
      <c r="W133" s="363">
        <f t="shared" si="274"/>
        <v>1.4628571428571428E-2</v>
      </c>
      <c r="X133" s="363">
        <f t="shared" si="274"/>
        <v>0</v>
      </c>
      <c r="Y133" s="363">
        <f t="shared" si="274"/>
        <v>8.9800156249999999E-2</v>
      </c>
      <c r="Z133" s="28">
        <f t="shared" si="274"/>
        <v>0</v>
      </c>
      <c r="AA133" s="129">
        <f>J133</f>
        <v>13.34</v>
      </c>
      <c r="AB133" s="28">
        <f>K133*$K$3/$AB$3</f>
        <v>3.9907189437500004E-2</v>
      </c>
      <c r="AC133" s="364">
        <f>L133</f>
        <v>3</v>
      </c>
      <c r="AD133" s="182">
        <f>SUM(U133:Z133,AB133)</f>
        <v>0.19188591711607145</v>
      </c>
      <c r="AE133" s="1084"/>
      <c r="AF133" s="1166" t="s">
        <v>1379</v>
      </c>
      <c r="AG133" s="1087"/>
      <c r="AH133" s="1343">
        <f t="shared" si="275"/>
        <v>0.24780349029594018</v>
      </c>
      <c r="AI133" s="1344">
        <f t="shared" si="276"/>
        <v>0</v>
      </c>
      <c r="AJ133" s="1345">
        <f t="shared" si="276"/>
        <v>7.6235774091345299E-2</v>
      </c>
      <c r="AK133" s="1345">
        <f t="shared" si="276"/>
        <v>0</v>
      </c>
      <c r="AL133" s="1345">
        <f t="shared" si="276"/>
        <v>0.46798721656931214</v>
      </c>
      <c r="AM133" s="1346">
        <f t="shared" si="276"/>
        <v>0</v>
      </c>
      <c r="AN133" s="1347">
        <f>K133/$P133</f>
        <v>0.20797351904340233</v>
      </c>
      <c r="AO133" s="1084"/>
      <c r="AP133" s="2006"/>
      <c r="AQ133" s="2006"/>
      <c r="AR133" s="2006"/>
      <c r="AS133" s="2006"/>
      <c r="AT133" s="2006"/>
      <c r="AU133" s="2006"/>
      <c r="AV133" s="2006"/>
      <c r="AW133" s="2006"/>
      <c r="AX133" s="2006"/>
      <c r="AY133" s="2006"/>
      <c r="AZ133" s="2007"/>
      <c r="BA133" s="2007"/>
    </row>
    <row r="134" spans="1:55" ht="15" hidden="1" customHeight="1" outlineLevel="1" collapsed="1" x14ac:dyDescent="0.2">
      <c r="A134" s="457" t="s">
        <v>1881</v>
      </c>
      <c r="B134" s="450" t="str">
        <f t="shared" ref="B134:C134" si="277">B$6</f>
        <v>Trips</v>
      </c>
      <c r="C134" s="172" t="str">
        <f t="shared" si="277"/>
        <v>Mbpd</v>
      </c>
      <c r="D134" s="2556" t="s">
        <v>303</v>
      </c>
      <c r="E134" s="2556" t="s">
        <v>9</v>
      </c>
      <c r="F134" s="2556" t="s">
        <v>304</v>
      </c>
      <c r="G134" s="2709" t="s">
        <v>970</v>
      </c>
      <c r="H134" s="2556" t="s">
        <v>312</v>
      </c>
      <c r="I134" s="2556" t="s">
        <v>330</v>
      </c>
      <c r="J134" s="2556" t="s">
        <v>308</v>
      </c>
      <c r="K134" s="2556" t="s">
        <v>309</v>
      </c>
      <c r="L134" s="178" t="s">
        <v>299</v>
      </c>
      <c r="M134" s="572" t="str">
        <f>M$6</f>
        <v>DPM/c</v>
      </c>
      <c r="N134" s="2292" t="str">
        <f>N$6</f>
        <v>MT</v>
      </c>
      <c r="O134" s="2506" t="str">
        <f>O$6</f>
        <v xml:space="preserve">WF </v>
      </c>
      <c r="P134" s="181" t="s">
        <v>273</v>
      </c>
      <c r="Q134" s="1084"/>
      <c r="R134" s="181"/>
      <c r="S134" s="181"/>
      <c r="T134" s="1270" t="s">
        <v>308</v>
      </c>
      <c r="U134" s="2556" t="s">
        <v>303</v>
      </c>
      <c r="V134" s="2556" t="str">
        <f>V$6</f>
        <v xml:space="preserve">WTS </v>
      </c>
      <c r="W134" s="2556" t="str">
        <f>+W$6</f>
        <v>Web</v>
      </c>
      <c r="X134" s="2556" t="str">
        <f>+X$6</f>
        <v>Portal</v>
      </c>
      <c r="Y134" s="2556" t="s">
        <v>312</v>
      </c>
      <c r="Z134" s="2556" t="s">
        <v>330</v>
      </c>
      <c r="AA134" s="2556" t="s">
        <v>308</v>
      </c>
      <c r="AB134" s="2556" t="s">
        <v>309</v>
      </c>
      <c r="AC134" s="178" t="s">
        <v>299</v>
      </c>
      <c r="AD134" s="181" t="s">
        <v>273</v>
      </c>
      <c r="AE134" s="1084"/>
      <c r="AF134" s="1168" t="s">
        <v>1283</v>
      </c>
      <c r="AG134" s="1087"/>
      <c r="AH134" s="1338" t="str">
        <f t="shared" ref="AH134:AM134" si="278">D134</f>
        <v>Client</v>
      </c>
      <c r="AI134" s="1339" t="str">
        <f t="shared" si="278"/>
        <v xml:space="preserve">WTS </v>
      </c>
      <c r="AJ134" s="1339" t="str">
        <f t="shared" si="278"/>
        <v>Web</v>
      </c>
      <c r="AK134" s="1339" t="str">
        <f t="shared" si="278"/>
        <v>Portal</v>
      </c>
      <c r="AL134" s="1340" t="str">
        <f t="shared" si="278"/>
        <v>SOC</v>
      </c>
      <c r="AM134" s="1341" t="str">
        <f t="shared" si="278"/>
        <v>SDE</v>
      </c>
      <c r="AN134" s="1342" t="str">
        <f>K134</f>
        <v>DBMS</v>
      </c>
      <c r="AO134" s="1084"/>
      <c r="AP134" s="2006"/>
      <c r="AQ134" s="2006"/>
      <c r="AR134" s="2006"/>
      <c r="AS134" s="2006"/>
      <c r="AT134" s="2006"/>
      <c r="AU134" s="2006"/>
      <c r="AV134" s="2006"/>
      <c r="AW134" s="2006"/>
      <c r="AX134" s="2006"/>
      <c r="AY134" s="2006"/>
      <c r="AZ134" s="2007"/>
      <c r="BA134" s="2007"/>
    </row>
    <row r="135" spans="1:55" ht="15" hidden="1" customHeight="1" outlineLevel="2" x14ac:dyDescent="0.2">
      <c r="A135" s="678" t="s">
        <v>1380</v>
      </c>
      <c r="B135" s="451">
        <v>10</v>
      </c>
      <c r="C135" s="155">
        <v>2.637</v>
      </c>
      <c r="D135" s="68">
        <v>2.0756756756756756E-2</v>
      </c>
      <c r="E135" s="27">
        <v>0</v>
      </c>
      <c r="F135" s="30">
        <v>6.9189189189189189E-3</v>
      </c>
      <c r="G135" s="2696">
        <v>0</v>
      </c>
      <c r="H135" s="1175">
        <v>4.3631249999999996E-2</v>
      </c>
      <c r="I135" s="1176">
        <v>5.4539062499999996E-3</v>
      </c>
      <c r="J135" s="129">
        <v>13.183999999999999</v>
      </c>
      <c r="K135" s="28">
        <v>5.4539062499999996E-3</v>
      </c>
      <c r="L135" s="146">
        <v>3</v>
      </c>
      <c r="M135" s="571">
        <v>6</v>
      </c>
      <c r="N135" s="2293">
        <v>1</v>
      </c>
      <c r="O135" s="2507" t="s">
        <v>541</v>
      </c>
      <c r="P135" s="182">
        <f>SUM(D135:I135,K135)</f>
        <v>8.2214738175675678E-2</v>
      </c>
      <c r="Q135" s="1233"/>
      <c r="R135" s="3219">
        <f t="shared" ref="R135" si="279">F135+G135</f>
        <v>6.9189189189189189E-3</v>
      </c>
      <c r="S135" s="3219">
        <f t="shared" ref="S135" si="280">E135+H135+K135</f>
        <v>4.9085156249999998E-2</v>
      </c>
      <c r="T135" s="129">
        <f>C135</f>
        <v>2.637</v>
      </c>
      <c r="U135" s="68">
        <f t="shared" ref="U135:Z137" si="281">D135*$K$3/$AB$3</f>
        <v>4.3885714285714285E-2</v>
      </c>
      <c r="V135" s="27">
        <f t="shared" si="281"/>
        <v>0</v>
      </c>
      <c r="W135" s="363">
        <f t="shared" si="281"/>
        <v>1.4628571428571428E-2</v>
      </c>
      <c r="X135" s="363">
        <f t="shared" si="281"/>
        <v>0</v>
      </c>
      <c r="Y135" s="363">
        <f t="shared" si="281"/>
        <v>9.2248928571428565E-2</v>
      </c>
      <c r="Z135" s="28">
        <f t="shared" si="281"/>
        <v>1.1531116071428571E-2</v>
      </c>
      <c r="AA135" s="129">
        <f>J135</f>
        <v>13.183999999999999</v>
      </c>
      <c r="AB135" s="28">
        <f>K135*$K$3/$AB$3</f>
        <v>1.1531116071428571E-2</v>
      </c>
      <c r="AC135" s="364">
        <f>L135</f>
        <v>3</v>
      </c>
      <c r="AD135" s="182">
        <f>SUM(U135:Z135,AB135)</f>
        <v>0.1738254464285714</v>
      </c>
      <c r="AE135" s="1084"/>
      <c r="AF135" s="1166" t="s">
        <v>1380</v>
      </c>
      <c r="AG135" s="1087"/>
      <c r="AH135" s="1343">
        <f t="shared" ref="AH135:AH137" si="282">1-SUM(AI135:AN135)</f>
        <v>0.25247002200997004</v>
      </c>
      <c r="AI135" s="1344">
        <f t="shared" ref="AI135:AM137" si="283">E135/$P135</f>
        <v>0</v>
      </c>
      <c r="AJ135" s="1345">
        <f t="shared" si="283"/>
        <v>8.4156674003323328E-2</v>
      </c>
      <c r="AK135" s="1345">
        <f t="shared" si="283"/>
        <v>0</v>
      </c>
      <c r="AL135" s="1345">
        <f t="shared" si="283"/>
        <v>0.53069864318936533</v>
      </c>
      <c r="AM135" s="1346">
        <f t="shared" si="283"/>
        <v>6.6337330398670666E-2</v>
      </c>
      <c r="AN135" s="1347">
        <f>K135/$P135</f>
        <v>6.6337330398670666E-2</v>
      </c>
      <c r="AO135" s="1084"/>
      <c r="AP135" s="2006" t="s">
        <v>877</v>
      </c>
      <c r="AQ135" s="2006"/>
      <c r="AR135" s="2006"/>
      <c r="AS135" s="2006"/>
      <c r="AT135" s="2006"/>
      <c r="AU135" s="2006"/>
      <c r="AV135" s="2006"/>
      <c r="AW135" s="2006"/>
      <c r="AX135" s="2006"/>
      <c r="AY135" s="2006"/>
      <c r="AZ135" s="2007"/>
      <c r="BA135" s="2007"/>
    </row>
    <row r="136" spans="1:55" ht="15" hidden="1" customHeight="1" outlineLevel="2" x14ac:dyDescent="0.2">
      <c r="A136" s="678" t="s">
        <v>1381</v>
      </c>
      <c r="B136" s="451">
        <v>10</v>
      </c>
      <c r="C136" s="155">
        <v>5.2729999999999997</v>
      </c>
      <c r="D136" s="68">
        <v>2.0756756756756756E-2</v>
      </c>
      <c r="E136" s="27">
        <v>0</v>
      </c>
      <c r="F136" s="30">
        <v>6.9189189189189189E-3</v>
      </c>
      <c r="G136" s="2696">
        <v>0</v>
      </c>
      <c r="H136" s="1175">
        <v>8.7262499999999993E-2</v>
      </c>
      <c r="I136" s="1176">
        <v>1.0907812499999999E-2</v>
      </c>
      <c r="J136" s="129">
        <v>26.367000000000001</v>
      </c>
      <c r="K136" s="28">
        <v>1.0907812499999999E-2</v>
      </c>
      <c r="L136" s="146">
        <v>3</v>
      </c>
      <c r="M136" s="571">
        <v>6</v>
      </c>
      <c r="N136" s="2293">
        <v>1</v>
      </c>
      <c r="O136" s="2507" t="s">
        <v>541</v>
      </c>
      <c r="P136" s="182">
        <f>SUM(D136:I136,K136)</f>
        <v>0.13675380067567566</v>
      </c>
      <c r="Q136" s="1233"/>
      <c r="R136" s="3204"/>
      <c r="S136" s="3204"/>
      <c r="T136" s="129">
        <f>C136</f>
        <v>5.2729999999999997</v>
      </c>
      <c r="U136" s="68">
        <f t="shared" si="281"/>
        <v>4.3885714285714285E-2</v>
      </c>
      <c r="V136" s="27">
        <f t="shared" si="281"/>
        <v>0</v>
      </c>
      <c r="W136" s="363">
        <f t="shared" si="281"/>
        <v>1.4628571428571428E-2</v>
      </c>
      <c r="X136" s="363">
        <f t="shared" si="281"/>
        <v>0</v>
      </c>
      <c r="Y136" s="363">
        <f t="shared" si="281"/>
        <v>0.18449785714285713</v>
      </c>
      <c r="Z136" s="28">
        <f t="shared" si="281"/>
        <v>2.3062232142857141E-2</v>
      </c>
      <c r="AA136" s="129">
        <f>J136</f>
        <v>26.367000000000001</v>
      </c>
      <c r="AB136" s="28">
        <f>K136*$K$3/$AB$3</f>
        <v>2.3062232142857141E-2</v>
      </c>
      <c r="AC136" s="364">
        <f>L136</f>
        <v>3</v>
      </c>
      <c r="AD136" s="182">
        <f>SUM(U136:Z136,AB136)</f>
        <v>0.2891366071428571</v>
      </c>
      <c r="AE136" s="1084"/>
      <c r="AF136" s="1166" t="s">
        <v>1381</v>
      </c>
      <c r="AG136" s="1087"/>
      <c r="AH136" s="1343">
        <f t="shared" si="282"/>
        <v>0.15178193698603915</v>
      </c>
      <c r="AI136" s="1344">
        <f t="shared" si="283"/>
        <v>0</v>
      </c>
      <c r="AJ136" s="1345">
        <f t="shared" si="283"/>
        <v>5.0593978995346373E-2</v>
      </c>
      <c r="AK136" s="1345">
        <f t="shared" si="283"/>
        <v>0</v>
      </c>
      <c r="AL136" s="1345">
        <f t="shared" si="283"/>
        <v>0.63809926721489163</v>
      </c>
      <c r="AM136" s="1346">
        <f t="shared" si="283"/>
        <v>7.9762408401861454E-2</v>
      </c>
      <c r="AN136" s="1347">
        <f>K136/$P136</f>
        <v>7.9762408401861454E-2</v>
      </c>
      <c r="AO136" s="1084"/>
      <c r="AP136" s="2006" t="s">
        <v>877</v>
      </c>
      <c r="AQ136" s="2006"/>
      <c r="AR136" s="2006"/>
      <c r="AS136" s="2006"/>
      <c r="AT136" s="2006"/>
      <c r="AU136" s="2006"/>
      <c r="AV136" s="2006"/>
      <c r="AW136" s="2006"/>
      <c r="AX136" s="2006"/>
      <c r="AY136" s="2006"/>
      <c r="AZ136" s="2007"/>
      <c r="BA136" s="2007"/>
    </row>
    <row r="137" spans="1:55" ht="15" hidden="1" customHeight="1" outlineLevel="2" x14ac:dyDescent="0.2">
      <c r="A137" s="678" t="s">
        <v>1382</v>
      </c>
      <c r="B137" s="451">
        <v>10</v>
      </c>
      <c r="C137" s="155">
        <v>7.91</v>
      </c>
      <c r="D137" s="68">
        <v>2.0756756756756756E-2</v>
      </c>
      <c r="E137" s="27">
        <v>0</v>
      </c>
      <c r="F137" s="30">
        <v>6.9189189189189189E-3</v>
      </c>
      <c r="G137" s="2696">
        <v>0</v>
      </c>
      <c r="H137" s="1175">
        <v>0.13089374999999998</v>
      </c>
      <c r="I137" s="1176">
        <v>1.6361718749999997E-2</v>
      </c>
      <c r="J137" s="129">
        <v>39.551000000000002</v>
      </c>
      <c r="K137" s="28">
        <v>1.6361718749999997E-2</v>
      </c>
      <c r="L137" s="146">
        <v>3</v>
      </c>
      <c r="M137" s="571">
        <v>6</v>
      </c>
      <c r="N137" s="2293">
        <v>1</v>
      </c>
      <c r="O137" s="2507" t="s">
        <v>541</v>
      </c>
      <c r="P137" s="182">
        <f>SUM(D137:I137,K137)</f>
        <v>0.19129286317567565</v>
      </c>
      <c r="Q137" s="1084"/>
      <c r="R137" s="3205"/>
      <c r="S137" s="3205"/>
      <c r="T137" s="129">
        <f>C137</f>
        <v>7.91</v>
      </c>
      <c r="U137" s="68">
        <f t="shared" si="281"/>
        <v>4.3885714285714285E-2</v>
      </c>
      <c r="V137" s="27">
        <f t="shared" si="281"/>
        <v>0</v>
      </c>
      <c r="W137" s="363">
        <f t="shared" si="281"/>
        <v>1.4628571428571428E-2</v>
      </c>
      <c r="X137" s="363">
        <f t="shared" si="281"/>
        <v>0</v>
      </c>
      <c r="Y137" s="363">
        <f t="shared" si="281"/>
        <v>0.27674678571428563</v>
      </c>
      <c r="Z137" s="28">
        <f t="shared" si="281"/>
        <v>3.4593348214285703E-2</v>
      </c>
      <c r="AA137" s="129">
        <f>J137</f>
        <v>39.551000000000002</v>
      </c>
      <c r="AB137" s="28">
        <f>K137*$K$3/$AB$3</f>
        <v>3.4593348214285703E-2</v>
      </c>
      <c r="AC137" s="364">
        <f>L137</f>
        <v>3</v>
      </c>
      <c r="AD137" s="182">
        <f>SUM(U137:Z137,AB137)</f>
        <v>0.40444776785714276</v>
      </c>
      <c r="AE137" s="1084"/>
      <c r="AF137" s="1166" t="s">
        <v>1382</v>
      </c>
      <c r="AG137" s="1087"/>
      <c r="AH137" s="1343">
        <f t="shared" si="282"/>
        <v>0.10850774258992912</v>
      </c>
      <c r="AI137" s="1344">
        <f t="shared" si="283"/>
        <v>0</v>
      </c>
      <c r="AJ137" s="1345">
        <f t="shared" si="283"/>
        <v>3.6169247529976398E-2</v>
      </c>
      <c r="AK137" s="1345">
        <f t="shared" si="283"/>
        <v>0</v>
      </c>
      <c r="AL137" s="1345">
        <f t="shared" si="283"/>
        <v>0.68425840790407555</v>
      </c>
      <c r="AM137" s="1346">
        <f t="shared" si="283"/>
        <v>8.5532300988009444E-2</v>
      </c>
      <c r="AN137" s="1347">
        <f>K137/$P137</f>
        <v>8.5532300988009444E-2</v>
      </c>
      <c r="AO137" s="1084"/>
      <c r="AP137" s="2006"/>
      <c r="AQ137" s="2006"/>
      <c r="AR137" s="2006"/>
      <c r="AS137" s="2006"/>
      <c r="AT137" s="2006"/>
      <c r="AU137" s="2006"/>
      <c r="AV137" s="2006"/>
      <c r="AW137" s="2006"/>
      <c r="AX137" s="2006"/>
      <c r="AY137" s="2006"/>
      <c r="AZ137" s="2007"/>
      <c r="BA137" s="2007"/>
    </row>
    <row r="138" spans="1:55" ht="15" hidden="1" customHeight="1" outlineLevel="1" collapsed="1" x14ac:dyDescent="0.2">
      <c r="A138" s="457" t="s">
        <v>1050</v>
      </c>
      <c r="B138" s="450" t="str">
        <f t="shared" ref="B138:K138" si="284">B$6</f>
        <v>Trips</v>
      </c>
      <c r="C138" s="172" t="str">
        <f t="shared" si="284"/>
        <v>Mbpd</v>
      </c>
      <c r="D138" s="2556" t="str">
        <f t="shared" si="284"/>
        <v>Client</v>
      </c>
      <c r="E138" s="2556" t="str">
        <f t="shared" si="284"/>
        <v>Citrix</v>
      </c>
      <c r="F138" s="2556" t="str">
        <f t="shared" si="284"/>
        <v>Web</v>
      </c>
      <c r="G138" s="2709" t="str">
        <f t="shared" si="284"/>
        <v>Portal</v>
      </c>
      <c r="H138" s="2556" t="str">
        <f t="shared" si="284"/>
        <v>SOC</v>
      </c>
      <c r="I138" s="2556" t="str">
        <f t="shared" si="284"/>
        <v>DS/MDS</v>
      </c>
      <c r="J138" s="2556" t="str">
        <f t="shared" si="284"/>
        <v>Mbpd</v>
      </c>
      <c r="K138" s="2556" t="str">
        <f t="shared" si="284"/>
        <v>DBMS</v>
      </c>
      <c r="L138" s="178" t="s">
        <v>299</v>
      </c>
      <c r="M138" s="572" t="str">
        <f>M$6</f>
        <v>DPM/c</v>
      </c>
      <c r="N138" s="2292" t="str">
        <f>N$6</f>
        <v>MT</v>
      </c>
      <c r="O138" s="2506" t="str">
        <f>O$8</f>
        <v xml:space="preserve">WF </v>
      </c>
      <c r="P138" s="181" t="s">
        <v>273</v>
      </c>
      <c r="Q138" s="1087"/>
      <c r="R138" s="181"/>
      <c r="S138" s="181"/>
      <c r="T138" s="1270" t="s">
        <v>308</v>
      </c>
      <c r="U138" s="2556" t="s">
        <v>303</v>
      </c>
      <c r="V138" s="2556" t="str">
        <f>V$6</f>
        <v xml:space="preserve">WTS </v>
      </c>
      <c r="W138" s="2556" t="str">
        <f>+W$6</f>
        <v>Web</v>
      </c>
      <c r="X138" s="2556" t="str">
        <f>+X$6</f>
        <v>Portal</v>
      </c>
      <c r="Y138" s="2556" t="s">
        <v>312</v>
      </c>
      <c r="Z138" s="2556" t="s">
        <v>330</v>
      </c>
      <c r="AA138" s="2556" t="s">
        <v>308</v>
      </c>
      <c r="AB138" s="2556" t="s">
        <v>309</v>
      </c>
      <c r="AC138" s="178" t="s">
        <v>299</v>
      </c>
      <c r="AD138" s="181" t="s">
        <v>273</v>
      </c>
      <c r="AE138" s="2583"/>
      <c r="AF138" s="404" t="str">
        <f>A138</f>
        <v>ArcGIS for Desktop 10.3 Workstation =========</v>
      </c>
      <c r="AG138" s="2526"/>
      <c r="AH138" s="1339" t="str">
        <f t="shared" ref="AH138:AM138" si="285">D138</f>
        <v>Client</v>
      </c>
      <c r="AI138" s="1339" t="str">
        <f t="shared" si="285"/>
        <v>Citrix</v>
      </c>
      <c r="AJ138" s="1339" t="str">
        <f t="shared" si="285"/>
        <v>Web</v>
      </c>
      <c r="AK138" s="1339" t="str">
        <f t="shared" si="285"/>
        <v>Portal</v>
      </c>
      <c r="AL138" s="1340" t="str">
        <f t="shared" si="285"/>
        <v>SOC</v>
      </c>
      <c r="AM138" s="1341" t="str">
        <f t="shared" si="285"/>
        <v>DS/MDS</v>
      </c>
      <c r="AN138" s="1342" t="str">
        <f>K138</f>
        <v>DBMS</v>
      </c>
      <c r="AO138" s="1084"/>
      <c r="AP138" s="2006"/>
      <c r="AQ138" s="2006"/>
      <c r="AR138" s="2006"/>
      <c r="AS138" s="2006"/>
      <c r="AT138" s="2006"/>
      <c r="AU138" s="2006"/>
      <c r="AV138" s="2006"/>
      <c r="AW138" s="2006"/>
      <c r="AX138" s="2006"/>
      <c r="AY138" s="2006"/>
      <c r="AZ138" s="2007"/>
      <c r="BA138" s="2007"/>
    </row>
    <row r="139" spans="1:55" ht="15.75" hidden="1" customHeight="1" outlineLevel="2" x14ac:dyDescent="0.2">
      <c r="A139" s="458" t="s">
        <v>1069</v>
      </c>
      <c r="B139" s="451">
        <v>100</v>
      </c>
      <c r="C139" s="155">
        <v>13.183999999999999</v>
      </c>
      <c r="D139" s="68">
        <v>0.16291259765624999</v>
      </c>
      <c r="E139" s="27"/>
      <c r="F139" s="29">
        <v>0</v>
      </c>
      <c r="G139" s="2695">
        <v>0</v>
      </c>
      <c r="H139" s="29">
        <v>0</v>
      </c>
      <c r="I139" s="28">
        <v>0</v>
      </c>
      <c r="J139" s="129">
        <v>13.183999999999999</v>
      </c>
      <c r="K139" s="28">
        <v>1.8099589599609372E-2</v>
      </c>
      <c r="L139" s="146">
        <v>3</v>
      </c>
      <c r="M139" s="571">
        <v>10</v>
      </c>
      <c r="N139" s="2293">
        <v>1</v>
      </c>
      <c r="O139" s="2507" t="s">
        <v>336</v>
      </c>
      <c r="P139" s="182">
        <f t="shared" ref="P139:P145" si="286">SUM(D139:I139,K139)</f>
        <v>0.18101218725585935</v>
      </c>
      <c r="Q139" s="2527"/>
      <c r="R139" s="3219">
        <f t="shared" ref="R139" si="287">F139+G139</f>
        <v>0</v>
      </c>
      <c r="S139" s="3219">
        <f t="shared" ref="S139" si="288">E139+H139+K139</f>
        <v>1.8099589599609372E-2</v>
      </c>
      <c r="T139" s="129">
        <f t="shared" ref="T139:T145" si="289">C139</f>
        <v>13.183999999999999</v>
      </c>
      <c r="U139" s="68">
        <f t="shared" ref="U139:U145" si="290">D139*$K$3/$AB$3</f>
        <v>0.34444377790178571</v>
      </c>
      <c r="V139" s="27"/>
      <c r="W139" s="363">
        <f t="shared" ref="W139:Z145" si="291">F139*$K$3/$AB$3</f>
        <v>0</v>
      </c>
      <c r="X139" s="363">
        <f t="shared" si="291"/>
        <v>0</v>
      </c>
      <c r="Y139" s="363">
        <f t="shared" si="291"/>
        <v>0</v>
      </c>
      <c r="Z139" s="28">
        <f t="shared" si="291"/>
        <v>0</v>
      </c>
      <c r="AA139" s="129">
        <f t="shared" ref="AA139:AA145" si="292">J139</f>
        <v>13.183999999999999</v>
      </c>
      <c r="AB139" s="28">
        <f t="shared" ref="AB139:AB145" si="293">K139*$K$3/$AB$3</f>
        <v>3.8267703724888386E-2</v>
      </c>
      <c r="AC139" s="364">
        <f t="shared" ref="AC139:AC145" si="294">L139</f>
        <v>3</v>
      </c>
      <c r="AD139" s="182">
        <f t="shared" ref="AD139:AD145" si="295">SUM(U139:Z139,AB139)</f>
        <v>0.38271148162667412</v>
      </c>
      <c r="AE139" s="1087"/>
      <c r="AF139" s="463" t="s">
        <v>1069</v>
      </c>
      <c r="AG139" s="2526"/>
      <c r="AH139" s="1343">
        <f>1-SUM(AI139:AN139)</f>
        <v>0.90000900009000095</v>
      </c>
      <c r="AI139" s="1344">
        <f t="shared" ref="AI139:AM145" si="296">E139/$P139</f>
        <v>0</v>
      </c>
      <c r="AJ139" s="1345">
        <f t="shared" si="296"/>
        <v>0</v>
      </c>
      <c r="AK139" s="1345">
        <f t="shared" si="296"/>
        <v>0</v>
      </c>
      <c r="AL139" s="1345">
        <f t="shared" si="296"/>
        <v>0</v>
      </c>
      <c r="AM139" s="1346">
        <f t="shared" si="296"/>
        <v>0</v>
      </c>
      <c r="AN139" s="1347">
        <f t="shared" ref="AN139:AN145" si="297">K139/$P139</f>
        <v>9.9990999909999101E-2</v>
      </c>
      <c r="AO139" s="1084"/>
      <c r="AP139" s="2006" t="s">
        <v>872</v>
      </c>
      <c r="AQ139" s="2006"/>
      <c r="AR139" s="2006"/>
      <c r="AS139" s="2006"/>
      <c r="AT139" s="2006"/>
      <c r="AU139" s="2006"/>
      <c r="AV139" s="2006"/>
      <c r="AW139" s="2006"/>
      <c r="AX139" s="2006"/>
      <c r="AY139" s="2006"/>
      <c r="AZ139" s="2007"/>
      <c r="BA139" s="2007"/>
    </row>
    <row r="140" spans="1:55" ht="15" hidden="1" customHeight="1" outlineLevel="2" x14ac:dyDescent="0.2">
      <c r="A140" s="458" t="s">
        <v>1070</v>
      </c>
      <c r="B140" s="451">
        <v>200</v>
      </c>
      <c r="C140" s="155">
        <v>26.367000000000001</v>
      </c>
      <c r="D140" s="68">
        <v>0.32582519531249998</v>
      </c>
      <c r="E140" s="27">
        <v>0</v>
      </c>
      <c r="F140" s="29">
        <v>0</v>
      </c>
      <c r="G140" s="2695">
        <v>0</v>
      </c>
      <c r="H140" s="29">
        <v>0</v>
      </c>
      <c r="I140" s="28">
        <v>0</v>
      </c>
      <c r="J140" s="129">
        <v>26.367000000000001</v>
      </c>
      <c r="K140" s="28">
        <v>3.6199179199218744E-2</v>
      </c>
      <c r="L140" s="146">
        <v>3</v>
      </c>
      <c r="M140" s="571">
        <v>10</v>
      </c>
      <c r="N140" s="2293">
        <v>1</v>
      </c>
      <c r="O140" s="2507" t="s">
        <v>336</v>
      </c>
      <c r="P140" s="182">
        <f t="shared" si="286"/>
        <v>0.36202437451171871</v>
      </c>
      <c r="Q140" s="1087"/>
      <c r="R140" s="3207"/>
      <c r="S140" s="3207"/>
      <c r="T140" s="129">
        <f t="shared" si="289"/>
        <v>26.367000000000001</v>
      </c>
      <c r="U140" s="68">
        <f t="shared" si="290"/>
        <v>0.68888755580357142</v>
      </c>
      <c r="V140" s="27">
        <f t="shared" ref="V140:V145" si="298">E140*$K$3/$AB$3</f>
        <v>0</v>
      </c>
      <c r="W140" s="363">
        <f t="shared" si="291"/>
        <v>0</v>
      </c>
      <c r="X140" s="363">
        <f t="shared" si="291"/>
        <v>0</v>
      </c>
      <c r="Y140" s="363">
        <f t="shared" si="291"/>
        <v>0</v>
      </c>
      <c r="Z140" s="28">
        <f t="shared" si="291"/>
        <v>0</v>
      </c>
      <c r="AA140" s="129">
        <f t="shared" si="292"/>
        <v>26.367000000000001</v>
      </c>
      <c r="AB140" s="28">
        <f t="shared" si="293"/>
        <v>7.6535407449776771E-2</v>
      </c>
      <c r="AC140" s="364">
        <f t="shared" si="294"/>
        <v>3</v>
      </c>
      <c r="AD140" s="182">
        <f t="shared" si="295"/>
        <v>0.76542296325334824</v>
      </c>
      <c r="AE140" s="1087"/>
      <c r="AF140" s="463" t="s">
        <v>1070</v>
      </c>
      <c r="AG140" s="2526"/>
      <c r="AH140" s="1343">
        <f t="shared" ref="AH140:AH145" si="299">1-SUM(AI140:AN140)</f>
        <v>0.90000900009000095</v>
      </c>
      <c r="AI140" s="1344">
        <f t="shared" si="296"/>
        <v>0</v>
      </c>
      <c r="AJ140" s="1345">
        <f t="shared" si="296"/>
        <v>0</v>
      </c>
      <c r="AK140" s="1345">
        <f t="shared" si="296"/>
        <v>0</v>
      </c>
      <c r="AL140" s="1345">
        <f t="shared" si="296"/>
        <v>0</v>
      </c>
      <c r="AM140" s="1346">
        <f t="shared" si="296"/>
        <v>0</v>
      </c>
      <c r="AN140" s="1347">
        <f t="shared" si="297"/>
        <v>9.9990999909999101E-2</v>
      </c>
      <c r="AO140" s="1084"/>
      <c r="AP140" s="2006"/>
      <c r="AQ140" s="2006"/>
      <c r="AR140" s="2006"/>
      <c r="AS140" s="2006"/>
      <c r="AT140" s="2006"/>
      <c r="AU140" s="2006"/>
      <c r="AV140" s="2006"/>
      <c r="AW140" s="2006"/>
      <c r="AX140" s="2006"/>
      <c r="AY140" s="2006"/>
      <c r="AZ140" s="2007"/>
      <c r="BA140" s="2007"/>
    </row>
    <row r="141" spans="1:55" ht="15" hidden="1" customHeight="1" outlineLevel="2" x14ac:dyDescent="0.2">
      <c r="A141" s="458" t="s">
        <v>1082</v>
      </c>
      <c r="B141" s="451">
        <v>50</v>
      </c>
      <c r="C141" s="155">
        <v>13.183999999999999</v>
      </c>
      <c r="D141" s="68">
        <v>0.16291259765624999</v>
      </c>
      <c r="E141" s="27">
        <v>0</v>
      </c>
      <c r="F141" s="29">
        <v>0</v>
      </c>
      <c r="G141" s="2695">
        <v>0</v>
      </c>
      <c r="H141" s="29">
        <v>0</v>
      </c>
      <c r="I141" s="28">
        <v>0</v>
      </c>
      <c r="J141" s="129">
        <v>13.183999999999999</v>
      </c>
      <c r="K141" s="28">
        <v>1.8099589599609372E-2</v>
      </c>
      <c r="L141" s="146">
        <v>3</v>
      </c>
      <c r="M141" s="571">
        <v>10</v>
      </c>
      <c r="N141" s="2293">
        <v>2</v>
      </c>
      <c r="O141" s="2507" t="s">
        <v>336</v>
      </c>
      <c r="P141" s="182">
        <f t="shared" si="286"/>
        <v>0.18101218725585935</v>
      </c>
      <c r="Q141" s="1087"/>
      <c r="R141" s="3207"/>
      <c r="S141" s="3207"/>
      <c r="T141" s="129">
        <f t="shared" si="289"/>
        <v>13.183999999999999</v>
      </c>
      <c r="U141" s="68">
        <f t="shared" si="290"/>
        <v>0.34444377790178571</v>
      </c>
      <c r="V141" s="27">
        <f t="shared" si="298"/>
        <v>0</v>
      </c>
      <c r="W141" s="363">
        <f t="shared" si="291"/>
        <v>0</v>
      </c>
      <c r="X141" s="363">
        <f t="shared" si="291"/>
        <v>0</v>
      </c>
      <c r="Y141" s="363">
        <f t="shared" si="291"/>
        <v>0</v>
      </c>
      <c r="Z141" s="28">
        <f t="shared" si="291"/>
        <v>0</v>
      </c>
      <c r="AA141" s="129">
        <f t="shared" si="292"/>
        <v>13.183999999999999</v>
      </c>
      <c r="AB141" s="28">
        <f t="shared" si="293"/>
        <v>3.8267703724888386E-2</v>
      </c>
      <c r="AC141" s="364">
        <f t="shared" si="294"/>
        <v>3</v>
      </c>
      <c r="AD141" s="182">
        <f t="shared" si="295"/>
        <v>0.38271148162667412</v>
      </c>
      <c r="AE141" s="1087"/>
      <c r="AF141" s="463" t="s">
        <v>1082</v>
      </c>
      <c r="AG141" s="2526"/>
      <c r="AH141" s="1343">
        <f t="shared" si="299"/>
        <v>0.90000900009000095</v>
      </c>
      <c r="AI141" s="1344">
        <f t="shared" si="296"/>
        <v>0</v>
      </c>
      <c r="AJ141" s="1345">
        <f t="shared" si="296"/>
        <v>0</v>
      </c>
      <c r="AK141" s="1345">
        <f t="shared" si="296"/>
        <v>0</v>
      </c>
      <c r="AL141" s="1345">
        <f t="shared" si="296"/>
        <v>0</v>
      </c>
      <c r="AM141" s="1346">
        <f t="shared" si="296"/>
        <v>0</v>
      </c>
      <c r="AN141" s="1347">
        <f t="shared" si="297"/>
        <v>9.9990999909999101E-2</v>
      </c>
      <c r="AO141" s="1084"/>
      <c r="AP141" s="2006"/>
      <c r="AQ141" s="2006"/>
      <c r="AR141" s="2006"/>
      <c r="AS141" s="2006"/>
      <c r="AT141" s="2006"/>
      <c r="AU141" s="2006"/>
      <c r="AV141" s="2006"/>
      <c r="AW141" s="2006"/>
      <c r="AX141" s="2006"/>
      <c r="AY141" s="2006"/>
      <c r="AZ141" s="2007"/>
      <c r="BA141" s="2007"/>
    </row>
    <row r="142" spans="1:55" ht="15" hidden="1" customHeight="1" outlineLevel="2" x14ac:dyDescent="0.2">
      <c r="A142" s="458" t="s">
        <v>1083</v>
      </c>
      <c r="B142" s="451">
        <v>100</v>
      </c>
      <c r="C142" s="155">
        <v>26.367000000000001</v>
      </c>
      <c r="D142" s="68">
        <v>0.32582519531249998</v>
      </c>
      <c r="E142" s="27">
        <v>0</v>
      </c>
      <c r="F142" s="29">
        <v>0</v>
      </c>
      <c r="G142" s="2695">
        <v>0</v>
      </c>
      <c r="H142" s="29">
        <v>0</v>
      </c>
      <c r="I142" s="28">
        <v>0</v>
      </c>
      <c r="J142" s="129">
        <v>26.367000000000001</v>
      </c>
      <c r="K142" s="28">
        <v>3.6199179199218744E-2</v>
      </c>
      <c r="L142" s="146">
        <v>3</v>
      </c>
      <c r="M142" s="571">
        <v>10</v>
      </c>
      <c r="N142" s="2293">
        <v>2</v>
      </c>
      <c r="O142" s="2507" t="s">
        <v>336</v>
      </c>
      <c r="P142" s="182">
        <f t="shared" si="286"/>
        <v>0.36202437451171871</v>
      </c>
      <c r="Q142" s="1087"/>
      <c r="R142" s="3207"/>
      <c r="S142" s="3207"/>
      <c r="T142" s="129">
        <f t="shared" si="289"/>
        <v>26.367000000000001</v>
      </c>
      <c r="U142" s="68">
        <f t="shared" si="290"/>
        <v>0.68888755580357142</v>
      </c>
      <c r="V142" s="27">
        <f t="shared" si="298"/>
        <v>0</v>
      </c>
      <c r="W142" s="363">
        <f t="shared" si="291"/>
        <v>0</v>
      </c>
      <c r="X142" s="363">
        <f t="shared" si="291"/>
        <v>0</v>
      </c>
      <c r="Y142" s="363">
        <f t="shared" si="291"/>
        <v>0</v>
      </c>
      <c r="Z142" s="28">
        <f t="shared" si="291"/>
        <v>0</v>
      </c>
      <c r="AA142" s="129">
        <f t="shared" si="292"/>
        <v>26.367000000000001</v>
      </c>
      <c r="AB142" s="28">
        <f t="shared" si="293"/>
        <v>7.6535407449776771E-2</v>
      </c>
      <c r="AC142" s="364">
        <f t="shared" si="294"/>
        <v>3</v>
      </c>
      <c r="AD142" s="182">
        <f t="shared" si="295"/>
        <v>0.76542296325334824</v>
      </c>
      <c r="AE142" s="1087"/>
      <c r="AF142" s="463" t="s">
        <v>1083</v>
      </c>
      <c r="AG142" s="2526"/>
      <c r="AH142" s="1343">
        <f t="shared" si="299"/>
        <v>0.90000900009000095</v>
      </c>
      <c r="AI142" s="1344">
        <f t="shared" si="296"/>
        <v>0</v>
      </c>
      <c r="AJ142" s="1345">
        <f t="shared" si="296"/>
        <v>0</v>
      </c>
      <c r="AK142" s="1345">
        <f t="shared" si="296"/>
        <v>0</v>
      </c>
      <c r="AL142" s="1345">
        <f t="shared" si="296"/>
        <v>0</v>
      </c>
      <c r="AM142" s="1346">
        <f t="shared" si="296"/>
        <v>0</v>
      </c>
      <c r="AN142" s="1347">
        <f t="shared" si="297"/>
        <v>9.9990999909999101E-2</v>
      </c>
      <c r="AO142" s="1084"/>
      <c r="AP142" s="2006"/>
      <c r="AQ142" s="2006"/>
      <c r="AR142" s="2006"/>
      <c r="AS142" s="2006"/>
      <c r="AT142" s="2006"/>
      <c r="AU142" s="2006"/>
      <c r="AV142" s="2006"/>
      <c r="AW142" s="2006"/>
      <c r="AX142" s="2006"/>
      <c r="AY142" s="2006"/>
      <c r="AZ142" s="2007"/>
      <c r="BA142" s="2007"/>
    </row>
    <row r="143" spans="1:55" ht="15" hidden="1" customHeight="1" outlineLevel="2" x14ac:dyDescent="0.2">
      <c r="A143" s="458" t="s">
        <v>1084</v>
      </c>
      <c r="B143" s="451">
        <v>10</v>
      </c>
      <c r="C143" s="155">
        <v>5.7729999999999997</v>
      </c>
      <c r="D143" s="68">
        <v>6.5165039062500027E-2</v>
      </c>
      <c r="E143" s="27">
        <v>0</v>
      </c>
      <c r="F143" s="29">
        <v>1.4108108108108105E-2</v>
      </c>
      <c r="G143" s="2695">
        <v>1.4891891891891892E-3</v>
      </c>
      <c r="H143" s="29">
        <v>1.1044921875000004E-2</v>
      </c>
      <c r="I143" s="28">
        <v>0</v>
      </c>
      <c r="J143" s="129">
        <v>5.2729999999999997</v>
      </c>
      <c r="K143" s="28">
        <v>7.2398358398437527E-3</v>
      </c>
      <c r="L143" s="146">
        <v>3</v>
      </c>
      <c r="M143" s="571">
        <v>6</v>
      </c>
      <c r="N143" s="2293">
        <v>2</v>
      </c>
      <c r="O143" s="2507" t="s">
        <v>336</v>
      </c>
      <c r="P143" s="182">
        <f t="shared" si="286"/>
        <v>9.9047094074641073E-2</v>
      </c>
      <c r="Q143" s="1087"/>
      <c r="R143" s="3207"/>
      <c r="S143" s="3207"/>
      <c r="T143" s="129">
        <f t="shared" si="289"/>
        <v>5.7729999999999997</v>
      </c>
      <c r="U143" s="68">
        <f t="shared" si="290"/>
        <v>0.13777751116071432</v>
      </c>
      <c r="V143" s="27">
        <f t="shared" si="298"/>
        <v>0</v>
      </c>
      <c r="W143" s="363">
        <f t="shared" si="291"/>
        <v>2.9828571428571423E-2</v>
      </c>
      <c r="X143" s="363">
        <f t="shared" si="291"/>
        <v>3.148571428571429E-3</v>
      </c>
      <c r="Y143" s="363">
        <f t="shared" si="291"/>
        <v>2.3352120535714293E-2</v>
      </c>
      <c r="Z143" s="28">
        <f t="shared" si="291"/>
        <v>0</v>
      </c>
      <c r="AA143" s="129">
        <f t="shared" si="292"/>
        <v>5.2729999999999997</v>
      </c>
      <c r="AB143" s="28">
        <f t="shared" si="293"/>
        <v>1.5307081489955363E-2</v>
      </c>
      <c r="AC143" s="364">
        <f t="shared" si="294"/>
        <v>3</v>
      </c>
      <c r="AD143" s="182">
        <f t="shared" si="295"/>
        <v>0.2094138560435268</v>
      </c>
      <c r="AE143" s="1087"/>
      <c r="AF143" s="463" t="s">
        <v>1084</v>
      </c>
      <c r="AG143" s="2526"/>
      <c r="AH143" s="1343">
        <f t="shared" si="299"/>
        <v>0.65791974687709853</v>
      </c>
      <c r="AI143" s="1344">
        <f t="shared" si="296"/>
        <v>0</v>
      </c>
      <c r="AJ143" s="1345">
        <f t="shared" si="296"/>
        <v>0.14243838489069</v>
      </c>
      <c r="AK143" s="1345">
        <f t="shared" si="296"/>
        <v>1.5035162849572835E-2</v>
      </c>
      <c r="AL143" s="1345">
        <f t="shared" si="296"/>
        <v>0.11151182150459298</v>
      </c>
      <c r="AM143" s="1346">
        <f t="shared" si="296"/>
        <v>0</v>
      </c>
      <c r="AN143" s="1347">
        <f t="shared" si="297"/>
        <v>7.3094883878045649E-2</v>
      </c>
      <c r="AO143" s="1084"/>
      <c r="AP143" s="2006"/>
      <c r="AQ143" s="2006"/>
      <c r="AR143" s="2006"/>
      <c r="AS143" s="2006"/>
      <c r="AT143" s="2006"/>
      <c r="AU143" s="2006"/>
      <c r="AV143" s="2006"/>
      <c r="AW143" s="2006"/>
      <c r="AX143" s="2006"/>
      <c r="AY143" s="2006"/>
      <c r="AZ143" s="2007"/>
      <c r="BA143" s="2007"/>
    </row>
    <row r="144" spans="1:55" ht="16" hidden="1" outlineLevel="2" x14ac:dyDescent="0.2">
      <c r="A144" s="458" t="s">
        <v>1143</v>
      </c>
      <c r="B144" s="451">
        <v>50</v>
      </c>
      <c r="C144" s="155">
        <v>13.183999999999999</v>
      </c>
      <c r="D144" s="68">
        <v>0.32582519531249998</v>
      </c>
      <c r="E144" s="27">
        <v>0</v>
      </c>
      <c r="F144" s="29">
        <v>0</v>
      </c>
      <c r="G144" s="2695">
        <v>0</v>
      </c>
      <c r="H144" s="29">
        <v>0</v>
      </c>
      <c r="I144" s="28">
        <v>0</v>
      </c>
      <c r="J144" s="129">
        <v>13.183999999999999</v>
      </c>
      <c r="K144" s="28">
        <v>1.8099589599609372E-2</v>
      </c>
      <c r="L144" s="146">
        <v>3</v>
      </c>
      <c r="M144" s="571">
        <v>10</v>
      </c>
      <c r="N144" s="2293">
        <v>2</v>
      </c>
      <c r="O144" s="2507" t="s">
        <v>336</v>
      </c>
      <c r="P144" s="182">
        <f t="shared" si="286"/>
        <v>0.34392478491210937</v>
      </c>
      <c r="Q144" s="1087"/>
      <c r="R144" s="3207"/>
      <c r="S144" s="3207"/>
      <c r="T144" s="129">
        <f t="shared" si="289"/>
        <v>13.183999999999999</v>
      </c>
      <c r="U144" s="68">
        <f t="shared" si="290"/>
        <v>0.68888755580357142</v>
      </c>
      <c r="V144" s="27">
        <f t="shared" si="298"/>
        <v>0</v>
      </c>
      <c r="W144" s="363">
        <f t="shared" si="291"/>
        <v>0</v>
      </c>
      <c r="X144" s="363">
        <f t="shared" si="291"/>
        <v>0</v>
      </c>
      <c r="Y144" s="363">
        <f t="shared" si="291"/>
        <v>0</v>
      </c>
      <c r="Z144" s="28">
        <f t="shared" si="291"/>
        <v>0</v>
      </c>
      <c r="AA144" s="129">
        <f t="shared" si="292"/>
        <v>13.183999999999999</v>
      </c>
      <c r="AB144" s="28">
        <f t="shared" si="293"/>
        <v>3.8267703724888386E-2</v>
      </c>
      <c r="AC144" s="364">
        <f t="shared" si="294"/>
        <v>3</v>
      </c>
      <c r="AD144" s="182">
        <f t="shared" si="295"/>
        <v>0.72715525952845983</v>
      </c>
      <c r="AE144" s="1087"/>
      <c r="AF144" s="463" t="s">
        <v>1143</v>
      </c>
      <c r="AG144" s="2526"/>
      <c r="AH144" s="1343">
        <f t="shared" si="299"/>
        <v>0.94737340722845909</v>
      </c>
      <c r="AI144" s="1344">
        <f t="shared" si="296"/>
        <v>0</v>
      </c>
      <c r="AJ144" s="1345">
        <f t="shared" si="296"/>
        <v>0</v>
      </c>
      <c r="AK144" s="1345">
        <f t="shared" si="296"/>
        <v>0</v>
      </c>
      <c r="AL144" s="1345">
        <f t="shared" si="296"/>
        <v>0</v>
      </c>
      <c r="AM144" s="1346">
        <f t="shared" si="296"/>
        <v>0</v>
      </c>
      <c r="AN144" s="1347">
        <f t="shared" si="297"/>
        <v>5.2626592771540893E-2</v>
      </c>
      <c r="AO144" s="1084"/>
      <c r="AP144" s="2006"/>
      <c r="AQ144" s="2006"/>
      <c r="AR144" s="2006"/>
      <c r="AS144" s="2006"/>
      <c r="AT144" s="2006"/>
      <c r="AU144" s="2006"/>
      <c r="AV144" s="2006"/>
      <c r="AW144" s="2006"/>
      <c r="AX144" s="2006"/>
      <c r="AY144" s="2006"/>
      <c r="AZ144" s="2007"/>
      <c r="BA144" s="2007"/>
    </row>
    <row r="145" spans="1:55" ht="16" hidden="1" outlineLevel="2" x14ac:dyDescent="0.2">
      <c r="A145" s="458" t="s">
        <v>1081</v>
      </c>
      <c r="B145" s="451">
        <v>100</v>
      </c>
      <c r="C145" s="155">
        <v>26.367000000000001</v>
      </c>
      <c r="D145" s="68">
        <v>0.65165039062499996</v>
      </c>
      <c r="E145" s="27">
        <v>0</v>
      </c>
      <c r="F145" s="29">
        <v>0</v>
      </c>
      <c r="G145" s="2695">
        <v>0</v>
      </c>
      <c r="H145" s="29">
        <v>0</v>
      </c>
      <c r="I145" s="28">
        <v>0</v>
      </c>
      <c r="J145" s="129">
        <v>26.367000000000001</v>
      </c>
      <c r="K145" s="28">
        <v>3.6199179199218744E-2</v>
      </c>
      <c r="L145" s="146">
        <v>3</v>
      </c>
      <c r="M145" s="571">
        <v>10</v>
      </c>
      <c r="N145" s="2293">
        <v>2</v>
      </c>
      <c r="O145" s="2507" t="s">
        <v>336</v>
      </c>
      <c r="P145" s="182">
        <f t="shared" si="286"/>
        <v>0.68784956982421874</v>
      </c>
      <c r="Q145" s="1087"/>
      <c r="R145" s="3207"/>
      <c r="S145" s="3207"/>
      <c r="T145" s="129">
        <f t="shared" si="289"/>
        <v>26.367000000000001</v>
      </c>
      <c r="U145" s="68">
        <f t="shared" si="290"/>
        <v>1.3777751116071428</v>
      </c>
      <c r="V145" s="27">
        <f t="shared" si="298"/>
        <v>0</v>
      </c>
      <c r="W145" s="363">
        <f t="shared" si="291"/>
        <v>0</v>
      </c>
      <c r="X145" s="363">
        <f t="shared" si="291"/>
        <v>0</v>
      </c>
      <c r="Y145" s="363">
        <f t="shared" si="291"/>
        <v>0</v>
      </c>
      <c r="Z145" s="28">
        <f t="shared" si="291"/>
        <v>0</v>
      </c>
      <c r="AA145" s="129">
        <f t="shared" si="292"/>
        <v>26.367000000000001</v>
      </c>
      <c r="AB145" s="28">
        <f t="shared" si="293"/>
        <v>7.6535407449776771E-2</v>
      </c>
      <c r="AC145" s="364">
        <f t="shared" si="294"/>
        <v>3</v>
      </c>
      <c r="AD145" s="182">
        <f t="shared" si="295"/>
        <v>1.4543105190569197</v>
      </c>
      <c r="AE145" s="1087"/>
      <c r="AF145" s="463" t="s">
        <v>1081</v>
      </c>
      <c r="AG145" s="2526"/>
      <c r="AH145" s="1343">
        <f t="shared" si="299"/>
        <v>0.94737340722845909</v>
      </c>
      <c r="AI145" s="1344">
        <f t="shared" si="296"/>
        <v>0</v>
      </c>
      <c r="AJ145" s="1345">
        <f t="shared" si="296"/>
        <v>0</v>
      </c>
      <c r="AK145" s="1345">
        <f t="shared" si="296"/>
        <v>0</v>
      </c>
      <c r="AL145" s="1345">
        <f t="shared" si="296"/>
        <v>0</v>
      </c>
      <c r="AM145" s="1346">
        <f t="shared" si="296"/>
        <v>0</v>
      </c>
      <c r="AN145" s="1347">
        <f t="shared" si="297"/>
        <v>5.2626592771540893E-2</v>
      </c>
      <c r="AO145" s="1084"/>
      <c r="AP145" s="2006"/>
      <c r="AQ145" s="2006"/>
      <c r="AR145" s="2006"/>
      <c r="AS145" s="2006"/>
      <c r="AT145" s="2006"/>
      <c r="AU145" s="2006"/>
      <c r="AV145" s="2006"/>
      <c r="AW145" s="2006"/>
      <c r="AX145" s="2006"/>
      <c r="AY145" s="2006"/>
      <c r="AZ145" s="2007"/>
      <c r="BA145" s="2007"/>
    </row>
    <row r="146" spans="1:55" ht="15" hidden="1" customHeight="1" outlineLevel="1" collapsed="1" x14ac:dyDescent="0.2">
      <c r="A146" s="457" t="s">
        <v>1052</v>
      </c>
      <c r="B146" s="450" t="str">
        <f t="shared" ref="B146:C146" si="300">B$6</f>
        <v>Trips</v>
      </c>
      <c r="C146" s="172" t="str">
        <f t="shared" si="300"/>
        <v>Mbpd</v>
      </c>
      <c r="D146" s="2556" t="s">
        <v>303</v>
      </c>
      <c r="E146" s="2556" t="s">
        <v>9</v>
      </c>
      <c r="F146" s="2556" t="s">
        <v>304</v>
      </c>
      <c r="G146" s="2709" t="s">
        <v>970</v>
      </c>
      <c r="H146" s="2556" t="s">
        <v>312</v>
      </c>
      <c r="I146" s="2556" t="s">
        <v>330</v>
      </c>
      <c r="J146" s="2556" t="s">
        <v>308</v>
      </c>
      <c r="K146" s="2556" t="s">
        <v>309</v>
      </c>
      <c r="L146" s="178" t="s">
        <v>299</v>
      </c>
      <c r="M146" s="572" t="str">
        <f>M$6</f>
        <v>DPM/c</v>
      </c>
      <c r="N146" s="2292" t="str">
        <f>N$6</f>
        <v>MT</v>
      </c>
      <c r="O146" s="2506" t="str">
        <f>O$8</f>
        <v xml:space="preserve">WF </v>
      </c>
      <c r="P146" s="181" t="s">
        <v>273</v>
      </c>
      <c r="Q146" s="1087"/>
      <c r="R146" s="181"/>
      <c r="S146" s="181"/>
      <c r="T146" s="1270" t="s">
        <v>308</v>
      </c>
      <c r="U146" s="2556" t="s">
        <v>303</v>
      </c>
      <c r="V146" s="2556" t="str">
        <f>V$6</f>
        <v xml:space="preserve">WTS </v>
      </c>
      <c r="W146" s="2556" t="str">
        <f>+W$6</f>
        <v>Web</v>
      </c>
      <c r="X146" s="2556" t="str">
        <f>+X$6</f>
        <v>Portal</v>
      </c>
      <c r="Y146" s="2556" t="s">
        <v>312</v>
      </c>
      <c r="Z146" s="2556" t="s">
        <v>330</v>
      </c>
      <c r="AA146" s="2556" t="s">
        <v>308</v>
      </c>
      <c r="AB146" s="2556" t="s">
        <v>309</v>
      </c>
      <c r="AC146" s="178" t="s">
        <v>299</v>
      </c>
      <c r="AD146" s="181" t="s">
        <v>273</v>
      </c>
      <c r="AE146" s="2583"/>
      <c r="AF146" s="404" t="str">
        <f>A146</f>
        <v>ArcGIS for Desktop 10.3 Citrix =========</v>
      </c>
      <c r="AG146" s="2526"/>
      <c r="AH146" s="1339" t="str">
        <f t="shared" ref="AH146:AM146" si="301">D146</f>
        <v>Client</v>
      </c>
      <c r="AI146" s="1339" t="str">
        <f t="shared" si="301"/>
        <v xml:space="preserve">WTS </v>
      </c>
      <c r="AJ146" s="1339" t="str">
        <f t="shared" si="301"/>
        <v>Web</v>
      </c>
      <c r="AK146" s="1339" t="str">
        <f t="shared" si="301"/>
        <v>Portal</v>
      </c>
      <c r="AL146" s="1340" t="str">
        <f t="shared" si="301"/>
        <v>SOC</v>
      </c>
      <c r="AM146" s="1341" t="str">
        <f t="shared" si="301"/>
        <v>SDE</v>
      </c>
      <c r="AN146" s="1342" t="str">
        <f>K146</f>
        <v>DBMS</v>
      </c>
      <c r="AO146" s="1084"/>
      <c r="AP146" s="2006"/>
      <c r="AQ146" s="2006"/>
      <c r="AR146" s="2006"/>
      <c r="AS146" s="2006"/>
      <c r="AT146" s="2006"/>
      <c r="AU146" s="2006"/>
      <c r="AV146" s="2006"/>
      <c r="AW146" s="2006"/>
      <c r="AX146" s="2006"/>
      <c r="AY146" s="2006"/>
      <c r="AZ146" s="2007"/>
      <c r="BA146" s="2007"/>
    </row>
    <row r="147" spans="1:55" ht="15.75" hidden="1" customHeight="1" outlineLevel="2" x14ac:dyDescent="0.2">
      <c r="A147" s="458" t="s">
        <v>1071</v>
      </c>
      <c r="B147" s="451">
        <v>10</v>
      </c>
      <c r="C147" s="155">
        <v>0.36899999999999999</v>
      </c>
      <c r="D147" s="68">
        <v>2.1162162162162164E-2</v>
      </c>
      <c r="E147" s="27">
        <v>0.16291259765624999</v>
      </c>
      <c r="F147" s="29">
        <v>0</v>
      </c>
      <c r="G147" s="2695">
        <v>0</v>
      </c>
      <c r="H147" s="29">
        <v>0</v>
      </c>
      <c r="I147" s="28">
        <v>0</v>
      </c>
      <c r="J147" s="129">
        <v>13.183999999999999</v>
      </c>
      <c r="K147" s="28">
        <v>1.8099589599609372E-2</v>
      </c>
      <c r="L147" s="146">
        <v>3</v>
      </c>
      <c r="M147" s="571">
        <v>10</v>
      </c>
      <c r="N147" s="2293">
        <v>1</v>
      </c>
      <c r="O147" s="2507" t="s">
        <v>336</v>
      </c>
      <c r="P147" s="182">
        <f t="shared" ref="P147:P158" si="302">SUM(D147:I147,K147)</f>
        <v>0.20217434941802151</v>
      </c>
      <c r="Q147" s="2527"/>
      <c r="R147" s="3219">
        <f t="shared" ref="R147" si="303">F147+G147</f>
        <v>0</v>
      </c>
      <c r="S147" s="3219">
        <f t="shared" ref="S147" si="304">E147+H147+K147</f>
        <v>0.18101218725585935</v>
      </c>
      <c r="T147" s="129">
        <f>C147</f>
        <v>0.36899999999999999</v>
      </c>
      <c r="U147" s="68">
        <f t="shared" ref="U147:Z148" si="305">D147*$K$3/$AB$3</f>
        <v>4.4742857142857147E-2</v>
      </c>
      <c r="V147" s="27">
        <f t="shared" si="305"/>
        <v>0.34444377790178571</v>
      </c>
      <c r="W147" s="363">
        <f t="shared" si="305"/>
        <v>0</v>
      </c>
      <c r="X147" s="363">
        <f t="shared" si="305"/>
        <v>0</v>
      </c>
      <c r="Y147" s="363">
        <f t="shared" si="305"/>
        <v>0</v>
      </c>
      <c r="Z147" s="28">
        <f t="shared" si="305"/>
        <v>0</v>
      </c>
      <c r="AA147" s="129">
        <f>J147</f>
        <v>13.183999999999999</v>
      </c>
      <c r="AB147" s="28">
        <f>K147*$K$3/$AB$3</f>
        <v>3.8267703724888386E-2</v>
      </c>
      <c r="AC147" s="364">
        <f>L147</f>
        <v>3</v>
      </c>
      <c r="AD147" s="182">
        <f>SUM(U147:Z147,AB147)</f>
        <v>0.42745433876953121</v>
      </c>
      <c r="AE147" s="1087"/>
      <c r="AF147" s="463" t="s">
        <v>1071</v>
      </c>
      <c r="AG147" s="2526"/>
      <c r="AH147" s="1343">
        <f t="shared" ref="AH147:AH153" si="306">1-SUM(AI147:AN147)</f>
        <v>0.10467283422985896</v>
      </c>
      <c r="AI147" s="1344">
        <f t="shared" ref="AI147:AI158" si="307">E147/$P147</f>
        <v>0.80580250721819913</v>
      </c>
      <c r="AJ147" s="1345">
        <f t="shared" ref="AJ147:AJ158" si="308">F147/$P147</f>
        <v>0</v>
      </c>
      <c r="AK147" s="1345">
        <f t="shared" ref="AK147:AK158" si="309">G147/$P147</f>
        <v>0</v>
      </c>
      <c r="AL147" s="1345">
        <f t="shared" ref="AL147:AL158" si="310">H147/$P147</f>
        <v>0</v>
      </c>
      <c r="AM147" s="1346">
        <f t="shared" ref="AM147:AM158" si="311">I147/$P147</f>
        <v>0</v>
      </c>
      <c r="AN147" s="1347">
        <f t="shared" ref="AN147:AN158" si="312">K147/$P147</f>
        <v>8.9524658551941916E-2</v>
      </c>
      <c r="AO147" s="1084"/>
      <c r="AP147" s="2006" t="s">
        <v>872</v>
      </c>
      <c r="AQ147" s="2006"/>
      <c r="AR147" s="2006"/>
      <c r="AS147" s="2006"/>
      <c r="AT147" s="2006"/>
      <c r="AU147" s="2006"/>
      <c r="AV147" s="2006"/>
      <c r="AW147" s="2006"/>
      <c r="AX147" s="2006"/>
      <c r="AY147" s="2006"/>
      <c r="AZ147" s="2007"/>
      <c r="BA147" s="2007"/>
    </row>
    <row r="148" spans="1:55" ht="15" hidden="1" customHeight="1" outlineLevel="2" x14ac:dyDescent="0.2">
      <c r="A148" s="458" t="s">
        <v>1072</v>
      </c>
      <c r="B148" s="451">
        <v>10</v>
      </c>
      <c r="C148" s="155">
        <v>0.73799999999999999</v>
      </c>
      <c r="D148" s="68">
        <v>2.1162162162162164E-2</v>
      </c>
      <c r="E148" s="27">
        <v>0.32582519531249998</v>
      </c>
      <c r="F148" s="29">
        <v>0</v>
      </c>
      <c r="G148" s="2695">
        <v>0</v>
      </c>
      <c r="H148" s="29">
        <v>0</v>
      </c>
      <c r="I148" s="28">
        <v>0</v>
      </c>
      <c r="J148" s="129">
        <v>26.367000000000001</v>
      </c>
      <c r="K148" s="28">
        <v>3.6199179199218744E-2</v>
      </c>
      <c r="L148" s="146">
        <v>3</v>
      </c>
      <c r="M148" s="571">
        <v>10</v>
      </c>
      <c r="N148" s="2293">
        <v>1</v>
      </c>
      <c r="O148" s="2507" t="s">
        <v>336</v>
      </c>
      <c r="P148" s="182">
        <f t="shared" si="302"/>
        <v>0.38318653667388086</v>
      </c>
      <c r="Q148" s="1087"/>
      <c r="R148" s="3207"/>
      <c r="S148" s="3207"/>
      <c r="T148" s="129">
        <f>C148</f>
        <v>0.73799999999999999</v>
      </c>
      <c r="U148" s="68">
        <f t="shared" si="305"/>
        <v>4.4742857142857147E-2</v>
      </c>
      <c r="V148" s="27">
        <f t="shared" si="305"/>
        <v>0.68888755580357142</v>
      </c>
      <c r="W148" s="363">
        <f t="shared" si="305"/>
        <v>0</v>
      </c>
      <c r="X148" s="363">
        <f t="shared" si="305"/>
        <v>0</v>
      </c>
      <c r="Y148" s="363">
        <f t="shared" si="305"/>
        <v>0</v>
      </c>
      <c r="Z148" s="28">
        <f t="shared" si="305"/>
        <v>0</v>
      </c>
      <c r="AA148" s="129">
        <f>J148</f>
        <v>26.367000000000001</v>
      </c>
      <c r="AB148" s="28">
        <f>K148*$K$3/$AB$3</f>
        <v>7.6535407449776771E-2</v>
      </c>
      <c r="AC148" s="364">
        <f>L148</f>
        <v>3</v>
      </c>
      <c r="AD148" s="182">
        <f>SUM(U148:Z148,AB148)</f>
        <v>0.81016582039620544</v>
      </c>
      <c r="AE148" s="1087"/>
      <c r="AF148" s="463" t="s">
        <v>1072</v>
      </c>
      <c r="AG148" s="2526"/>
      <c r="AH148" s="1343">
        <f t="shared" si="306"/>
        <v>5.5226789400935172E-2</v>
      </c>
      <c r="AI148" s="1344">
        <f t="shared" si="307"/>
        <v>0.85030439258308421</v>
      </c>
      <c r="AJ148" s="1345">
        <f t="shared" si="308"/>
        <v>0</v>
      </c>
      <c r="AK148" s="1345">
        <f t="shared" si="309"/>
        <v>0</v>
      </c>
      <c r="AL148" s="1345">
        <f t="shared" si="310"/>
        <v>0</v>
      </c>
      <c r="AM148" s="1346">
        <f t="shared" si="311"/>
        <v>0</v>
      </c>
      <c r="AN148" s="1347">
        <f t="shared" si="312"/>
        <v>9.4468818015980643E-2</v>
      </c>
      <c r="AO148" s="1084"/>
      <c r="AP148" s="2006"/>
      <c r="AQ148" s="2006"/>
      <c r="AR148" s="2006"/>
      <c r="AS148" s="2006"/>
      <c r="AT148" s="2006"/>
      <c r="AU148" s="2006"/>
      <c r="AV148" s="2006"/>
      <c r="AW148" s="2006"/>
      <c r="AX148" s="2006"/>
      <c r="AY148" s="2006"/>
      <c r="AZ148" s="2007"/>
      <c r="BA148" s="2007"/>
    </row>
    <row r="149" spans="1:55" ht="15.75" hidden="1" customHeight="1" outlineLevel="2" x14ac:dyDescent="0.2">
      <c r="A149" s="458" t="s">
        <v>1173</v>
      </c>
      <c r="B149" s="451">
        <v>10</v>
      </c>
      <c r="C149" s="155">
        <v>2.637</v>
      </c>
      <c r="D149" s="68">
        <v>2.9547169811320755E-2</v>
      </c>
      <c r="E149" s="27">
        <v>0.45492574439858491</v>
      </c>
      <c r="F149" s="29">
        <v>0</v>
      </c>
      <c r="G149" s="2695">
        <v>0</v>
      </c>
      <c r="H149" s="29">
        <v>0</v>
      </c>
      <c r="I149" s="28">
        <v>0</v>
      </c>
      <c r="J149" s="129">
        <v>26.367000000000001</v>
      </c>
      <c r="K149" s="28">
        <v>5.0542250202682777E-2</v>
      </c>
      <c r="L149" s="146">
        <v>3</v>
      </c>
      <c r="M149" s="571">
        <v>10</v>
      </c>
      <c r="N149" s="2293">
        <v>1</v>
      </c>
      <c r="O149" s="2507" t="s">
        <v>336</v>
      </c>
      <c r="P149" s="182">
        <f t="shared" si="302"/>
        <v>0.53501516441258845</v>
      </c>
      <c r="Q149" s="2527"/>
      <c r="R149" s="3213"/>
      <c r="S149" s="3213"/>
      <c r="T149" s="129">
        <v>5.2729999999999997</v>
      </c>
      <c r="U149" s="68">
        <v>2.9547169811320755E-2</v>
      </c>
      <c r="V149" s="27">
        <v>0.45492574439858491</v>
      </c>
      <c r="W149" s="363">
        <v>0</v>
      </c>
      <c r="X149" s="363">
        <v>0</v>
      </c>
      <c r="Y149" s="363">
        <v>0</v>
      </c>
      <c r="Z149" s="28">
        <v>0</v>
      </c>
      <c r="AA149" s="129">
        <v>26.367000000000001</v>
      </c>
      <c r="AB149" s="28">
        <v>5.0542250202682777E-2</v>
      </c>
      <c r="AC149" s="364">
        <v>3</v>
      </c>
      <c r="AD149" s="182">
        <v>0.53501516441258845</v>
      </c>
      <c r="AE149" s="1087"/>
      <c r="AF149" s="463" t="s">
        <v>1173</v>
      </c>
      <c r="AG149" s="2526"/>
      <c r="AH149" s="1343">
        <f t="shared" si="306"/>
        <v>5.5226789400935283E-2</v>
      </c>
      <c r="AI149" s="1344">
        <f t="shared" si="307"/>
        <v>0.8503043925830841</v>
      </c>
      <c r="AJ149" s="1345">
        <f t="shared" si="308"/>
        <v>0</v>
      </c>
      <c r="AK149" s="1345">
        <f t="shared" si="309"/>
        <v>0</v>
      </c>
      <c r="AL149" s="1345">
        <f t="shared" si="310"/>
        <v>0</v>
      </c>
      <c r="AM149" s="1346">
        <f t="shared" si="311"/>
        <v>0</v>
      </c>
      <c r="AN149" s="1347">
        <f t="shared" si="312"/>
        <v>9.446881801598063E-2</v>
      </c>
      <c r="AO149" s="1084"/>
      <c r="AP149" s="2006"/>
      <c r="AQ149" s="2006"/>
      <c r="AR149" s="2006"/>
      <c r="AS149" s="2006"/>
      <c r="AT149" s="2006"/>
      <c r="AU149" s="2006"/>
      <c r="AV149" s="2006"/>
      <c r="AW149" s="2006"/>
      <c r="AX149" s="2006"/>
      <c r="AY149" s="2006"/>
      <c r="AZ149" s="2007"/>
      <c r="BA149" s="2007"/>
    </row>
    <row r="150" spans="1:55" ht="15.75" hidden="1" customHeight="1" outlineLevel="2" x14ac:dyDescent="0.2">
      <c r="A150" s="458" t="s">
        <v>1073</v>
      </c>
      <c r="B150" s="451">
        <v>10</v>
      </c>
      <c r="C150" s="155">
        <v>5.2729999999999997</v>
      </c>
      <c r="D150" s="68">
        <v>2.9547169811320755E-2</v>
      </c>
      <c r="E150" s="27">
        <v>0.45492574439858491</v>
      </c>
      <c r="F150" s="29">
        <v>0</v>
      </c>
      <c r="G150" s="2695">
        <v>0</v>
      </c>
      <c r="H150" s="29">
        <v>0</v>
      </c>
      <c r="I150" s="28">
        <v>0</v>
      </c>
      <c r="J150" s="129">
        <v>26.367000000000001</v>
      </c>
      <c r="K150" s="28">
        <v>5.0542250202682777E-2</v>
      </c>
      <c r="L150" s="146">
        <v>3</v>
      </c>
      <c r="M150" s="571">
        <v>10</v>
      </c>
      <c r="N150" s="2293">
        <v>1</v>
      </c>
      <c r="O150" s="2507" t="s">
        <v>336</v>
      </c>
      <c r="P150" s="182">
        <f t="shared" si="302"/>
        <v>0.53501516441258845</v>
      </c>
      <c r="Q150" s="2527"/>
      <c r="R150" s="3213"/>
      <c r="S150" s="3213"/>
      <c r="T150" s="129">
        <v>5.2729999999999997</v>
      </c>
      <c r="U150" s="68">
        <v>2.9547169811320755E-2</v>
      </c>
      <c r="V150" s="27">
        <v>0.45492574439858491</v>
      </c>
      <c r="W150" s="363">
        <v>0</v>
      </c>
      <c r="X150" s="363">
        <v>0</v>
      </c>
      <c r="Y150" s="363">
        <v>0</v>
      </c>
      <c r="Z150" s="28">
        <v>0</v>
      </c>
      <c r="AA150" s="129">
        <v>26.367000000000001</v>
      </c>
      <c r="AB150" s="28">
        <v>5.0542250202682777E-2</v>
      </c>
      <c r="AC150" s="364">
        <v>3</v>
      </c>
      <c r="AD150" s="182">
        <v>0.53501516441258845</v>
      </c>
      <c r="AE150" s="1087"/>
      <c r="AF150" s="463" t="s">
        <v>1073</v>
      </c>
      <c r="AG150" s="2526"/>
      <c r="AH150" s="1343">
        <f t="shared" si="306"/>
        <v>5.5226789400935283E-2</v>
      </c>
      <c r="AI150" s="1344">
        <f t="shared" si="307"/>
        <v>0.8503043925830841</v>
      </c>
      <c r="AJ150" s="1345">
        <f t="shared" si="308"/>
        <v>0</v>
      </c>
      <c r="AK150" s="1345">
        <f t="shared" si="309"/>
        <v>0</v>
      </c>
      <c r="AL150" s="1345">
        <f t="shared" si="310"/>
        <v>0</v>
      </c>
      <c r="AM150" s="1346">
        <f t="shared" si="311"/>
        <v>0</v>
      </c>
      <c r="AN150" s="1347">
        <f t="shared" si="312"/>
        <v>9.446881801598063E-2</v>
      </c>
      <c r="AO150" s="1084"/>
      <c r="AP150" s="2006"/>
      <c r="AQ150" s="2006"/>
      <c r="AR150" s="2006"/>
      <c r="AS150" s="2006"/>
      <c r="AT150" s="2006"/>
      <c r="AU150" s="2006"/>
      <c r="AV150" s="2006"/>
      <c r="AW150" s="2006"/>
      <c r="AX150" s="2006"/>
      <c r="AY150" s="2006"/>
      <c r="AZ150" s="2007"/>
      <c r="BA150" s="2007"/>
    </row>
    <row r="151" spans="1:55" ht="15" hidden="1" customHeight="1" outlineLevel="2" x14ac:dyDescent="0.2">
      <c r="A151" s="458" t="s">
        <v>1085</v>
      </c>
      <c r="B151" s="451">
        <v>10</v>
      </c>
      <c r="C151" s="155">
        <v>0.36899999999999999</v>
      </c>
      <c r="D151" s="68">
        <v>2.1162162162162164E-2</v>
      </c>
      <c r="E151" s="27">
        <v>0.16291259765624999</v>
      </c>
      <c r="F151" s="29">
        <v>0</v>
      </c>
      <c r="G151" s="2695">
        <v>0</v>
      </c>
      <c r="H151" s="29">
        <v>0</v>
      </c>
      <c r="I151" s="28">
        <v>0</v>
      </c>
      <c r="J151" s="129">
        <v>13.183999999999999</v>
      </c>
      <c r="K151" s="28">
        <v>1.8099589599609372E-2</v>
      </c>
      <c r="L151" s="146">
        <v>3</v>
      </c>
      <c r="M151" s="571">
        <v>10</v>
      </c>
      <c r="N151" s="2293">
        <v>2</v>
      </c>
      <c r="O151" s="2507" t="s">
        <v>336</v>
      </c>
      <c r="P151" s="182">
        <f t="shared" si="302"/>
        <v>0.20217434941802151</v>
      </c>
      <c r="Q151" s="1087"/>
      <c r="R151" s="3207"/>
      <c r="S151" s="3207"/>
      <c r="T151" s="129">
        <f>C151</f>
        <v>0.36899999999999999</v>
      </c>
      <c r="U151" s="68">
        <f t="shared" ref="U151:Z154" si="313">D151*$K$3/$AB$3</f>
        <v>4.4742857142857147E-2</v>
      </c>
      <c r="V151" s="27">
        <f t="shared" si="313"/>
        <v>0.34444377790178571</v>
      </c>
      <c r="W151" s="363">
        <f t="shared" si="313"/>
        <v>0</v>
      </c>
      <c r="X151" s="363">
        <f t="shared" si="313"/>
        <v>0</v>
      </c>
      <c r="Y151" s="363">
        <f t="shared" si="313"/>
        <v>0</v>
      </c>
      <c r="Z151" s="28">
        <f t="shared" si="313"/>
        <v>0</v>
      </c>
      <c r="AA151" s="129">
        <f>J151</f>
        <v>13.183999999999999</v>
      </c>
      <c r="AB151" s="28">
        <f>K151*$K$3/$AB$3</f>
        <v>3.8267703724888386E-2</v>
      </c>
      <c r="AC151" s="364">
        <f>L151</f>
        <v>3</v>
      </c>
      <c r="AD151" s="182">
        <f>SUM(U151:Z151,AB151)</f>
        <v>0.42745433876953121</v>
      </c>
      <c r="AE151" s="1087"/>
      <c r="AF151" s="463" t="s">
        <v>1085</v>
      </c>
      <c r="AG151" s="2526"/>
      <c r="AH151" s="1343">
        <f t="shared" si="306"/>
        <v>0.10467283422985896</v>
      </c>
      <c r="AI151" s="1344">
        <f t="shared" si="307"/>
        <v>0.80580250721819913</v>
      </c>
      <c r="AJ151" s="1345">
        <f t="shared" si="308"/>
        <v>0</v>
      </c>
      <c r="AK151" s="1345">
        <f t="shared" si="309"/>
        <v>0</v>
      </c>
      <c r="AL151" s="1345">
        <f t="shared" si="310"/>
        <v>0</v>
      </c>
      <c r="AM151" s="1346">
        <f t="shared" si="311"/>
        <v>0</v>
      </c>
      <c r="AN151" s="1347">
        <f t="shared" si="312"/>
        <v>8.9524658551941916E-2</v>
      </c>
      <c r="AO151" s="1084"/>
      <c r="AP151" s="2006"/>
      <c r="AQ151" s="2006"/>
      <c r="AR151" s="2006"/>
      <c r="AS151" s="2006"/>
      <c r="AT151" s="2006"/>
      <c r="AU151" s="2006"/>
      <c r="AV151" s="2006"/>
      <c r="AW151" s="2006"/>
      <c r="AX151" s="2006"/>
      <c r="AY151" s="2006"/>
      <c r="AZ151" s="2007"/>
      <c r="BA151" s="2007"/>
    </row>
    <row r="152" spans="1:55" ht="15" hidden="1" customHeight="1" outlineLevel="2" x14ac:dyDescent="0.2">
      <c r="A152" s="458" t="s">
        <v>1086</v>
      </c>
      <c r="B152" s="451">
        <v>10</v>
      </c>
      <c r="C152" s="155">
        <v>0.73799999999999999</v>
      </c>
      <c r="D152" s="68">
        <v>2.1162162162162164E-2</v>
      </c>
      <c r="E152" s="27">
        <v>0.32582519531249998</v>
      </c>
      <c r="F152" s="29">
        <v>0</v>
      </c>
      <c r="G152" s="2695">
        <v>0</v>
      </c>
      <c r="H152" s="29">
        <v>0</v>
      </c>
      <c r="I152" s="28">
        <v>0</v>
      </c>
      <c r="J152" s="129">
        <v>26.367000000000001</v>
      </c>
      <c r="K152" s="28">
        <v>3.6199179199218744E-2</v>
      </c>
      <c r="L152" s="146">
        <v>3</v>
      </c>
      <c r="M152" s="571">
        <v>10</v>
      </c>
      <c r="N152" s="2293">
        <v>2</v>
      </c>
      <c r="O152" s="2507" t="s">
        <v>336</v>
      </c>
      <c r="P152" s="182">
        <f t="shared" si="302"/>
        <v>0.38318653667388086</v>
      </c>
      <c r="Q152" s="1087"/>
      <c r="R152" s="3207"/>
      <c r="S152" s="3207"/>
      <c r="T152" s="129">
        <f>C152</f>
        <v>0.73799999999999999</v>
      </c>
      <c r="U152" s="68">
        <f t="shared" si="313"/>
        <v>4.4742857142857147E-2</v>
      </c>
      <c r="V152" s="27">
        <f t="shared" si="313"/>
        <v>0.68888755580357142</v>
      </c>
      <c r="W152" s="363">
        <f t="shared" si="313"/>
        <v>0</v>
      </c>
      <c r="X152" s="363">
        <f t="shared" si="313"/>
        <v>0</v>
      </c>
      <c r="Y152" s="363">
        <f t="shared" si="313"/>
        <v>0</v>
      </c>
      <c r="Z152" s="28">
        <f t="shared" si="313"/>
        <v>0</v>
      </c>
      <c r="AA152" s="129">
        <f>J152</f>
        <v>26.367000000000001</v>
      </c>
      <c r="AB152" s="28">
        <f>K152*$K$3/$AB$3</f>
        <v>7.6535407449776771E-2</v>
      </c>
      <c r="AC152" s="364">
        <f>L152</f>
        <v>3</v>
      </c>
      <c r="AD152" s="182">
        <f>SUM(U152:Z152,AB152)</f>
        <v>0.81016582039620544</v>
      </c>
      <c r="AE152" s="1087"/>
      <c r="AF152" s="463" t="s">
        <v>1086</v>
      </c>
      <c r="AG152" s="2526"/>
      <c r="AH152" s="1343">
        <f t="shared" si="306"/>
        <v>5.5226789400935172E-2</v>
      </c>
      <c r="AI152" s="1344">
        <f t="shared" si="307"/>
        <v>0.85030439258308421</v>
      </c>
      <c r="AJ152" s="1345">
        <f t="shared" si="308"/>
        <v>0</v>
      </c>
      <c r="AK152" s="1345">
        <f t="shared" si="309"/>
        <v>0</v>
      </c>
      <c r="AL152" s="1345">
        <f t="shared" si="310"/>
        <v>0</v>
      </c>
      <c r="AM152" s="1346">
        <f t="shared" si="311"/>
        <v>0</v>
      </c>
      <c r="AN152" s="1347">
        <f t="shared" si="312"/>
        <v>9.4468818015980643E-2</v>
      </c>
      <c r="AO152" s="1084"/>
      <c r="AP152" s="2006"/>
      <c r="AQ152" s="2006"/>
      <c r="AR152" s="2006"/>
      <c r="AS152" s="2006"/>
      <c r="AT152" s="2006"/>
      <c r="AU152" s="2006"/>
      <c r="AV152" s="2006"/>
      <c r="AW152" s="2006"/>
      <c r="AX152" s="2006"/>
      <c r="AY152" s="2006"/>
      <c r="AZ152" s="2007"/>
      <c r="BA152" s="2007"/>
    </row>
    <row r="153" spans="1:55" ht="16" hidden="1" outlineLevel="2" x14ac:dyDescent="0.2">
      <c r="A153" s="458" t="s">
        <v>1174</v>
      </c>
      <c r="B153" s="451">
        <v>10</v>
      </c>
      <c r="C153" s="155">
        <v>2.637</v>
      </c>
      <c r="D153" s="68">
        <v>2.1162162162162164E-2</v>
      </c>
      <c r="E153" s="27">
        <v>0.16291259765624999</v>
      </c>
      <c r="F153" s="29">
        <v>0</v>
      </c>
      <c r="G153" s="2695">
        <v>0</v>
      </c>
      <c r="H153" s="29">
        <v>0</v>
      </c>
      <c r="I153" s="28">
        <v>0</v>
      </c>
      <c r="J153" s="129">
        <v>13.183999999999999</v>
      </c>
      <c r="K153" s="28">
        <v>1.8099589599609372E-2</v>
      </c>
      <c r="L153" s="146">
        <v>3</v>
      </c>
      <c r="M153" s="571">
        <v>10</v>
      </c>
      <c r="N153" s="2293">
        <v>2</v>
      </c>
      <c r="O153" s="2507" t="s">
        <v>336</v>
      </c>
      <c r="P153" s="182">
        <f t="shared" si="302"/>
        <v>0.20217434941802151</v>
      </c>
      <c r="Q153" s="1087"/>
      <c r="R153" s="3207"/>
      <c r="S153" s="3207"/>
      <c r="T153" s="129">
        <f>C153</f>
        <v>2.637</v>
      </c>
      <c r="U153" s="68">
        <f t="shared" si="313"/>
        <v>4.4742857142857147E-2</v>
      </c>
      <c r="V153" s="27">
        <f t="shared" si="313"/>
        <v>0.34444377790178571</v>
      </c>
      <c r="W153" s="363">
        <f t="shared" si="313"/>
        <v>0</v>
      </c>
      <c r="X153" s="363">
        <f t="shared" si="313"/>
        <v>0</v>
      </c>
      <c r="Y153" s="363">
        <f t="shared" si="313"/>
        <v>0</v>
      </c>
      <c r="Z153" s="28">
        <f t="shared" si="313"/>
        <v>0</v>
      </c>
      <c r="AA153" s="129">
        <f>J153</f>
        <v>13.183999999999999</v>
      </c>
      <c r="AB153" s="28">
        <f>K153*$K$3/$AB$3</f>
        <v>3.8267703724888386E-2</v>
      </c>
      <c r="AC153" s="364">
        <f>L153</f>
        <v>3</v>
      </c>
      <c r="AD153" s="182">
        <f>SUM(U153:Z153,AB153)</f>
        <v>0.42745433876953121</v>
      </c>
      <c r="AE153" s="1087"/>
      <c r="AF153" s="463" t="s">
        <v>1174</v>
      </c>
      <c r="AG153" s="2526"/>
      <c r="AH153" s="1343">
        <f t="shared" si="306"/>
        <v>0.10467283422985896</v>
      </c>
      <c r="AI153" s="1344">
        <f t="shared" si="307"/>
        <v>0.80580250721819913</v>
      </c>
      <c r="AJ153" s="1345">
        <f t="shared" si="308"/>
        <v>0</v>
      </c>
      <c r="AK153" s="1345">
        <f t="shared" si="309"/>
        <v>0</v>
      </c>
      <c r="AL153" s="1345">
        <f t="shared" si="310"/>
        <v>0</v>
      </c>
      <c r="AM153" s="1346">
        <f t="shared" si="311"/>
        <v>0</v>
      </c>
      <c r="AN153" s="1347">
        <f t="shared" si="312"/>
        <v>8.9524658551941916E-2</v>
      </c>
      <c r="AO153" s="1084"/>
      <c r="AP153" s="2006"/>
      <c r="AQ153" s="2006"/>
      <c r="AR153" s="2006"/>
      <c r="AS153" s="2006"/>
      <c r="AT153" s="2006"/>
      <c r="AU153" s="2006"/>
      <c r="AV153" s="2006"/>
      <c r="AW153" s="2006"/>
      <c r="AX153" s="2006"/>
      <c r="AY153" s="2006"/>
      <c r="AZ153" s="2007"/>
      <c r="BA153" s="2007"/>
    </row>
    <row r="154" spans="1:55" ht="15" hidden="1" customHeight="1" outlineLevel="2" x14ac:dyDescent="0.2">
      <c r="A154" s="458" t="s">
        <v>1087</v>
      </c>
      <c r="B154" s="451">
        <v>10</v>
      </c>
      <c r="C154" s="155">
        <v>5.2729999999999997</v>
      </c>
      <c r="D154" s="68">
        <v>2.1162162162162164E-2</v>
      </c>
      <c r="E154" s="27">
        <v>0.32582519531249998</v>
      </c>
      <c r="F154" s="29">
        <v>0</v>
      </c>
      <c r="G154" s="2695">
        <v>0</v>
      </c>
      <c r="H154" s="29">
        <v>0</v>
      </c>
      <c r="I154" s="28">
        <v>0</v>
      </c>
      <c r="J154" s="129">
        <v>26.367000000000001</v>
      </c>
      <c r="K154" s="28">
        <v>3.6199179199218744E-2</v>
      </c>
      <c r="L154" s="146">
        <v>3</v>
      </c>
      <c r="M154" s="571">
        <v>10</v>
      </c>
      <c r="N154" s="2293">
        <v>2</v>
      </c>
      <c r="O154" s="2507" t="s">
        <v>336</v>
      </c>
      <c r="P154" s="182">
        <f t="shared" si="302"/>
        <v>0.38318653667388086</v>
      </c>
      <c r="Q154" s="1087"/>
      <c r="R154" s="3207"/>
      <c r="S154" s="3207"/>
      <c r="T154" s="129">
        <f>C154</f>
        <v>5.2729999999999997</v>
      </c>
      <c r="U154" s="68">
        <f t="shared" si="313"/>
        <v>4.4742857142857147E-2</v>
      </c>
      <c r="V154" s="27">
        <f t="shared" si="313"/>
        <v>0.68888755580357142</v>
      </c>
      <c r="W154" s="363">
        <f t="shared" si="313"/>
        <v>0</v>
      </c>
      <c r="X154" s="363">
        <f t="shared" si="313"/>
        <v>0</v>
      </c>
      <c r="Y154" s="363">
        <f t="shared" si="313"/>
        <v>0</v>
      </c>
      <c r="Z154" s="28">
        <f t="shared" si="313"/>
        <v>0</v>
      </c>
      <c r="AA154" s="129">
        <f>J154</f>
        <v>26.367000000000001</v>
      </c>
      <c r="AB154" s="28">
        <f>K154*$K$3/$AB$3</f>
        <v>7.6535407449776771E-2</v>
      </c>
      <c r="AC154" s="364">
        <f>L154</f>
        <v>3</v>
      </c>
      <c r="AD154" s="182">
        <f>SUM(U154:Z154,AB154)</f>
        <v>0.81016582039620544</v>
      </c>
      <c r="AE154" s="1087"/>
      <c r="AF154" s="463" t="s">
        <v>1087</v>
      </c>
      <c r="AG154" s="2526"/>
      <c r="AH154" s="1343">
        <f>1-SUM(AI154:AN154)</f>
        <v>5.5226789400935172E-2</v>
      </c>
      <c r="AI154" s="1344">
        <f t="shared" si="307"/>
        <v>0.85030439258308421</v>
      </c>
      <c r="AJ154" s="1345">
        <f t="shared" si="308"/>
        <v>0</v>
      </c>
      <c r="AK154" s="1345">
        <f t="shared" si="309"/>
        <v>0</v>
      </c>
      <c r="AL154" s="1345">
        <f t="shared" si="310"/>
        <v>0</v>
      </c>
      <c r="AM154" s="1346">
        <f t="shared" si="311"/>
        <v>0</v>
      </c>
      <c r="AN154" s="1347">
        <f t="shared" si="312"/>
        <v>9.4468818015980643E-2</v>
      </c>
      <c r="AO154" s="1084"/>
      <c r="AP154" s="2006"/>
      <c r="AQ154" s="2006"/>
      <c r="AR154" s="2006"/>
      <c r="AS154" s="2006"/>
      <c r="AT154" s="2006"/>
      <c r="AU154" s="2006"/>
      <c r="AV154" s="2006"/>
      <c r="AW154" s="2006"/>
      <c r="AX154" s="2006"/>
      <c r="AY154" s="2006"/>
      <c r="AZ154" s="2007"/>
      <c r="BA154" s="2007"/>
    </row>
    <row r="155" spans="1:55" ht="15" hidden="1" customHeight="1" outlineLevel="2" x14ac:dyDescent="0.2">
      <c r="A155" s="458" t="s">
        <v>1138</v>
      </c>
      <c r="B155" s="451">
        <v>10</v>
      </c>
      <c r="C155" s="155">
        <v>0.443</v>
      </c>
      <c r="D155" s="68">
        <v>2.9547169811320755E-2</v>
      </c>
      <c r="E155" s="27">
        <v>0.45492574439858491</v>
      </c>
      <c r="F155" s="29">
        <v>1.9698113207547167E-2</v>
      </c>
      <c r="G155" s="2695">
        <v>2.0792452830188679E-3</v>
      </c>
      <c r="H155" s="29">
        <v>7.710605837264152E-2</v>
      </c>
      <c r="I155" s="28">
        <v>0</v>
      </c>
      <c r="J155" s="129">
        <v>26.367000000000001</v>
      </c>
      <c r="K155" s="28">
        <v>5.0542250202682777E-2</v>
      </c>
      <c r="L155" s="146">
        <v>3</v>
      </c>
      <c r="M155" s="571">
        <v>6</v>
      </c>
      <c r="N155" s="2293">
        <v>2</v>
      </c>
      <c r="O155" s="2507" t="s">
        <v>336</v>
      </c>
      <c r="P155" s="182">
        <f t="shared" si="302"/>
        <v>0.63389858127579601</v>
      </c>
      <c r="Q155" s="1087"/>
      <c r="R155" s="3207"/>
      <c r="S155" s="3207"/>
      <c r="T155" s="129">
        <v>0.73799999999999999</v>
      </c>
      <c r="U155" s="68">
        <v>2.9547169811320755E-2</v>
      </c>
      <c r="V155" s="27">
        <v>0.45492574439858491</v>
      </c>
      <c r="W155" s="363">
        <v>1.9698113207547167E-2</v>
      </c>
      <c r="X155" s="363">
        <v>2.0792452830188679E-3</v>
      </c>
      <c r="Y155" s="363">
        <v>7.710605837264152E-2</v>
      </c>
      <c r="Z155" s="28">
        <v>0</v>
      </c>
      <c r="AA155" s="129">
        <v>26.367000000000001</v>
      </c>
      <c r="AB155" s="28">
        <v>5.0542250202682777E-2</v>
      </c>
      <c r="AC155" s="364">
        <v>3</v>
      </c>
      <c r="AD155" s="182">
        <v>0.63389858127579601</v>
      </c>
      <c r="AE155" s="1087"/>
      <c r="AF155" s="463" t="s">
        <v>1138</v>
      </c>
      <c r="AG155" s="2526"/>
      <c r="AH155" s="1343">
        <f>1-SUM(AI155:AN155)</f>
        <v>4.6611825115389305E-2</v>
      </c>
      <c r="AI155" s="1344">
        <f t="shared" si="307"/>
        <v>0.71766329478604118</v>
      </c>
      <c r="AJ155" s="1345">
        <f t="shared" si="308"/>
        <v>3.1074550076926152E-2</v>
      </c>
      <c r="AK155" s="1345">
        <f t="shared" si="309"/>
        <v>3.2800913970088721E-3</v>
      </c>
      <c r="AL155" s="1345">
        <f t="shared" si="310"/>
        <v>0.12163784657390531</v>
      </c>
      <c r="AM155" s="1346">
        <f t="shared" si="311"/>
        <v>0</v>
      </c>
      <c r="AN155" s="1347">
        <f t="shared" si="312"/>
        <v>7.973239205072917E-2</v>
      </c>
      <c r="AO155" s="1084"/>
      <c r="AP155" s="2006"/>
      <c r="AQ155" s="2006"/>
      <c r="AR155" s="2006"/>
      <c r="AS155" s="2006"/>
      <c r="AT155" s="2006"/>
      <c r="AU155" s="2006"/>
      <c r="AV155" s="2006"/>
      <c r="AW155" s="2006"/>
      <c r="AX155" s="2006"/>
      <c r="AY155" s="2006"/>
      <c r="AZ155" s="2007"/>
      <c r="BA155" s="2007"/>
    </row>
    <row r="156" spans="1:55" ht="15" hidden="1" customHeight="1" outlineLevel="2" x14ac:dyDescent="0.2">
      <c r="A156" s="458" t="s">
        <v>1139</v>
      </c>
      <c r="B156" s="451">
        <v>10</v>
      </c>
      <c r="C156" s="155">
        <v>3.6640000000000001</v>
      </c>
      <c r="D156" s="68">
        <v>2.1162162162162164E-2</v>
      </c>
      <c r="E156" s="27">
        <v>6.5165039062500027E-2</v>
      </c>
      <c r="F156" s="29">
        <v>1.4108108108108105E-2</v>
      </c>
      <c r="G156" s="2695">
        <v>1.4891891891891892E-3</v>
      </c>
      <c r="H156" s="29">
        <v>1.1044921875000004E-2</v>
      </c>
      <c r="I156" s="28">
        <v>0</v>
      </c>
      <c r="J156" s="129">
        <v>5.2729999999999997</v>
      </c>
      <c r="K156" s="28">
        <v>7.2398358398437527E-3</v>
      </c>
      <c r="L156" s="146">
        <v>3</v>
      </c>
      <c r="M156" s="571">
        <v>6</v>
      </c>
      <c r="N156" s="2293">
        <v>2</v>
      </c>
      <c r="O156" s="2507" t="s">
        <v>336</v>
      </c>
      <c r="P156" s="182">
        <f t="shared" si="302"/>
        <v>0.12020925623680324</v>
      </c>
      <c r="Q156" s="1087"/>
      <c r="R156" s="3207"/>
      <c r="S156" s="3207"/>
      <c r="T156" s="129">
        <f>C156</f>
        <v>3.6640000000000001</v>
      </c>
      <c r="U156" s="68">
        <f t="shared" ref="U156:Z158" si="314">D156*$K$3/$AB$3</f>
        <v>4.4742857142857147E-2</v>
      </c>
      <c r="V156" s="27">
        <f t="shared" si="314"/>
        <v>0.13777751116071432</v>
      </c>
      <c r="W156" s="363">
        <f t="shared" si="314"/>
        <v>2.9828571428571423E-2</v>
      </c>
      <c r="X156" s="363">
        <f t="shared" si="314"/>
        <v>3.148571428571429E-3</v>
      </c>
      <c r="Y156" s="363">
        <f t="shared" si="314"/>
        <v>2.3352120535714293E-2</v>
      </c>
      <c r="Z156" s="28">
        <f t="shared" si="314"/>
        <v>0</v>
      </c>
      <c r="AA156" s="129">
        <f>J156</f>
        <v>5.2729999999999997</v>
      </c>
      <c r="AB156" s="28">
        <f>K156*$K$3/$AB$3</f>
        <v>1.5307081489955363E-2</v>
      </c>
      <c r="AC156" s="364">
        <f>L156</f>
        <v>3</v>
      </c>
      <c r="AD156" s="182">
        <f>SUM(U156:Z156,AB156)</f>
        <v>0.25415671318638394</v>
      </c>
      <c r="AE156" s="1087"/>
      <c r="AF156" s="463" t="s">
        <v>1139</v>
      </c>
      <c r="AG156" s="2526"/>
      <c r="AH156" s="1343">
        <f>1-SUM(AI156:AN156)</f>
        <v>0.17604436484054342</v>
      </c>
      <c r="AI156" s="1344">
        <f t="shared" si="307"/>
        <v>0.54209668292206858</v>
      </c>
      <c r="AJ156" s="1345">
        <f t="shared" si="308"/>
        <v>0.11736290989369561</v>
      </c>
      <c r="AK156" s="1345">
        <f t="shared" si="309"/>
        <v>1.2388307155445649E-2</v>
      </c>
      <c r="AL156" s="1345">
        <f t="shared" si="310"/>
        <v>9.1880793715604842E-2</v>
      </c>
      <c r="AM156" s="1346">
        <f t="shared" si="311"/>
        <v>0</v>
      </c>
      <c r="AN156" s="1347">
        <f t="shared" si="312"/>
        <v>6.0226941472641821E-2</v>
      </c>
      <c r="AO156" s="1084"/>
      <c r="AP156" s="2006"/>
      <c r="AQ156" s="2006"/>
      <c r="AR156" s="2006"/>
      <c r="AS156" s="2006"/>
      <c r="AT156" s="2006"/>
      <c r="AU156" s="2006"/>
      <c r="AV156" s="2006"/>
      <c r="AW156" s="2006"/>
      <c r="AX156" s="2006"/>
      <c r="AY156" s="2006"/>
      <c r="AZ156" s="2007"/>
      <c r="BA156" s="2007"/>
    </row>
    <row r="157" spans="1:55" ht="16" hidden="1" outlineLevel="2" x14ac:dyDescent="0.2">
      <c r="A157" s="458" t="s">
        <v>1088</v>
      </c>
      <c r="B157" s="451">
        <v>10</v>
      </c>
      <c r="C157" s="155">
        <v>3.6909999999999998</v>
      </c>
      <c r="D157" s="68">
        <v>2.1162162162162164E-2</v>
      </c>
      <c r="E157" s="27">
        <v>0.65165039062499996</v>
      </c>
      <c r="F157" s="29">
        <v>0</v>
      </c>
      <c r="G157" s="2695">
        <v>0</v>
      </c>
      <c r="H157" s="29">
        <v>0</v>
      </c>
      <c r="I157" s="28">
        <v>0</v>
      </c>
      <c r="J157" s="129">
        <v>26.367000000000001</v>
      </c>
      <c r="K157" s="28">
        <v>3.6199179199218744E-2</v>
      </c>
      <c r="L157" s="146">
        <v>3</v>
      </c>
      <c r="M157" s="571">
        <v>10</v>
      </c>
      <c r="N157" s="2293">
        <v>2</v>
      </c>
      <c r="O157" s="2507" t="s">
        <v>336</v>
      </c>
      <c r="P157" s="182">
        <f t="shared" si="302"/>
        <v>0.7090117319863809</v>
      </c>
      <c r="Q157" s="1087"/>
      <c r="R157" s="3207"/>
      <c r="S157" s="3207"/>
      <c r="T157" s="129">
        <f>C157</f>
        <v>3.6909999999999998</v>
      </c>
      <c r="U157" s="68">
        <f t="shared" si="314"/>
        <v>4.4742857142857147E-2</v>
      </c>
      <c r="V157" s="27">
        <f t="shared" si="314"/>
        <v>1.3777751116071428</v>
      </c>
      <c r="W157" s="363">
        <f t="shared" si="314"/>
        <v>0</v>
      </c>
      <c r="X157" s="363">
        <f t="shared" si="314"/>
        <v>0</v>
      </c>
      <c r="Y157" s="363">
        <f t="shared" si="314"/>
        <v>0</v>
      </c>
      <c r="Z157" s="28">
        <f t="shared" si="314"/>
        <v>0</v>
      </c>
      <c r="AA157" s="129">
        <f>J157</f>
        <v>26.367000000000001</v>
      </c>
      <c r="AB157" s="28">
        <f>K157*$K$3/$AB$3</f>
        <v>7.6535407449776771E-2</v>
      </c>
      <c r="AC157" s="364">
        <f>L157</f>
        <v>3</v>
      </c>
      <c r="AD157" s="182">
        <f>SUM(U157:Z157,AB157)</f>
        <v>1.4990533761997769</v>
      </c>
      <c r="AE157" s="1087"/>
      <c r="AF157" s="463" t="s">
        <v>1088</v>
      </c>
      <c r="AG157" s="2526"/>
      <c r="AH157" s="1343">
        <f>1-SUM(AI157:AN157)</f>
        <v>2.9847407606181542E-2</v>
      </c>
      <c r="AI157" s="1344">
        <f t="shared" si="307"/>
        <v>0.9190967669876543</v>
      </c>
      <c r="AJ157" s="1345">
        <f t="shared" si="308"/>
        <v>0</v>
      </c>
      <c r="AK157" s="1345">
        <f t="shared" si="309"/>
        <v>0</v>
      </c>
      <c r="AL157" s="1345">
        <f t="shared" si="310"/>
        <v>0</v>
      </c>
      <c r="AM157" s="1346">
        <f t="shared" si="311"/>
        <v>0</v>
      </c>
      <c r="AN157" s="1347">
        <f t="shared" si="312"/>
        <v>5.1055825406164192E-2</v>
      </c>
      <c r="AO157" s="1084"/>
      <c r="AP157" s="2006"/>
      <c r="AQ157" s="2006"/>
      <c r="AR157" s="2006"/>
      <c r="AS157" s="2006"/>
      <c r="AT157" s="2006"/>
      <c r="AU157" s="2006"/>
      <c r="AV157" s="2006"/>
      <c r="AW157" s="2006"/>
      <c r="AX157" s="2006"/>
      <c r="AY157" s="2006"/>
      <c r="AZ157" s="2007"/>
      <c r="BA157" s="2007"/>
    </row>
    <row r="158" spans="1:55" ht="15" hidden="1" customHeight="1" outlineLevel="2" x14ac:dyDescent="0.2">
      <c r="A158" s="458" t="s">
        <v>1144</v>
      </c>
      <c r="B158" s="451">
        <v>10</v>
      </c>
      <c r="C158" s="155">
        <v>26.367000000000001</v>
      </c>
      <c r="D158" s="68">
        <v>2.1162162162162164E-2</v>
      </c>
      <c r="E158" s="27">
        <v>0.65165039062499996</v>
      </c>
      <c r="F158" s="29">
        <v>0</v>
      </c>
      <c r="G158" s="2695">
        <v>0</v>
      </c>
      <c r="H158" s="29">
        <v>0</v>
      </c>
      <c r="I158" s="28">
        <v>0</v>
      </c>
      <c r="J158" s="129">
        <v>26.367000000000001</v>
      </c>
      <c r="K158" s="28">
        <v>3.6199179199218744E-2</v>
      </c>
      <c r="L158" s="146">
        <v>3</v>
      </c>
      <c r="M158" s="571">
        <v>10</v>
      </c>
      <c r="N158" s="2293">
        <v>2</v>
      </c>
      <c r="O158" s="2507" t="s">
        <v>336</v>
      </c>
      <c r="P158" s="182">
        <f t="shared" si="302"/>
        <v>0.7090117319863809</v>
      </c>
      <c r="Q158" s="1087"/>
      <c r="R158" s="3207"/>
      <c r="S158" s="3207"/>
      <c r="T158" s="129">
        <f>C158</f>
        <v>26.367000000000001</v>
      </c>
      <c r="U158" s="68">
        <f t="shared" si="314"/>
        <v>4.4742857142857147E-2</v>
      </c>
      <c r="V158" s="27">
        <f t="shared" si="314"/>
        <v>1.3777751116071428</v>
      </c>
      <c r="W158" s="363">
        <f t="shared" si="314"/>
        <v>0</v>
      </c>
      <c r="X158" s="363">
        <f t="shared" si="314"/>
        <v>0</v>
      </c>
      <c r="Y158" s="363">
        <f t="shared" si="314"/>
        <v>0</v>
      </c>
      <c r="Z158" s="28">
        <f t="shared" si="314"/>
        <v>0</v>
      </c>
      <c r="AA158" s="129">
        <f>J158</f>
        <v>26.367000000000001</v>
      </c>
      <c r="AB158" s="28">
        <f>K158*$K$3/$AB$3</f>
        <v>7.6535407449776771E-2</v>
      </c>
      <c r="AC158" s="364">
        <f>L158</f>
        <v>3</v>
      </c>
      <c r="AD158" s="182">
        <f>SUM(U158:Z158,AB158)</f>
        <v>1.4990533761997769</v>
      </c>
      <c r="AE158" s="1087"/>
      <c r="AF158" s="463" t="s">
        <v>1144</v>
      </c>
      <c r="AG158" s="2526"/>
      <c r="AH158" s="1343">
        <f>1-SUM(AI158:AN158)</f>
        <v>2.9847407606181542E-2</v>
      </c>
      <c r="AI158" s="1344">
        <f t="shared" si="307"/>
        <v>0.9190967669876543</v>
      </c>
      <c r="AJ158" s="1345">
        <f t="shared" si="308"/>
        <v>0</v>
      </c>
      <c r="AK158" s="1345">
        <f t="shared" si="309"/>
        <v>0</v>
      </c>
      <c r="AL158" s="1345">
        <f t="shared" si="310"/>
        <v>0</v>
      </c>
      <c r="AM158" s="1346">
        <f t="shared" si="311"/>
        <v>0</v>
      </c>
      <c r="AN158" s="1347">
        <f t="shared" si="312"/>
        <v>5.1055825406164192E-2</v>
      </c>
      <c r="AO158" s="1084"/>
      <c r="AP158" s="2006"/>
      <c r="AQ158" s="2006"/>
      <c r="AR158" s="2006"/>
      <c r="AS158" s="2006"/>
      <c r="AT158" s="2006"/>
      <c r="AU158" s="2006"/>
      <c r="AV158" s="2006"/>
      <c r="AW158" s="2006"/>
      <c r="AX158" s="2006"/>
      <c r="AY158" s="2006"/>
      <c r="AZ158" s="2007"/>
      <c r="BA158" s="2007"/>
    </row>
    <row r="159" spans="1:55" ht="15" hidden="1" customHeight="1" outlineLevel="1" collapsed="1" x14ac:dyDescent="0.2">
      <c r="A159" s="457" t="s">
        <v>973</v>
      </c>
      <c r="B159" s="450" t="str">
        <f t="shared" ref="B159:C159" si="315">B$6</f>
        <v>Trips</v>
      </c>
      <c r="C159" s="172" t="str">
        <f t="shared" si="315"/>
        <v>Mbpd</v>
      </c>
      <c r="D159" s="2556" t="s">
        <v>303</v>
      </c>
      <c r="E159" s="2556" t="s">
        <v>9</v>
      </c>
      <c r="F159" s="2556" t="s">
        <v>304</v>
      </c>
      <c r="G159" s="2709" t="s">
        <v>970</v>
      </c>
      <c r="H159" s="2556" t="s">
        <v>312</v>
      </c>
      <c r="I159" s="2556" t="s">
        <v>330</v>
      </c>
      <c r="J159" s="2556" t="s">
        <v>308</v>
      </c>
      <c r="K159" s="2556" t="s">
        <v>309</v>
      </c>
      <c r="L159" s="178" t="s">
        <v>299</v>
      </c>
      <c r="M159" s="572" t="str">
        <f>M$6</f>
        <v>DPM/c</v>
      </c>
      <c r="N159" s="2292" t="str">
        <f>N$6</f>
        <v>MT</v>
      </c>
      <c r="O159" s="2506" t="str">
        <f>O$8</f>
        <v xml:space="preserve">WF </v>
      </c>
      <c r="P159" s="181" t="s">
        <v>273</v>
      </c>
      <c r="Q159" s="1087"/>
      <c r="R159" s="181"/>
      <c r="S159" s="181"/>
      <c r="T159" s="1270" t="s">
        <v>308</v>
      </c>
      <c r="U159" s="2556" t="s">
        <v>303</v>
      </c>
      <c r="V159" s="2556" t="str">
        <f>V$6</f>
        <v xml:space="preserve">WTS </v>
      </c>
      <c r="W159" s="2556" t="str">
        <f>+W$6</f>
        <v>Web</v>
      </c>
      <c r="X159" s="2556" t="str">
        <f>+X$6</f>
        <v>Portal</v>
      </c>
      <c r="Y159" s="2556" t="s">
        <v>312</v>
      </c>
      <c r="Z159" s="2556" t="s">
        <v>330</v>
      </c>
      <c r="AA159" s="2556" t="s">
        <v>308</v>
      </c>
      <c r="AB159" s="2556" t="s">
        <v>309</v>
      </c>
      <c r="AC159" s="178" t="s">
        <v>299</v>
      </c>
      <c r="AD159" s="181" t="s">
        <v>273</v>
      </c>
      <c r="AE159" s="1087"/>
      <c r="AF159" s="404" t="str">
        <f>A159</f>
        <v>ArcGIS for Server 10.3  =========</v>
      </c>
      <c r="AG159" s="2526"/>
      <c r="AH159" s="1339" t="str">
        <f t="shared" ref="AH159:AM159" si="316">D159</f>
        <v>Client</v>
      </c>
      <c r="AI159" s="1339" t="str">
        <f t="shared" si="316"/>
        <v xml:space="preserve">WTS </v>
      </c>
      <c r="AJ159" s="1339" t="str">
        <f t="shared" si="316"/>
        <v>Web</v>
      </c>
      <c r="AK159" s="1339" t="str">
        <f t="shared" si="316"/>
        <v>Portal</v>
      </c>
      <c r="AL159" s="1340" t="str">
        <f t="shared" si="316"/>
        <v>SOC</v>
      </c>
      <c r="AM159" s="1341" t="str">
        <f t="shared" si="316"/>
        <v>SDE</v>
      </c>
      <c r="AN159" s="1342" t="str">
        <f>K159</f>
        <v>DBMS</v>
      </c>
      <c r="AO159" s="1084"/>
      <c r="AP159" s="2006"/>
      <c r="AQ159" s="2006"/>
      <c r="AR159" s="2006"/>
      <c r="AS159" s="2006"/>
      <c r="AT159" s="2006"/>
      <c r="AU159" s="2006"/>
      <c r="AV159" s="2006"/>
      <c r="AW159" s="2006"/>
      <c r="AX159" s="2006"/>
      <c r="AY159" s="2006"/>
      <c r="AZ159" s="2007"/>
      <c r="BA159" s="2007"/>
    </row>
    <row r="160" spans="1:55" ht="15" hidden="1" customHeight="1" outlineLevel="2" x14ac:dyDescent="0.2">
      <c r="A160" s="459" t="s">
        <v>1074</v>
      </c>
      <c r="B160" s="451">
        <v>10</v>
      </c>
      <c r="C160" s="155">
        <v>2.1339999999999999</v>
      </c>
      <c r="D160" s="68">
        <v>2.1162162162162164E-2</v>
      </c>
      <c r="E160" s="27">
        <v>0</v>
      </c>
      <c r="F160" s="1931">
        <v>1.4108108108108105E-2</v>
      </c>
      <c r="G160" s="2697">
        <v>1.4891891891891892E-3</v>
      </c>
      <c r="H160" s="29">
        <v>0.11039946684966218</v>
      </c>
      <c r="I160" s="28">
        <v>0</v>
      </c>
      <c r="J160" s="129">
        <v>13.34</v>
      </c>
      <c r="K160" s="28">
        <v>1.8869816564611487E-2</v>
      </c>
      <c r="L160" s="146">
        <v>3</v>
      </c>
      <c r="M160" s="571">
        <v>6</v>
      </c>
      <c r="N160" s="2293">
        <v>1</v>
      </c>
      <c r="O160" s="2507" t="s">
        <v>332</v>
      </c>
      <c r="P160" s="182">
        <f t="shared" ref="P160:P169" si="317">SUM(D160:I160,K160)</f>
        <v>0.16602874287373312</v>
      </c>
      <c r="Q160" s="2584"/>
      <c r="R160" s="3219">
        <f t="shared" ref="R160" si="318">F160+G160</f>
        <v>1.5597297297297294E-2</v>
      </c>
      <c r="S160" s="3219">
        <f t="shared" ref="S160" si="319">E160+H160+K160</f>
        <v>0.12926928341427366</v>
      </c>
      <c r="T160" s="129">
        <f t="shared" ref="T160:T169" si="320">C160</f>
        <v>2.1339999999999999</v>
      </c>
      <c r="U160" s="68">
        <f t="shared" ref="U160:U169" si="321">D160*$K$3/$AB$3</f>
        <v>4.4742857142857147E-2</v>
      </c>
      <c r="V160" s="27">
        <f t="shared" ref="V160:V169" si="322">E160*$K$3/$AB$3</f>
        <v>0</v>
      </c>
      <c r="W160" s="363">
        <f t="shared" ref="W160:W169" si="323">F160*$K$3/$AB$3</f>
        <v>2.9828571428571423E-2</v>
      </c>
      <c r="X160" s="363">
        <f t="shared" ref="X160:X169" si="324">G160*$K$3/$AB$3</f>
        <v>3.148571428571429E-3</v>
      </c>
      <c r="Y160" s="363">
        <f t="shared" ref="Y160:Y169" si="325">H160*$K$3/$AB$3</f>
        <v>0.23341601562500003</v>
      </c>
      <c r="Z160" s="28">
        <f t="shared" ref="Z160:Z169" si="326">I160*$K$3/$AB$3</f>
        <v>0</v>
      </c>
      <c r="AA160" s="129">
        <f t="shared" ref="AA160:AA169" si="327">J160</f>
        <v>13.34</v>
      </c>
      <c r="AB160" s="28">
        <f t="shared" ref="AB160:AB169" si="328">K160*$K$3/$AB$3</f>
        <v>3.9896183593750002E-2</v>
      </c>
      <c r="AC160" s="364">
        <f t="shared" ref="AC160:AC169" si="329">L160</f>
        <v>3</v>
      </c>
      <c r="AD160" s="182">
        <f t="shared" ref="AD160:AD169" si="330">SUM(U160:Z160,AB160)</f>
        <v>0.35103219921875006</v>
      </c>
      <c r="AE160" s="1087"/>
      <c r="AF160" s="462" t="s">
        <v>1074</v>
      </c>
      <c r="AG160" s="2526"/>
      <c r="AH160" s="1343">
        <f>1-SUM(AI160:AN160)</f>
        <v>0.12746083476796688</v>
      </c>
      <c r="AI160" s="1344">
        <f t="shared" ref="AI160:AI169" si="331">E160/$P160</f>
        <v>0</v>
      </c>
      <c r="AJ160" s="1345">
        <f t="shared" ref="AJ160:AJ169" si="332">F160/$P160</f>
        <v>8.4973889845311262E-2</v>
      </c>
      <c r="AK160" s="1345">
        <f t="shared" ref="AK160:AK169" si="333">G160/$P160</f>
        <v>8.9694661503384124E-3</v>
      </c>
      <c r="AL160" s="1345">
        <f t="shared" ref="AL160:AL169" si="334">H160/$P160</f>
        <v>0.66494189463099362</v>
      </c>
      <c r="AM160" s="1346">
        <f t="shared" ref="AM160:AM169" si="335">I160/$P160</f>
        <v>0</v>
      </c>
      <c r="AN160" s="1347">
        <f t="shared" ref="AN160:AN169" si="336">K160/$P160</f>
        <v>0.11365391460538982</v>
      </c>
      <c r="AO160" s="1084"/>
      <c r="AP160" s="2008" t="s">
        <v>874</v>
      </c>
      <c r="AQ160" s="2006"/>
      <c r="AR160" s="2006"/>
      <c r="AS160" s="2006"/>
      <c r="AT160" s="2006"/>
      <c r="AU160" s="2006"/>
      <c r="AV160" s="2006"/>
      <c r="AW160" s="2006"/>
      <c r="AX160" s="2006"/>
      <c r="AY160" s="2006"/>
      <c r="AZ160" s="2007"/>
      <c r="BA160" s="2007"/>
      <c r="BB160" s="1722"/>
      <c r="BC160" s="1722"/>
    </row>
    <row r="161" spans="1:55" ht="15" hidden="1" customHeight="1" outlineLevel="2" x14ac:dyDescent="0.2">
      <c r="A161" s="459" t="s">
        <v>1075</v>
      </c>
      <c r="B161" s="451">
        <v>10</v>
      </c>
      <c r="C161" s="155">
        <v>2.1339999999999999</v>
      </c>
      <c r="D161" s="68">
        <v>2.1162162162162164E-2</v>
      </c>
      <c r="E161" s="27">
        <v>0</v>
      </c>
      <c r="F161" s="1931">
        <v>7.0540540540540526E-3</v>
      </c>
      <c r="G161" s="2697">
        <v>0</v>
      </c>
      <c r="H161" s="29">
        <v>5.5199733424831088E-2</v>
      </c>
      <c r="I161" s="28">
        <v>0</v>
      </c>
      <c r="J161" s="129">
        <v>6.67</v>
      </c>
      <c r="K161" s="28">
        <v>9.4349082823057435E-3</v>
      </c>
      <c r="L161" s="146">
        <v>3</v>
      </c>
      <c r="M161" s="571">
        <v>6</v>
      </c>
      <c r="N161" s="2293">
        <v>1</v>
      </c>
      <c r="O161" s="2507" t="s">
        <v>332</v>
      </c>
      <c r="P161" s="182">
        <f t="shared" si="317"/>
        <v>9.2850857923353042E-2</v>
      </c>
      <c r="Q161" s="1087"/>
      <c r="R161" s="3207"/>
      <c r="S161" s="3207"/>
      <c r="T161" s="129">
        <f t="shared" si="320"/>
        <v>2.1339999999999999</v>
      </c>
      <c r="U161" s="68">
        <f t="shared" si="321"/>
        <v>4.4742857142857147E-2</v>
      </c>
      <c r="V161" s="27">
        <f t="shared" si="322"/>
        <v>0</v>
      </c>
      <c r="W161" s="363">
        <f t="shared" si="323"/>
        <v>1.4914285714285712E-2</v>
      </c>
      <c r="X161" s="363">
        <f t="shared" si="324"/>
        <v>0</v>
      </c>
      <c r="Y161" s="363">
        <f t="shared" si="325"/>
        <v>0.11670800781250001</v>
      </c>
      <c r="Z161" s="28">
        <f t="shared" si="326"/>
        <v>0</v>
      </c>
      <c r="AA161" s="129">
        <f t="shared" si="327"/>
        <v>6.67</v>
      </c>
      <c r="AB161" s="28">
        <f t="shared" si="328"/>
        <v>1.9948091796875001E-2</v>
      </c>
      <c r="AC161" s="364">
        <f t="shared" si="329"/>
        <v>3</v>
      </c>
      <c r="AD161" s="182">
        <f t="shared" si="330"/>
        <v>0.19631324246651788</v>
      </c>
      <c r="AE161" s="1087"/>
      <c r="AF161" s="462" t="s">
        <v>1075</v>
      </c>
      <c r="AG161" s="2526"/>
      <c r="AH161" s="1343">
        <f t="shared" ref="AH161:AH169" si="337">1-SUM(AI161:AN161)</f>
        <v>0.22791563411973204</v>
      </c>
      <c r="AI161" s="1344">
        <f t="shared" si="331"/>
        <v>0</v>
      </c>
      <c r="AJ161" s="1345">
        <f t="shared" si="332"/>
        <v>7.5971878039910692E-2</v>
      </c>
      <c r="AK161" s="1345">
        <f t="shared" si="333"/>
        <v>0</v>
      </c>
      <c r="AL161" s="1345">
        <f t="shared" si="334"/>
        <v>0.59449890565790597</v>
      </c>
      <c r="AM161" s="1346">
        <f t="shared" si="335"/>
        <v>0</v>
      </c>
      <c r="AN161" s="1347">
        <f t="shared" si="336"/>
        <v>0.1016135821824513</v>
      </c>
      <c r="AO161" s="1084"/>
      <c r="AP161" s="2006" t="s">
        <v>873</v>
      </c>
      <c r="AQ161" s="2006"/>
      <c r="AR161" s="2006"/>
      <c r="AS161" s="2006"/>
      <c r="AT161" s="2006"/>
      <c r="AU161" s="2006"/>
      <c r="AV161" s="2006"/>
      <c r="AW161" s="2006"/>
      <c r="AX161" s="2006"/>
      <c r="AY161" s="2006"/>
      <c r="AZ161" s="2007"/>
      <c r="BA161" s="2007"/>
      <c r="BB161" s="1722"/>
      <c r="BC161" s="1722"/>
    </row>
    <row r="162" spans="1:55" ht="15" hidden="1" customHeight="1" outlineLevel="2" x14ac:dyDescent="0.2">
      <c r="A162" s="459" t="s">
        <v>1076</v>
      </c>
      <c r="B162" s="451">
        <v>10</v>
      </c>
      <c r="C162" s="155">
        <v>2.1339999999999999</v>
      </c>
      <c r="D162" s="68">
        <v>2.1162162162162164E-2</v>
      </c>
      <c r="E162" s="27">
        <v>0</v>
      </c>
      <c r="F162" s="1931">
        <v>7.0540540540540526E-3</v>
      </c>
      <c r="G162" s="2697">
        <v>0</v>
      </c>
      <c r="H162" s="29">
        <v>0.11039946684966218</v>
      </c>
      <c r="I162" s="28">
        <v>0</v>
      </c>
      <c r="J162" s="129">
        <v>13.34</v>
      </c>
      <c r="K162" s="28">
        <v>1.8869816564611487E-2</v>
      </c>
      <c r="L162" s="146">
        <v>3</v>
      </c>
      <c r="M162" s="571">
        <v>6</v>
      </c>
      <c r="N162" s="2293">
        <v>1</v>
      </c>
      <c r="O162" s="2507" t="s">
        <v>332</v>
      </c>
      <c r="P162" s="182">
        <f t="shared" si="317"/>
        <v>0.15748549963048988</v>
      </c>
      <c r="Q162" s="1087"/>
      <c r="R162" s="3207"/>
      <c r="S162" s="3207"/>
      <c r="T162" s="129">
        <f t="shared" si="320"/>
        <v>2.1339999999999999</v>
      </c>
      <c r="U162" s="68">
        <f t="shared" si="321"/>
        <v>4.4742857142857147E-2</v>
      </c>
      <c r="V162" s="27">
        <f t="shared" si="322"/>
        <v>0</v>
      </c>
      <c r="W162" s="363">
        <f t="shared" si="323"/>
        <v>1.4914285714285712E-2</v>
      </c>
      <c r="X162" s="363">
        <f t="shared" si="324"/>
        <v>0</v>
      </c>
      <c r="Y162" s="363">
        <f t="shared" si="325"/>
        <v>0.23341601562500003</v>
      </c>
      <c r="Z162" s="28">
        <f t="shared" si="326"/>
        <v>0</v>
      </c>
      <c r="AA162" s="129">
        <f t="shared" si="327"/>
        <v>13.34</v>
      </c>
      <c r="AB162" s="28">
        <f t="shared" si="328"/>
        <v>3.9896183593750002E-2</v>
      </c>
      <c r="AC162" s="364">
        <f t="shared" si="329"/>
        <v>3</v>
      </c>
      <c r="AD162" s="182">
        <f t="shared" si="330"/>
        <v>0.3329693420758929</v>
      </c>
      <c r="AE162" s="1087"/>
      <c r="AF162" s="462" t="s">
        <v>1076</v>
      </c>
      <c r="AG162" s="2526"/>
      <c r="AH162" s="1343">
        <f t="shared" si="337"/>
        <v>0.1343753057380852</v>
      </c>
      <c r="AI162" s="1344">
        <f t="shared" si="331"/>
        <v>0</v>
      </c>
      <c r="AJ162" s="1345">
        <f t="shared" si="332"/>
        <v>4.4791768579361679E-2</v>
      </c>
      <c r="AK162" s="1345">
        <f t="shared" si="333"/>
        <v>0</v>
      </c>
      <c r="AL162" s="1345">
        <f t="shared" si="334"/>
        <v>0.70101353526955668</v>
      </c>
      <c r="AM162" s="1346">
        <f t="shared" si="335"/>
        <v>0</v>
      </c>
      <c r="AN162" s="1347">
        <f t="shared" si="336"/>
        <v>0.11981939041299652</v>
      </c>
      <c r="AO162" s="1084"/>
      <c r="AP162" s="2006" t="s">
        <v>873</v>
      </c>
      <c r="AQ162" s="2006"/>
      <c r="AR162" s="2006"/>
      <c r="AS162" s="2006"/>
      <c r="AT162" s="2006"/>
      <c r="AU162" s="2006"/>
      <c r="AV162" s="2006"/>
      <c r="AW162" s="2006"/>
      <c r="AX162" s="2006"/>
      <c r="AY162" s="2006"/>
      <c r="AZ162" s="2007"/>
      <c r="BA162" s="2007"/>
      <c r="BB162" s="1722"/>
      <c r="BC162" s="1722"/>
    </row>
    <row r="163" spans="1:55" ht="15" hidden="1" customHeight="1" outlineLevel="2" x14ac:dyDescent="0.2">
      <c r="A163" s="459" t="s">
        <v>1077</v>
      </c>
      <c r="B163" s="451">
        <v>10</v>
      </c>
      <c r="C163" s="155">
        <v>2.6339999999999999</v>
      </c>
      <c r="D163" s="68">
        <v>2.1162162162162164E-2</v>
      </c>
      <c r="E163" s="27">
        <v>0</v>
      </c>
      <c r="F163" s="1931">
        <v>7.0540540540540526E-3</v>
      </c>
      <c r="G163" s="2697">
        <v>0</v>
      </c>
      <c r="H163" s="29">
        <v>0.11039946684966218</v>
      </c>
      <c r="I163" s="28">
        <v>0</v>
      </c>
      <c r="J163" s="129">
        <v>13.34</v>
      </c>
      <c r="K163" s="28">
        <v>1.8869816564611487E-2</v>
      </c>
      <c r="L163" s="146">
        <v>3</v>
      </c>
      <c r="M163" s="571">
        <v>6</v>
      </c>
      <c r="N163" s="2293">
        <v>1</v>
      </c>
      <c r="O163" s="2507" t="s">
        <v>332</v>
      </c>
      <c r="P163" s="182">
        <f t="shared" si="317"/>
        <v>0.15748549963048988</v>
      </c>
      <c r="Q163" s="1087"/>
      <c r="R163" s="3207"/>
      <c r="S163" s="3207"/>
      <c r="T163" s="129">
        <f t="shared" si="320"/>
        <v>2.6339999999999999</v>
      </c>
      <c r="U163" s="68">
        <f t="shared" si="321"/>
        <v>4.4742857142857147E-2</v>
      </c>
      <c r="V163" s="27">
        <f t="shared" si="322"/>
        <v>0</v>
      </c>
      <c r="W163" s="363">
        <f t="shared" si="323"/>
        <v>1.4914285714285712E-2</v>
      </c>
      <c r="X163" s="363">
        <f t="shared" si="324"/>
        <v>0</v>
      </c>
      <c r="Y163" s="363">
        <f t="shared" si="325"/>
        <v>0.23341601562500003</v>
      </c>
      <c r="Z163" s="28">
        <f t="shared" si="326"/>
        <v>0</v>
      </c>
      <c r="AA163" s="129">
        <f t="shared" si="327"/>
        <v>13.34</v>
      </c>
      <c r="AB163" s="28">
        <f t="shared" si="328"/>
        <v>3.9896183593750002E-2</v>
      </c>
      <c r="AC163" s="364">
        <f t="shared" si="329"/>
        <v>3</v>
      </c>
      <c r="AD163" s="182">
        <f t="shared" si="330"/>
        <v>0.3329693420758929</v>
      </c>
      <c r="AE163" s="1087"/>
      <c r="AF163" s="462" t="s">
        <v>1077</v>
      </c>
      <c r="AG163" s="2526"/>
      <c r="AH163" s="1343">
        <f t="shared" si="337"/>
        <v>0.1343753057380852</v>
      </c>
      <c r="AI163" s="1344">
        <f t="shared" si="331"/>
        <v>0</v>
      </c>
      <c r="AJ163" s="1345">
        <f t="shared" si="332"/>
        <v>4.4791768579361679E-2</v>
      </c>
      <c r="AK163" s="1345">
        <f t="shared" si="333"/>
        <v>0</v>
      </c>
      <c r="AL163" s="1345">
        <f t="shared" si="334"/>
        <v>0.70101353526955668</v>
      </c>
      <c r="AM163" s="1346">
        <f t="shared" si="335"/>
        <v>0</v>
      </c>
      <c r="AN163" s="1347">
        <f t="shared" si="336"/>
        <v>0.11981939041299652</v>
      </c>
      <c r="AO163" s="1084"/>
      <c r="AP163" s="2006" t="s">
        <v>873</v>
      </c>
      <c r="AQ163" s="2006"/>
      <c r="AR163" s="2006"/>
      <c r="AS163" s="2006"/>
      <c r="AT163" s="2006"/>
      <c r="AU163" s="2006"/>
      <c r="AV163" s="2006"/>
      <c r="AW163" s="2006"/>
      <c r="AX163" s="2006"/>
      <c r="AY163" s="2006"/>
      <c r="AZ163" s="2007"/>
      <c r="BA163" s="2007"/>
      <c r="BB163" s="1722"/>
      <c r="BC163" s="1722"/>
    </row>
    <row r="164" spans="1:55" ht="15" hidden="1" customHeight="1" outlineLevel="2" x14ac:dyDescent="0.2">
      <c r="A164" s="459" t="s">
        <v>1078</v>
      </c>
      <c r="B164" s="451">
        <v>10</v>
      </c>
      <c r="C164" s="155">
        <v>1.994</v>
      </c>
      <c r="D164" s="68">
        <v>2.1162162162162164E-2</v>
      </c>
      <c r="E164" s="27">
        <v>0</v>
      </c>
      <c r="F164" s="1931">
        <v>7.0540540540540526E-3</v>
      </c>
      <c r="G164" s="2697">
        <v>0</v>
      </c>
      <c r="H164" s="29">
        <v>4.4159786739864877E-2</v>
      </c>
      <c r="I164" s="28">
        <v>0</v>
      </c>
      <c r="J164" s="129">
        <v>5.3360000000000003</v>
      </c>
      <c r="K164" s="28">
        <v>7.5479266258445957E-3</v>
      </c>
      <c r="L164" s="146">
        <v>3</v>
      </c>
      <c r="M164" s="571">
        <v>6</v>
      </c>
      <c r="N164" s="2293">
        <v>1</v>
      </c>
      <c r="O164" s="2507" t="s">
        <v>332</v>
      </c>
      <c r="P164" s="182">
        <f t="shared" si="317"/>
        <v>7.9923929581925693E-2</v>
      </c>
      <c r="Q164" s="1087"/>
      <c r="R164" s="3207"/>
      <c r="S164" s="3207"/>
      <c r="T164" s="129">
        <f t="shared" si="320"/>
        <v>1.994</v>
      </c>
      <c r="U164" s="68">
        <f t="shared" si="321"/>
        <v>4.4742857142857147E-2</v>
      </c>
      <c r="V164" s="27">
        <f t="shared" si="322"/>
        <v>0</v>
      </c>
      <c r="W164" s="363">
        <f t="shared" si="323"/>
        <v>1.4914285714285712E-2</v>
      </c>
      <c r="X164" s="363">
        <f t="shared" si="324"/>
        <v>0</v>
      </c>
      <c r="Y164" s="363">
        <f t="shared" si="325"/>
        <v>9.336640625000002E-2</v>
      </c>
      <c r="Z164" s="28">
        <f t="shared" si="326"/>
        <v>0</v>
      </c>
      <c r="AA164" s="129">
        <f t="shared" si="327"/>
        <v>5.3360000000000003</v>
      </c>
      <c r="AB164" s="28">
        <f t="shared" si="328"/>
        <v>1.5958473437500002E-2</v>
      </c>
      <c r="AC164" s="364">
        <f t="shared" si="329"/>
        <v>3</v>
      </c>
      <c r="AD164" s="182">
        <f t="shared" si="330"/>
        <v>0.1689820225446429</v>
      </c>
      <c r="AE164" s="1087"/>
      <c r="AF164" s="462" t="s">
        <v>1078</v>
      </c>
      <c r="AG164" s="2526"/>
      <c r="AH164" s="1343">
        <f t="shared" si="337"/>
        <v>0.2647787999521467</v>
      </c>
      <c r="AI164" s="1344">
        <f t="shared" si="331"/>
        <v>0</v>
      </c>
      <c r="AJ164" s="1345">
        <f t="shared" si="332"/>
        <v>8.8259599984048878E-2</v>
      </c>
      <c r="AK164" s="1345">
        <f t="shared" si="333"/>
        <v>0</v>
      </c>
      <c r="AL164" s="1345">
        <f t="shared" si="334"/>
        <v>0.55252271717444867</v>
      </c>
      <c r="AM164" s="1346">
        <f t="shared" si="335"/>
        <v>0</v>
      </c>
      <c r="AN164" s="1347">
        <f t="shared" si="336"/>
        <v>9.4438882889355744E-2</v>
      </c>
      <c r="AO164" s="1084"/>
      <c r="AP164" s="2006" t="s">
        <v>873</v>
      </c>
      <c r="AQ164" s="2006"/>
      <c r="AR164" s="2006"/>
      <c r="AS164" s="2006"/>
      <c r="AT164" s="2006"/>
      <c r="AU164" s="2006"/>
      <c r="AV164" s="2006"/>
      <c r="AW164" s="2006"/>
      <c r="AX164" s="2006"/>
      <c r="AY164" s="2006"/>
      <c r="AZ164" s="2007"/>
      <c r="BA164" s="2007"/>
      <c r="BB164" s="1722"/>
      <c r="BC164" s="1722"/>
    </row>
    <row r="165" spans="1:55" ht="15" hidden="1" customHeight="1" outlineLevel="2" x14ac:dyDescent="0.2">
      <c r="A165" s="459" t="s">
        <v>1140</v>
      </c>
      <c r="B165" s="451">
        <v>10</v>
      </c>
      <c r="C165" s="155">
        <v>3.1680000000000001</v>
      </c>
      <c r="D165" s="68">
        <v>5.0104373416385156E-2</v>
      </c>
      <c r="E165" s="27">
        <v>0</v>
      </c>
      <c r="F165" s="1931">
        <v>1.4108108108108105E-2</v>
      </c>
      <c r="G165" s="2697">
        <v>1.4891891891891892E-3</v>
      </c>
      <c r="H165" s="29">
        <v>8.4922666807432465E-3</v>
      </c>
      <c r="I165" s="28">
        <v>0</v>
      </c>
      <c r="J165" s="129">
        <v>2.6680000000000001</v>
      </c>
      <c r="K165" s="28">
        <v>3.7739633129222996E-3</v>
      </c>
      <c r="L165" s="146">
        <v>3</v>
      </c>
      <c r="M165" s="571">
        <v>6</v>
      </c>
      <c r="N165" s="2293">
        <v>1</v>
      </c>
      <c r="O165" s="2507" t="s">
        <v>332</v>
      </c>
      <c r="P165" s="182">
        <f t="shared" si="317"/>
        <v>7.7967900707348006E-2</v>
      </c>
      <c r="Q165" s="1087"/>
      <c r="R165" s="3207"/>
      <c r="S165" s="3207"/>
      <c r="T165" s="129">
        <f t="shared" si="320"/>
        <v>3.1680000000000001</v>
      </c>
      <c r="U165" s="68">
        <f t="shared" si="321"/>
        <v>0.10593496093750004</v>
      </c>
      <c r="V165" s="27">
        <f t="shared" si="322"/>
        <v>0</v>
      </c>
      <c r="W165" s="363">
        <f t="shared" si="323"/>
        <v>2.9828571428571423E-2</v>
      </c>
      <c r="X165" s="363">
        <f t="shared" si="324"/>
        <v>3.148571428571429E-3</v>
      </c>
      <c r="Y165" s="363">
        <f t="shared" si="325"/>
        <v>1.7955078125000006E-2</v>
      </c>
      <c r="Z165" s="28">
        <f t="shared" si="326"/>
        <v>0</v>
      </c>
      <c r="AA165" s="129">
        <f t="shared" si="327"/>
        <v>2.6680000000000001</v>
      </c>
      <c r="AB165" s="28">
        <f t="shared" si="328"/>
        <v>7.9792367187500046E-3</v>
      </c>
      <c r="AC165" s="364">
        <f t="shared" si="329"/>
        <v>3</v>
      </c>
      <c r="AD165" s="182">
        <f t="shared" si="330"/>
        <v>0.16484641863839289</v>
      </c>
      <c r="AE165" s="1087"/>
      <c r="AF165" s="462" t="s">
        <v>1140</v>
      </c>
      <c r="AG165" s="2526"/>
      <c r="AH165" s="1343">
        <f t="shared" si="337"/>
        <v>0.64262822215069759</v>
      </c>
      <c r="AI165" s="1344">
        <f t="shared" si="331"/>
        <v>0</v>
      </c>
      <c r="AJ165" s="1345">
        <f t="shared" si="332"/>
        <v>0.18094764614816031</v>
      </c>
      <c r="AK165" s="1345">
        <f t="shared" si="333"/>
        <v>1.9100029315639148E-2</v>
      </c>
      <c r="AL165" s="1345">
        <f t="shared" si="334"/>
        <v>0.10892003765266059</v>
      </c>
      <c r="AM165" s="1346">
        <f t="shared" si="335"/>
        <v>0</v>
      </c>
      <c r="AN165" s="1347">
        <f t="shared" si="336"/>
        <v>4.8404064732842374E-2</v>
      </c>
      <c r="AO165" s="1084"/>
      <c r="AP165" s="2006" t="s">
        <v>878</v>
      </c>
      <c r="AQ165" s="2006"/>
      <c r="AR165" s="2006"/>
      <c r="AS165" s="2006"/>
      <c r="AT165" s="2006"/>
      <c r="AU165" s="2006"/>
      <c r="AV165" s="2006"/>
      <c r="AW165" s="2006"/>
      <c r="AX165" s="2006"/>
      <c r="AY165" s="2006"/>
      <c r="AZ165" s="2007"/>
      <c r="BA165" s="2007"/>
      <c r="BB165" s="1722"/>
      <c r="BC165" s="1722"/>
    </row>
    <row r="166" spans="1:55" ht="15" hidden="1" customHeight="1" outlineLevel="2" x14ac:dyDescent="0.2">
      <c r="A166" s="459" t="s">
        <v>92</v>
      </c>
      <c r="B166" s="451">
        <v>10</v>
      </c>
      <c r="C166" s="155">
        <v>0.5</v>
      </c>
      <c r="D166" s="68">
        <v>2.1162162162162164E-2</v>
      </c>
      <c r="E166" s="27">
        <v>0</v>
      </c>
      <c r="F166" s="1931">
        <v>7.0540540540540526E-3</v>
      </c>
      <c r="G166" s="2695">
        <v>0</v>
      </c>
      <c r="H166" s="29">
        <v>7.0540540540540526E-3</v>
      </c>
      <c r="I166" s="28">
        <v>0</v>
      </c>
      <c r="J166" s="129">
        <v>0.5</v>
      </c>
      <c r="K166" s="28">
        <v>0</v>
      </c>
      <c r="L166" s="146">
        <v>3</v>
      </c>
      <c r="M166" s="571">
        <v>6</v>
      </c>
      <c r="N166" s="2293">
        <v>1</v>
      </c>
      <c r="O166" s="2507" t="s">
        <v>332</v>
      </c>
      <c r="P166" s="182">
        <f t="shared" si="317"/>
        <v>3.5270270270270271E-2</v>
      </c>
      <c r="Q166" s="1087"/>
      <c r="R166" s="3207"/>
      <c r="S166" s="3207"/>
      <c r="T166" s="129">
        <f t="shared" si="320"/>
        <v>0.5</v>
      </c>
      <c r="U166" s="68">
        <f t="shared" si="321"/>
        <v>4.4742857142857147E-2</v>
      </c>
      <c r="V166" s="27">
        <f t="shared" si="322"/>
        <v>0</v>
      </c>
      <c r="W166" s="363">
        <f t="shared" si="323"/>
        <v>1.4914285714285712E-2</v>
      </c>
      <c r="X166" s="363">
        <f t="shared" si="324"/>
        <v>0</v>
      </c>
      <c r="Y166" s="363">
        <f t="shared" si="325"/>
        <v>1.4914285714285712E-2</v>
      </c>
      <c r="Z166" s="28">
        <f t="shared" si="326"/>
        <v>0</v>
      </c>
      <c r="AA166" s="129">
        <f t="shared" si="327"/>
        <v>0.5</v>
      </c>
      <c r="AB166" s="28">
        <f t="shared" si="328"/>
        <v>0</v>
      </c>
      <c r="AC166" s="364">
        <f t="shared" si="329"/>
        <v>3</v>
      </c>
      <c r="AD166" s="182">
        <f t="shared" si="330"/>
        <v>7.4571428571428566E-2</v>
      </c>
      <c r="AE166" s="1087"/>
      <c r="AF166" s="462" t="s">
        <v>92</v>
      </c>
      <c r="AG166" s="2526"/>
      <c r="AH166" s="1343">
        <f t="shared" si="337"/>
        <v>0.60000000000000009</v>
      </c>
      <c r="AI166" s="1344">
        <f t="shared" si="331"/>
        <v>0</v>
      </c>
      <c r="AJ166" s="1345">
        <f t="shared" si="332"/>
        <v>0.19999999999999996</v>
      </c>
      <c r="AK166" s="1345">
        <f t="shared" si="333"/>
        <v>0</v>
      </c>
      <c r="AL166" s="1345">
        <f t="shared" si="334"/>
        <v>0.19999999999999996</v>
      </c>
      <c r="AM166" s="1346">
        <f t="shared" si="335"/>
        <v>0</v>
      </c>
      <c r="AN166" s="1347">
        <f t="shared" si="336"/>
        <v>0</v>
      </c>
      <c r="AO166" s="1084"/>
      <c r="AP166" s="2006" t="s">
        <v>875</v>
      </c>
      <c r="AQ166" s="2006"/>
      <c r="AR166" s="2006"/>
      <c r="AS166" s="2006"/>
      <c r="AT166" s="2006"/>
      <c r="AU166" s="2006"/>
      <c r="AV166" s="2006"/>
      <c r="AW166" s="2006"/>
      <c r="AX166" s="2006"/>
      <c r="AY166" s="2006"/>
      <c r="AZ166" s="2007"/>
      <c r="BA166" s="2007"/>
      <c r="BB166" s="1722"/>
      <c r="BC166" s="1722"/>
    </row>
    <row r="167" spans="1:55" ht="15" hidden="1" customHeight="1" outlineLevel="2" x14ac:dyDescent="0.2">
      <c r="A167" s="459" t="s">
        <v>1022</v>
      </c>
      <c r="B167" s="451">
        <v>200</v>
      </c>
      <c r="C167" s="155">
        <v>2.1339999999999999</v>
      </c>
      <c r="D167" s="68">
        <v>2.1162162162162164E-2</v>
      </c>
      <c r="E167" s="27">
        <v>0</v>
      </c>
      <c r="F167" s="1931">
        <v>7.0540540540540526E-3</v>
      </c>
      <c r="G167" s="2695">
        <v>1.4891891891891889E-2</v>
      </c>
      <c r="H167" s="29">
        <v>0</v>
      </c>
      <c r="I167" s="28">
        <v>0</v>
      </c>
      <c r="J167" s="129">
        <v>13.34</v>
      </c>
      <c r="K167" s="28">
        <v>0</v>
      </c>
      <c r="L167" s="146">
        <v>3</v>
      </c>
      <c r="M167" s="571">
        <v>10</v>
      </c>
      <c r="N167" s="2293">
        <v>1</v>
      </c>
      <c r="O167" s="2507" t="s">
        <v>332</v>
      </c>
      <c r="P167" s="182">
        <f t="shared" si="317"/>
        <v>4.3108108108108105E-2</v>
      </c>
      <c r="Q167" s="1087"/>
      <c r="R167" s="3207"/>
      <c r="S167" s="3207"/>
      <c r="T167" s="129">
        <f t="shared" si="320"/>
        <v>2.1339999999999999</v>
      </c>
      <c r="U167" s="68">
        <f t="shared" si="321"/>
        <v>4.4742857142857147E-2</v>
      </c>
      <c r="V167" s="27">
        <f t="shared" si="322"/>
        <v>0</v>
      </c>
      <c r="W167" s="363">
        <f t="shared" si="323"/>
        <v>1.4914285714285712E-2</v>
      </c>
      <c r="X167" s="363">
        <f t="shared" si="324"/>
        <v>3.1485714285714284E-2</v>
      </c>
      <c r="Y167" s="363">
        <f t="shared" si="325"/>
        <v>0</v>
      </c>
      <c r="Z167" s="28">
        <f t="shared" si="326"/>
        <v>0</v>
      </c>
      <c r="AA167" s="129">
        <f t="shared" si="327"/>
        <v>13.34</v>
      </c>
      <c r="AB167" s="28">
        <f t="shared" si="328"/>
        <v>0</v>
      </c>
      <c r="AC167" s="364">
        <f t="shared" si="329"/>
        <v>3</v>
      </c>
      <c r="AD167" s="182">
        <f t="shared" si="330"/>
        <v>9.1142857142857137E-2</v>
      </c>
      <c r="AE167" s="1087"/>
      <c r="AF167" s="462" t="s">
        <v>1022</v>
      </c>
      <c r="AG167" s="2526"/>
      <c r="AH167" s="1343">
        <f t="shared" si="337"/>
        <v>0.49090909090909096</v>
      </c>
      <c r="AI167" s="1344">
        <f t="shared" si="331"/>
        <v>0</v>
      </c>
      <c r="AJ167" s="1345">
        <f t="shared" si="332"/>
        <v>0.16363636363636361</v>
      </c>
      <c r="AK167" s="1345">
        <f t="shared" si="333"/>
        <v>0.3454545454545454</v>
      </c>
      <c r="AL167" s="1345">
        <f t="shared" si="334"/>
        <v>0</v>
      </c>
      <c r="AM167" s="1346">
        <f t="shared" si="335"/>
        <v>0</v>
      </c>
      <c r="AN167" s="1347">
        <f t="shared" si="336"/>
        <v>0</v>
      </c>
      <c r="AO167" s="1084"/>
      <c r="AP167" s="2006" t="s">
        <v>875</v>
      </c>
      <c r="AQ167" s="2006"/>
      <c r="AR167" s="2006"/>
      <c r="AS167" s="2006"/>
      <c r="AT167" s="2006"/>
      <c r="AU167" s="2006"/>
      <c r="AV167" s="2006"/>
      <c r="AW167" s="2006"/>
      <c r="AX167" s="2006"/>
      <c r="AY167" s="2006"/>
      <c r="AZ167" s="2007"/>
      <c r="BA167" s="2007"/>
      <c r="BB167" s="1722"/>
      <c r="BC167" s="1722"/>
    </row>
    <row r="168" spans="1:55" ht="15" hidden="1" customHeight="1" outlineLevel="2" x14ac:dyDescent="0.2">
      <c r="A168" s="459" t="s">
        <v>1212</v>
      </c>
      <c r="B168" s="451">
        <v>10</v>
      </c>
      <c r="C168" s="155">
        <v>2.1339999999999999</v>
      </c>
      <c r="D168" s="68">
        <v>2.1162162162162164E-2</v>
      </c>
      <c r="E168" s="27">
        <v>0</v>
      </c>
      <c r="F168" s="1931">
        <v>7.0540540540540526E-3</v>
      </c>
      <c r="G168" s="2695">
        <v>0</v>
      </c>
      <c r="H168" s="29">
        <v>0.16891118427998314</v>
      </c>
      <c r="I168" s="28">
        <v>0</v>
      </c>
      <c r="J168" s="129">
        <v>13.34</v>
      </c>
      <c r="K168" s="28">
        <v>1.8869816564611487E-2</v>
      </c>
      <c r="L168" s="146">
        <v>3</v>
      </c>
      <c r="M168" s="571">
        <v>6</v>
      </c>
      <c r="N168" s="2293">
        <v>2</v>
      </c>
      <c r="O168" s="2507" t="s">
        <v>332</v>
      </c>
      <c r="P168" s="182">
        <f t="shared" si="317"/>
        <v>0.21599721706081085</v>
      </c>
      <c r="Q168" s="1087"/>
      <c r="R168" s="3207"/>
      <c r="S168" s="3207"/>
      <c r="T168" s="129">
        <f t="shared" si="320"/>
        <v>2.1339999999999999</v>
      </c>
      <c r="U168" s="68">
        <f t="shared" si="321"/>
        <v>4.4742857142857147E-2</v>
      </c>
      <c r="V168" s="27">
        <f t="shared" si="322"/>
        <v>0</v>
      </c>
      <c r="W168" s="363">
        <f t="shared" si="323"/>
        <v>1.4914285714285712E-2</v>
      </c>
      <c r="X168" s="363">
        <f t="shared" si="324"/>
        <v>0</v>
      </c>
      <c r="Y168" s="363">
        <f t="shared" si="325"/>
        <v>0.35712650390625011</v>
      </c>
      <c r="Z168" s="28">
        <f t="shared" si="326"/>
        <v>0</v>
      </c>
      <c r="AA168" s="129">
        <f t="shared" si="327"/>
        <v>13.34</v>
      </c>
      <c r="AB168" s="28">
        <f t="shared" si="328"/>
        <v>3.9896183593750002E-2</v>
      </c>
      <c r="AC168" s="364">
        <f t="shared" si="329"/>
        <v>3</v>
      </c>
      <c r="AD168" s="182">
        <f t="shared" si="330"/>
        <v>0.45667983035714299</v>
      </c>
      <c r="AE168" s="1087"/>
      <c r="AF168" s="462" t="s">
        <v>1212</v>
      </c>
      <c r="AG168" s="2526"/>
      <c r="AH168" s="1343">
        <f t="shared" si="337"/>
        <v>9.797423527083815E-2</v>
      </c>
      <c r="AI168" s="1344">
        <f t="shared" si="331"/>
        <v>0</v>
      </c>
      <c r="AJ168" s="1345">
        <f t="shared" si="332"/>
        <v>3.2658078423612687E-2</v>
      </c>
      <c r="AK168" s="1345">
        <f t="shared" si="333"/>
        <v>0</v>
      </c>
      <c r="AL168" s="1345">
        <f t="shared" si="334"/>
        <v>0.78200629887017792</v>
      </c>
      <c r="AM168" s="1346">
        <f t="shared" si="335"/>
        <v>0</v>
      </c>
      <c r="AN168" s="1347">
        <f t="shared" si="336"/>
        <v>8.7361387435371293E-2</v>
      </c>
      <c r="AO168" s="1084"/>
      <c r="AP168" s="2006" t="s">
        <v>876</v>
      </c>
      <c r="AQ168" s="2006"/>
      <c r="AR168" s="2006"/>
      <c r="AS168" s="2006"/>
      <c r="AT168" s="2006"/>
      <c r="AU168" s="2006"/>
      <c r="AV168" s="2006"/>
      <c r="AW168" s="2006"/>
      <c r="AX168" s="2006"/>
      <c r="AY168" s="2006"/>
      <c r="AZ168" s="2007"/>
      <c r="BA168" s="2007"/>
      <c r="BB168" s="1722"/>
      <c r="BC168" s="1722"/>
    </row>
    <row r="169" spans="1:55" ht="15" hidden="1" customHeight="1" outlineLevel="2" x14ac:dyDescent="0.2">
      <c r="A169" s="459" t="s">
        <v>1213</v>
      </c>
      <c r="B169" s="451">
        <v>10</v>
      </c>
      <c r="C169" s="155">
        <v>2.1339999999999999</v>
      </c>
      <c r="D169" s="68">
        <v>2.1162162162162164E-2</v>
      </c>
      <c r="E169" s="27">
        <v>0</v>
      </c>
      <c r="F169" s="1931">
        <v>7.0540540540540526E-3</v>
      </c>
      <c r="G169" s="2695">
        <v>0</v>
      </c>
      <c r="H169" s="29">
        <v>0.17906793523015205</v>
      </c>
      <c r="I169" s="28">
        <v>0</v>
      </c>
      <c r="J169" s="129">
        <v>13.34</v>
      </c>
      <c r="K169" s="28">
        <v>1.8869816564611487E-2</v>
      </c>
      <c r="L169" s="146">
        <v>3</v>
      </c>
      <c r="M169" s="571">
        <v>6</v>
      </c>
      <c r="N169" s="2293">
        <v>2</v>
      </c>
      <c r="O169" s="2507" t="s">
        <v>332</v>
      </c>
      <c r="P169" s="182">
        <f t="shared" si="317"/>
        <v>0.22615396801097976</v>
      </c>
      <c r="Q169" s="1087"/>
      <c r="R169" s="3207"/>
      <c r="S169" s="3207"/>
      <c r="T169" s="129">
        <f t="shared" si="320"/>
        <v>2.1339999999999999</v>
      </c>
      <c r="U169" s="68">
        <f t="shared" si="321"/>
        <v>4.4742857142857147E-2</v>
      </c>
      <c r="V169" s="27">
        <f t="shared" si="322"/>
        <v>0</v>
      </c>
      <c r="W169" s="363">
        <f t="shared" si="323"/>
        <v>1.4914285714285712E-2</v>
      </c>
      <c r="X169" s="363">
        <f t="shared" si="324"/>
        <v>0</v>
      </c>
      <c r="Y169" s="363">
        <f t="shared" si="325"/>
        <v>0.37860077734375003</v>
      </c>
      <c r="Z169" s="28">
        <f t="shared" si="326"/>
        <v>0</v>
      </c>
      <c r="AA169" s="129">
        <f t="shared" si="327"/>
        <v>13.34</v>
      </c>
      <c r="AB169" s="28">
        <f t="shared" si="328"/>
        <v>3.9896183593750002E-2</v>
      </c>
      <c r="AC169" s="364">
        <f t="shared" si="329"/>
        <v>3</v>
      </c>
      <c r="AD169" s="182">
        <f t="shared" si="330"/>
        <v>0.4781541037946429</v>
      </c>
      <c r="AE169" s="1087"/>
      <c r="AF169" s="462" t="s">
        <v>1213</v>
      </c>
      <c r="AG169" s="2526"/>
      <c r="AH169" s="1343">
        <f t="shared" si="337"/>
        <v>9.3574136011333575E-2</v>
      </c>
      <c r="AI169" s="1344">
        <f t="shared" si="331"/>
        <v>0</v>
      </c>
      <c r="AJ169" s="1345">
        <f t="shared" si="332"/>
        <v>3.1191378670444459E-2</v>
      </c>
      <c r="AK169" s="1345">
        <f t="shared" si="333"/>
        <v>0</v>
      </c>
      <c r="AL169" s="1345">
        <f t="shared" si="334"/>
        <v>0.79179656587523728</v>
      </c>
      <c r="AM169" s="1346">
        <f t="shared" si="335"/>
        <v>0</v>
      </c>
      <c r="AN169" s="1347">
        <f t="shared" si="336"/>
        <v>8.3437919442984787E-2</v>
      </c>
      <c r="AO169" s="1084"/>
      <c r="AP169" s="2006" t="s">
        <v>876</v>
      </c>
      <c r="AQ169" s="2006"/>
      <c r="AR169" s="2006"/>
      <c r="AS169" s="2006"/>
      <c r="AT169" s="2006"/>
      <c r="AU169" s="2006"/>
      <c r="AV169" s="2006"/>
      <c r="AW169" s="2006"/>
      <c r="AX169" s="2006"/>
      <c r="AY169" s="2006"/>
      <c r="AZ169" s="2007"/>
      <c r="BA169" s="2007"/>
      <c r="BB169" s="1722"/>
      <c r="BC169" s="1722"/>
    </row>
    <row r="170" spans="1:55" ht="15" hidden="1" customHeight="1" outlineLevel="1" collapsed="1" x14ac:dyDescent="0.2">
      <c r="A170" s="457" t="s">
        <v>974</v>
      </c>
      <c r="B170" s="450" t="str">
        <f t="shared" ref="B170:K170" si="338">B$6</f>
        <v>Trips</v>
      </c>
      <c r="C170" s="172" t="str">
        <f t="shared" si="338"/>
        <v>Mbpd</v>
      </c>
      <c r="D170" s="2556" t="str">
        <f t="shared" si="338"/>
        <v>Client</v>
      </c>
      <c r="E170" s="2556" t="str">
        <f t="shared" si="338"/>
        <v>Citrix</v>
      </c>
      <c r="F170" s="2556" t="str">
        <f t="shared" si="338"/>
        <v>Web</v>
      </c>
      <c r="G170" s="2709" t="str">
        <f t="shared" si="338"/>
        <v>Portal</v>
      </c>
      <c r="H170" s="2556" t="str">
        <f t="shared" si="338"/>
        <v>SOC</v>
      </c>
      <c r="I170" s="2556" t="str">
        <f t="shared" si="338"/>
        <v>DS/MDS</v>
      </c>
      <c r="J170" s="2556" t="str">
        <f t="shared" si="338"/>
        <v>Mbpd</v>
      </c>
      <c r="K170" s="2556" t="str">
        <f t="shared" si="338"/>
        <v>DBMS</v>
      </c>
      <c r="L170" s="178" t="s">
        <v>299</v>
      </c>
      <c r="M170" s="572" t="str">
        <f>M$6</f>
        <v>DPM/c</v>
      </c>
      <c r="N170" s="2292" t="str">
        <f>N$6</f>
        <v>MT</v>
      </c>
      <c r="O170" s="2506" t="str">
        <f>O$8</f>
        <v xml:space="preserve">WF </v>
      </c>
      <c r="P170" s="181" t="s">
        <v>273</v>
      </c>
      <c r="Q170" s="1087"/>
      <c r="R170" s="181"/>
      <c r="S170" s="181"/>
      <c r="T170" s="1270" t="s">
        <v>308</v>
      </c>
      <c r="U170" s="2556" t="s">
        <v>303</v>
      </c>
      <c r="V170" s="2556" t="str">
        <f>V$6</f>
        <v xml:space="preserve">WTS </v>
      </c>
      <c r="W170" s="2556" t="str">
        <f>+W$6</f>
        <v>Web</v>
      </c>
      <c r="X170" s="2556" t="str">
        <f>+X$6</f>
        <v>Portal</v>
      </c>
      <c r="Y170" s="2556" t="s">
        <v>312</v>
      </c>
      <c r="Z170" s="2556" t="s">
        <v>330</v>
      </c>
      <c r="AA170" s="2556" t="s">
        <v>308</v>
      </c>
      <c r="AB170" s="2556" t="s">
        <v>309</v>
      </c>
      <c r="AC170" s="178" t="s">
        <v>299</v>
      </c>
      <c r="AD170" s="181" t="s">
        <v>273</v>
      </c>
      <c r="AE170" s="1087"/>
      <c r="AF170" s="404" t="str">
        <f>A170</f>
        <v>ArcGIS 10.3 for Mobile Services  =========</v>
      </c>
      <c r="AG170" s="2526"/>
      <c r="AH170" s="1339" t="str">
        <f t="shared" ref="AH170:AM170" si="339">D170</f>
        <v>Client</v>
      </c>
      <c r="AI170" s="1339" t="str">
        <f t="shared" si="339"/>
        <v>Citrix</v>
      </c>
      <c r="AJ170" s="1339" t="str">
        <f t="shared" si="339"/>
        <v>Web</v>
      </c>
      <c r="AK170" s="1339" t="str">
        <f t="shared" si="339"/>
        <v>Portal</v>
      </c>
      <c r="AL170" s="1340" t="str">
        <f t="shared" si="339"/>
        <v>SOC</v>
      </c>
      <c r="AM170" s="1341" t="str">
        <f t="shared" si="339"/>
        <v>DS/MDS</v>
      </c>
      <c r="AN170" s="1342" t="str">
        <f>K170</f>
        <v>DBMS</v>
      </c>
      <c r="AO170" s="1084"/>
      <c r="AP170" s="2006"/>
      <c r="AQ170" s="2006"/>
      <c r="AR170" s="2006"/>
      <c r="AS170" s="2006"/>
      <c r="AT170" s="2006"/>
      <c r="AU170" s="2006"/>
      <c r="AV170" s="2006"/>
      <c r="AW170" s="2006"/>
      <c r="AX170" s="2006"/>
      <c r="AY170" s="2006"/>
      <c r="AZ170" s="2007"/>
      <c r="BA170" s="2007"/>
    </row>
    <row r="171" spans="1:55" ht="15" hidden="1" customHeight="1" outlineLevel="2" x14ac:dyDescent="0.2">
      <c r="A171" s="459" t="s">
        <v>976</v>
      </c>
      <c r="B171" s="451"/>
      <c r="C171" s="155"/>
      <c r="D171" s="68">
        <v>0.11560810810810811</v>
      </c>
      <c r="E171" s="27">
        <v>0</v>
      </c>
      <c r="F171" s="30">
        <v>0</v>
      </c>
      <c r="G171" s="2710">
        <v>0</v>
      </c>
      <c r="H171" s="30">
        <v>0</v>
      </c>
      <c r="I171" s="28">
        <v>0</v>
      </c>
      <c r="J171" s="129">
        <v>0</v>
      </c>
      <c r="K171" s="28">
        <v>0</v>
      </c>
      <c r="L171" s="146">
        <v>3</v>
      </c>
      <c r="M171" s="571">
        <v>10</v>
      </c>
      <c r="N171" s="2293">
        <v>1</v>
      </c>
      <c r="O171" s="2507" t="s">
        <v>332</v>
      </c>
      <c r="P171" s="182">
        <f>SUM(D171:I171,K171)</f>
        <v>0.11560810810810811</v>
      </c>
      <c r="Q171" s="1087"/>
      <c r="R171" s="3219">
        <f t="shared" ref="R171" si="340">F171+G171</f>
        <v>0</v>
      </c>
      <c r="S171" s="3219">
        <f t="shared" ref="S171" si="341">E171+H171+K171</f>
        <v>0</v>
      </c>
      <c r="T171" s="129">
        <f>C171</f>
        <v>0</v>
      </c>
      <c r="U171" s="68">
        <f t="shared" ref="U171:Z173" si="342">D171*$K$3/$AB$3</f>
        <v>0.24442857142857141</v>
      </c>
      <c r="V171" s="27">
        <f t="shared" si="342"/>
        <v>0</v>
      </c>
      <c r="W171" s="363">
        <f t="shared" si="342"/>
        <v>0</v>
      </c>
      <c r="X171" s="363">
        <f t="shared" si="342"/>
        <v>0</v>
      </c>
      <c r="Y171" s="363">
        <f t="shared" si="342"/>
        <v>0</v>
      </c>
      <c r="Z171" s="28">
        <f t="shared" si="342"/>
        <v>0</v>
      </c>
      <c r="AA171" s="129">
        <f>J171</f>
        <v>0</v>
      </c>
      <c r="AB171" s="28">
        <f>K171*$K$3/$AB$3</f>
        <v>0</v>
      </c>
      <c r="AC171" s="364">
        <f>L171</f>
        <v>3</v>
      </c>
      <c r="AD171" s="182">
        <f>SUM(U171:Z171,AB171)</f>
        <v>0.24442857142857141</v>
      </c>
      <c r="AE171" s="1087"/>
      <c r="AF171" s="2266" t="s">
        <v>1142</v>
      </c>
      <c r="AG171" s="2526"/>
      <c r="AH171" s="1343">
        <f>1-SUM(AI171:AN171)</f>
        <v>1</v>
      </c>
      <c r="AI171" s="1344">
        <f t="shared" ref="AI171:AM173" si="343">E171/$P171</f>
        <v>0</v>
      </c>
      <c r="AJ171" s="1345">
        <f t="shared" si="343"/>
        <v>0</v>
      </c>
      <c r="AK171" s="1345">
        <f t="shared" si="343"/>
        <v>0</v>
      </c>
      <c r="AL171" s="1345">
        <f t="shared" si="343"/>
        <v>0</v>
      </c>
      <c r="AM171" s="1346">
        <f t="shared" si="343"/>
        <v>0</v>
      </c>
      <c r="AN171" s="1347">
        <f>K171/$P171</f>
        <v>0</v>
      </c>
      <c r="AO171" s="1084"/>
      <c r="AP171" s="2006"/>
      <c r="AQ171" s="2006"/>
      <c r="AR171" s="2006"/>
      <c r="AS171" s="2006"/>
      <c r="AT171" s="2006"/>
      <c r="AU171" s="2006"/>
      <c r="AV171" s="2006"/>
      <c r="AW171" s="2006"/>
      <c r="AX171" s="2006"/>
      <c r="AY171" s="2006"/>
      <c r="AZ171" s="2007"/>
      <c r="BA171" s="2007"/>
    </row>
    <row r="172" spans="1:55" ht="15" hidden="1" customHeight="1" outlineLevel="2" x14ac:dyDescent="0.2">
      <c r="A172" s="460" t="s">
        <v>977</v>
      </c>
      <c r="B172" s="451">
        <v>10</v>
      </c>
      <c r="C172" s="155">
        <v>0.5</v>
      </c>
      <c r="D172" s="68">
        <v>1.1560810810810807E-2</v>
      </c>
      <c r="E172" s="27">
        <v>0</v>
      </c>
      <c r="F172" s="30">
        <v>7.0540540540540526E-3</v>
      </c>
      <c r="G172" s="2696">
        <v>0</v>
      </c>
      <c r="H172" s="1175">
        <v>1.9594594594594594E-3</v>
      </c>
      <c r="I172" s="28">
        <v>0</v>
      </c>
      <c r="J172" s="129">
        <v>0.5</v>
      </c>
      <c r="K172" s="28">
        <v>8.7078378378378373E-4</v>
      </c>
      <c r="L172" s="146">
        <v>3</v>
      </c>
      <c r="M172" s="571">
        <v>6</v>
      </c>
      <c r="N172" s="2293">
        <v>1</v>
      </c>
      <c r="O172" s="2507" t="s">
        <v>332</v>
      </c>
      <c r="P172" s="182">
        <f>SUM(D172:I172,K172)</f>
        <v>2.1445108108108103E-2</v>
      </c>
      <c r="Q172" s="1087"/>
      <c r="R172" s="3207"/>
      <c r="S172" s="3207"/>
      <c r="T172" s="129">
        <f>C172</f>
        <v>0.5</v>
      </c>
      <c r="U172" s="68">
        <f t="shared" si="342"/>
        <v>2.4442857142857134E-2</v>
      </c>
      <c r="V172" s="27">
        <f t="shared" si="342"/>
        <v>0</v>
      </c>
      <c r="W172" s="363">
        <f t="shared" si="342"/>
        <v>1.4914285714285712E-2</v>
      </c>
      <c r="X172" s="363">
        <f t="shared" si="342"/>
        <v>0</v>
      </c>
      <c r="Y172" s="363">
        <f t="shared" si="342"/>
        <v>4.1428571428571426E-3</v>
      </c>
      <c r="Z172" s="28">
        <f t="shared" si="342"/>
        <v>0</v>
      </c>
      <c r="AA172" s="129">
        <f>J172</f>
        <v>0.5</v>
      </c>
      <c r="AB172" s="28">
        <f>K172*$K$3/$AB$3</f>
        <v>1.8410857142857142E-3</v>
      </c>
      <c r="AC172" s="364">
        <f>L172</f>
        <v>3</v>
      </c>
      <c r="AD172" s="182">
        <f>SUM(U172:Z172,AB172)</f>
        <v>4.5341085714285703E-2</v>
      </c>
      <c r="AE172" s="1087"/>
      <c r="AF172" s="1166" t="s">
        <v>1067</v>
      </c>
      <c r="AG172" s="2526"/>
      <c r="AH172" s="1343">
        <f>1-SUM(AI172:AN172)</f>
        <v>0.53908848360805528</v>
      </c>
      <c r="AI172" s="1344">
        <f t="shared" si="343"/>
        <v>0</v>
      </c>
      <c r="AJ172" s="1345">
        <f t="shared" si="343"/>
        <v>0.3289353459303388</v>
      </c>
      <c r="AK172" s="1345">
        <f t="shared" si="343"/>
        <v>0</v>
      </c>
      <c r="AL172" s="1345">
        <f t="shared" si="343"/>
        <v>9.137092942509413E-2</v>
      </c>
      <c r="AM172" s="1346">
        <f t="shared" si="343"/>
        <v>0</v>
      </c>
      <c r="AN172" s="1347">
        <f>K172/$P172</f>
        <v>4.0605241036511829E-2</v>
      </c>
      <c r="AO172" s="1084"/>
      <c r="AP172" s="2006"/>
      <c r="AQ172" s="2006"/>
      <c r="AR172" s="2006"/>
      <c r="AS172" s="2006"/>
      <c r="AT172" s="2006"/>
      <c r="AU172" s="2006"/>
      <c r="AV172" s="2006"/>
      <c r="AW172" s="2006"/>
      <c r="AX172" s="2006"/>
      <c r="AY172" s="2006"/>
      <c r="AZ172" s="2007"/>
      <c r="BA172" s="2007"/>
    </row>
    <row r="173" spans="1:55" ht="15" hidden="1" customHeight="1" outlineLevel="2" x14ac:dyDescent="0.2">
      <c r="A173" s="460" t="s">
        <v>978</v>
      </c>
      <c r="B173" s="451">
        <v>10</v>
      </c>
      <c r="C173" s="155">
        <v>5</v>
      </c>
      <c r="D173" s="68">
        <v>0.11560810810810811</v>
      </c>
      <c r="E173" s="27">
        <v>0</v>
      </c>
      <c r="F173" s="30">
        <v>7.0540540540540526E-3</v>
      </c>
      <c r="G173" s="2696">
        <v>0</v>
      </c>
      <c r="H173" s="1175">
        <v>1.9594594594594596E-2</v>
      </c>
      <c r="I173" s="28">
        <v>0</v>
      </c>
      <c r="J173" s="129">
        <v>5</v>
      </c>
      <c r="K173" s="28">
        <v>8.7078378378378386E-3</v>
      </c>
      <c r="L173" s="146">
        <v>3</v>
      </c>
      <c r="M173" s="571">
        <v>6</v>
      </c>
      <c r="N173" s="2293">
        <v>1</v>
      </c>
      <c r="O173" s="2507" t="s">
        <v>332</v>
      </c>
      <c r="P173" s="182">
        <f>SUM(D173:I173,K173)</f>
        <v>0.1509645945945946</v>
      </c>
      <c r="Q173" s="1087"/>
      <c r="R173" s="3207"/>
      <c r="S173" s="3207"/>
      <c r="T173" s="129">
        <f>C173</f>
        <v>5</v>
      </c>
      <c r="U173" s="68">
        <f t="shared" si="342"/>
        <v>0.24442857142857141</v>
      </c>
      <c r="V173" s="27">
        <f t="shared" si="342"/>
        <v>0</v>
      </c>
      <c r="W173" s="363">
        <f t="shared" si="342"/>
        <v>1.4914285714285712E-2</v>
      </c>
      <c r="X173" s="363">
        <f t="shared" si="342"/>
        <v>0</v>
      </c>
      <c r="Y173" s="363">
        <f t="shared" si="342"/>
        <v>4.1428571428571433E-2</v>
      </c>
      <c r="Z173" s="28">
        <f t="shared" si="342"/>
        <v>0</v>
      </c>
      <c r="AA173" s="129">
        <f>J173</f>
        <v>5</v>
      </c>
      <c r="AB173" s="28">
        <f>K173*$K$3/$AB$3</f>
        <v>1.8410857142857145E-2</v>
      </c>
      <c r="AC173" s="364">
        <f>L173</f>
        <v>3</v>
      </c>
      <c r="AD173" s="182">
        <f>SUM(U173:Z173,AB173)</f>
        <v>0.31918228571428564</v>
      </c>
      <c r="AE173" s="1087"/>
      <c r="AF173" s="1166" t="s">
        <v>1141</v>
      </c>
      <c r="AG173" s="2526"/>
      <c r="AH173" s="1343">
        <f>1-SUM(AI173:AN173)</f>
        <v>0.76579616842323872</v>
      </c>
      <c r="AI173" s="1344">
        <f t="shared" si="343"/>
        <v>0</v>
      </c>
      <c r="AJ173" s="1345">
        <f t="shared" si="343"/>
        <v>4.6726545869892513E-2</v>
      </c>
      <c r="AK173" s="1345">
        <f t="shared" si="343"/>
        <v>0</v>
      </c>
      <c r="AL173" s="1345">
        <f t="shared" si="343"/>
        <v>0.12979596074970146</v>
      </c>
      <c r="AM173" s="1346">
        <f t="shared" si="343"/>
        <v>0</v>
      </c>
      <c r="AN173" s="1347">
        <f>K173/$P173</f>
        <v>5.7681324957167338E-2</v>
      </c>
      <c r="AO173" s="1084"/>
      <c r="AP173" s="2006"/>
      <c r="AQ173" s="2006"/>
      <c r="AR173" s="2006"/>
      <c r="AS173" s="2006"/>
      <c r="AT173" s="2006"/>
      <c r="AU173" s="2006"/>
      <c r="AV173" s="2006"/>
      <c r="AW173" s="2006"/>
      <c r="AX173" s="2006"/>
      <c r="AY173" s="2006"/>
      <c r="AZ173" s="2007"/>
      <c r="BA173" s="2007"/>
    </row>
    <row r="174" spans="1:55" ht="15" hidden="1" customHeight="1" outlineLevel="1" collapsed="1" x14ac:dyDescent="0.2">
      <c r="A174" s="457" t="s">
        <v>975</v>
      </c>
      <c r="B174" s="450" t="str">
        <f t="shared" ref="B174:C174" si="344">B$6</f>
        <v>Trips</v>
      </c>
      <c r="C174" s="172" t="str">
        <f t="shared" si="344"/>
        <v>Mbpd</v>
      </c>
      <c r="D174" s="2556" t="s">
        <v>303</v>
      </c>
      <c r="E174" s="2556" t="s">
        <v>9</v>
      </c>
      <c r="F174" s="2556" t="s">
        <v>304</v>
      </c>
      <c r="G174" s="2709" t="s">
        <v>970</v>
      </c>
      <c r="H174" s="2556" t="s">
        <v>312</v>
      </c>
      <c r="I174" s="2556" t="s">
        <v>330</v>
      </c>
      <c r="J174" s="2556" t="s">
        <v>308</v>
      </c>
      <c r="K174" s="2556" t="s">
        <v>309</v>
      </c>
      <c r="L174" s="178" t="s">
        <v>299</v>
      </c>
      <c r="M174" s="572" t="str">
        <f>M$6</f>
        <v>DPM/c</v>
      </c>
      <c r="N174" s="2292" t="str">
        <f>N$6</f>
        <v>MT</v>
      </c>
      <c r="O174" s="2506" t="str">
        <f>O$8</f>
        <v xml:space="preserve">WF </v>
      </c>
      <c r="P174" s="181" t="s">
        <v>273</v>
      </c>
      <c r="Q174" s="1087"/>
      <c r="R174" s="181"/>
      <c r="S174" s="181"/>
      <c r="T174" s="1270" t="s">
        <v>308</v>
      </c>
      <c r="U174" s="2556" t="s">
        <v>303</v>
      </c>
      <c r="V174" s="2556" t="str">
        <f>V$6</f>
        <v xml:space="preserve">WTS </v>
      </c>
      <c r="W174" s="2556" t="str">
        <f>+W$6</f>
        <v>Web</v>
      </c>
      <c r="X174" s="2556" t="str">
        <f>+X$6</f>
        <v>Portal</v>
      </c>
      <c r="Y174" s="2556" t="s">
        <v>312</v>
      </c>
      <c r="Z174" s="2556" t="s">
        <v>330</v>
      </c>
      <c r="AA174" s="2556" t="s">
        <v>308</v>
      </c>
      <c r="AB174" s="2556" t="s">
        <v>309</v>
      </c>
      <c r="AC174" s="178" t="s">
        <v>299</v>
      </c>
      <c r="AD174" s="181" t="s">
        <v>273</v>
      </c>
      <c r="AE174" s="1087"/>
      <c r="AF174" s="1168" t="str">
        <f>A174</f>
        <v>ArcGIS 10.3 for Server Image Services  =========</v>
      </c>
      <c r="AG174" s="2526"/>
      <c r="AH174" s="1339" t="str">
        <f t="shared" ref="AH174:AM174" si="345">D174</f>
        <v>Client</v>
      </c>
      <c r="AI174" s="1339" t="str">
        <f t="shared" si="345"/>
        <v xml:space="preserve">WTS </v>
      </c>
      <c r="AJ174" s="1339" t="str">
        <f t="shared" si="345"/>
        <v>Web</v>
      </c>
      <c r="AK174" s="1339" t="str">
        <f t="shared" si="345"/>
        <v>Portal</v>
      </c>
      <c r="AL174" s="1340" t="str">
        <f t="shared" si="345"/>
        <v>SOC</v>
      </c>
      <c r="AM174" s="1341" t="str">
        <f t="shared" si="345"/>
        <v>SDE</v>
      </c>
      <c r="AN174" s="1342" t="str">
        <f>K174</f>
        <v>DBMS</v>
      </c>
      <c r="AO174" s="1084"/>
      <c r="AP174" s="2006"/>
      <c r="AQ174" s="2006"/>
      <c r="AR174" s="2006"/>
      <c r="AS174" s="2006"/>
      <c r="AT174" s="2006"/>
      <c r="AU174" s="2006"/>
      <c r="AV174" s="2006"/>
      <c r="AW174" s="2006"/>
      <c r="AX174" s="2006"/>
      <c r="AY174" s="2006"/>
      <c r="AZ174" s="2007"/>
      <c r="BA174" s="2007"/>
    </row>
    <row r="175" spans="1:55" ht="15" hidden="1" customHeight="1" outlineLevel="2" x14ac:dyDescent="0.2">
      <c r="A175" s="678" t="s">
        <v>1297</v>
      </c>
      <c r="B175" s="451">
        <v>10</v>
      </c>
      <c r="C175" s="155">
        <v>2.6680000000000001</v>
      </c>
      <c r="D175" s="68">
        <v>2.1162162162162164E-2</v>
      </c>
      <c r="E175" s="27">
        <v>0</v>
      </c>
      <c r="F175" s="30">
        <v>7.0540540540540526E-3</v>
      </c>
      <c r="G175" s="2696">
        <v>0</v>
      </c>
      <c r="H175" s="1175">
        <v>3.3544453388935809E-2</v>
      </c>
      <c r="I175" s="1176">
        <v>4.1930566736169761E-3</v>
      </c>
      <c r="J175" s="129">
        <v>6.67</v>
      </c>
      <c r="K175" s="28">
        <v>4.1930566736169761E-3</v>
      </c>
      <c r="L175" s="146">
        <v>3</v>
      </c>
      <c r="M175" s="571">
        <v>6</v>
      </c>
      <c r="N175" s="2293">
        <v>1</v>
      </c>
      <c r="O175" s="2507" t="s">
        <v>541</v>
      </c>
      <c r="P175" s="182">
        <f>SUM(D175:I175,K175)</f>
        <v>7.0146782952385994E-2</v>
      </c>
      <c r="Q175" s="2527"/>
      <c r="R175" s="3219">
        <f t="shared" ref="R175" si="346">F175+G175</f>
        <v>7.0540540540540526E-3</v>
      </c>
      <c r="S175" s="3219">
        <f t="shared" ref="S175" si="347">E175+H175+K175</f>
        <v>3.7737510062552784E-2</v>
      </c>
      <c r="T175" s="129">
        <f>C175</f>
        <v>2.6680000000000001</v>
      </c>
      <c r="U175" s="68">
        <f t="shared" ref="U175:Z177" si="348">D175*$K$3/$AB$3</f>
        <v>4.4742857142857147E-2</v>
      </c>
      <c r="V175" s="27">
        <f t="shared" si="348"/>
        <v>0</v>
      </c>
      <c r="W175" s="363">
        <f t="shared" si="348"/>
        <v>1.4914285714285712E-2</v>
      </c>
      <c r="X175" s="363">
        <f t="shared" si="348"/>
        <v>0</v>
      </c>
      <c r="Y175" s="363">
        <f t="shared" si="348"/>
        <v>7.092255859374999E-2</v>
      </c>
      <c r="Z175" s="28">
        <f t="shared" si="348"/>
        <v>8.8653198242187488E-3</v>
      </c>
      <c r="AA175" s="129">
        <f>J175</f>
        <v>6.67</v>
      </c>
      <c r="AB175" s="28">
        <f>K175*$K$3/$AB$3</f>
        <v>8.8653198242187488E-3</v>
      </c>
      <c r="AC175" s="364">
        <f>L175</f>
        <v>3</v>
      </c>
      <c r="AD175" s="182">
        <f>SUM(U175:Z175,AB175)</f>
        <v>0.14831034109933036</v>
      </c>
      <c r="AE175" s="1087"/>
      <c r="AF175" s="1166" t="s">
        <v>1297</v>
      </c>
      <c r="AG175" s="2526"/>
      <c r="AH175" s="1343">
        <f>1-SUM(AI175:AN175)</f>
        <v>0.30168400133939943</v>
      </c>
      <c r="AI175" s="1344">
        <f t="shared" ref="AI175:AM177" si="349">E175/$P175</f>
        <v>0</v>
      </c>
      <c r="AJ175" s="1345">
        <f t="shared" si="349"/>
        <v>0.10056133377979971</v>
      </c>
      <c r="AK175" s="1345">
        <f t="shared" si="349"/>
        <v>0</v>
      </c>
      <c r="AL175" s="1345">
        <f t="shared" si="349"/>
        <v>0.47820373190464066</v>
      </c>
      <c r="AM175" s="1346">
        <f t="shared" si="349"/>
        <v>5.9775466488080083E-2</v>
      </c>
      <c r="AN175" s="1347">
        <f>K175/$P175</f>
        <v>5.9775466488080083E-2</v>
      </c>
      <c r="AO175" s="1084"/>
      <c r="AP175" s="2006" t="s">
        <v>877</v>
      </c>
      <c r="AQ175" s="2006"/>
      <c r="AR175" s="2006"/>
      <c r="AS175" s="2006"/>
      <c r="AT175" s="2006"/>
      <c r="AU175" s="2006"/>
      <c r="AV175" s="2006"/>
      <c r="AW175" s="2006"/>
      <c r="AX175" s="2006"/>
      <c r="AY175" s="2006"/>
      <c r="AZ175" s="2007"/>
      <c r="BA175" s="2007"/>
    </row>
    <row r="176" spans="1:55" ht="15" hidden="1" customHeight="1" outlineLevel="2" x14ac:dyDescent="0.2">
      <c r="A176" s="678" t="s">
        <v>1256</v>
      </c>
      <c r="B176" s="451">
        <v>10</v>
      </c>
      <c r="C176" s="155">
        <v>2.6680000000000001</v>
      </c>
      <c r="D176" s="68">
        <v>2.1162162162162164E-2</v>
      </c>
      <c r="E176" s="27">
        <v>0</v>
      </c>
      <c r="F176" s="30">
        <v>7.0540540540540526E-3</v>
      </c>
      <c r="G176" s="2696">
        <v>0</v>
      </c>
      <c r="H176" s="1175">
        <v>6.7088906777871618E-2</v>
      </c>
      <c r="I176" s="1176">
        <v>8.3861133472339523E-3</v>
      </c>
      <c r="J176" s="129">
        <v>13.34</v>
      </c>
      <c r="K176" s="28">
        <v>8.3861133472339523E-3</v>
      </c>
      <c r="L176" s="146">
        <v>3</v>
      </c>
      <c r="M176" s="571">
        <v>6</v>
      </c>
      <c r="N176" s="2293">
        <v>1</v>
      </c>
      <c r="O176" s="2507" t="s">
        <v>541</v>
      </c>
      <c r="P176" s="182">
        <f>SUM(D176:I176,K176)</f>
        <v>0.11207734968855573</v>
      </c>
      <c r="Q176" s="2527"/>
      <c r="R176" s="3213"/>
      <c r="S176" s="3213"/>
      <c r="T176" s="129">
        <f>C176</f>
        <v>2.6680000000000001</v>
      </c>
      <c r="U176" s="68">
        <f t="shared" si="348"/>
        <v>4.4742857142857147E-2</v>
      </c>
      <c r="V176" s="27">
        <f t="shared" si="348"/>
        <v>0</v>
      </c>
      <c r="W176" s="363">
        <f t="shared" si="348"/>
        <v>1.4914285714285712E-2</v>
      </c>
      <c r="X176" s="363">
        <f t="shared" si="348"/>
        <v>0</v>
      </c>
      <c r="Y176" s="363">
        <f t="shared" si="348"/>
        <v>0.14184511718749998</v>
      </c>
      <c r="Z176" s="28">
        <f t="shared" si="348"/>
        <v>1.7730639648437498E-2</v>
      </c>
      <c r="AA176" s="129">
        <f>J176</f>
        <v>13.34</v>
      </c>
      <c r="AB176" s="28">
        <f>K176*$K$3/$AB$3</f>
        <v>1.7730639648437498E-2</v>
      </c>
      <c r="AC176" s="364">
        <f>L176</f>
        <v>3</v>
      </c>
      <c r="AD176" s="182">
        <f>SUM(U176:Z176,AB176)</f>
        <v>0.23696353934151781</v>
      </c>
      <c r="AE176" s="1087"/>
      <c r="AF176" s="1166" t="s">
        <v>1256</v>
      </c>
      <c r="AG176" s="2526"/>
      <c r="AH176" s="1343">
        <f>1-SUM(AI176:AN176)</f>
        <v>0.18881747490432521</v>
      </c>
      <c r="AI176" s="1344">
        <f t="shared" si="349"/>
        <v>0</v>
      </c>
      <c r="AJ176" s="1345">
        <f t="shared" si="349"/>
        <v>6.2939158301441755E-2</v>
      </c>
      <c r="AK176" s="1345">
        <f t="shared" si="349"/>
        <v>0</v>
      </c>
      <c r="AL176" s="1345">
        <f t="shared" si="349"/>
        <v>0.5985946934353864</v>
      </c>
      <c r="AM176" s="1346">
        <f t="shared" si="349"/>
        <v>7.4824336679423301E-2</v>
      </c>
      <c r="AN176" s="1347">
        <f>K176/$P176</f>
        <v>7.4824336679423301E-2</v>
      </c>
      <c r="AO176" s="1084"/>
      <c r="AP176" s="2006" t="s">
        <v>877</v>
      </c>
      <c r="AQ176" s="2006"/>
      <c r="AR176" s="2006"/>
      <c r="AS176" s="2006"/>
      <c r="AT176" s="2006"/>
      <c r="AU176" s="2006"/>
      <c r="AV176" s="2006"/>
      <c r="AW176" s="2006"/>
      <c r="AX176" s="2006"/>
      <c r="AY176" s="2006"/>
      <c r="AZ176" s="2007"/>
      <c r="BA176" s="2007"/>
    </row>
    <row r="177" spans="1:55" ht="15" hidden="1" customHeight="1" outlineLevel="2" x14ac:dyDescent="0.2">
      <c r="A177" s="678" t="s">
        <v>1257</v>
      </c>
      <c r="B177" s="451">
        <v>10</v>
      </c>
      <c r="C177" s="155">
        <v>2.6680000000000001</v>
      </c>
      <c r="D177" s="68">
        <v>2.1162162162162164E-2</v>
      </c>
      <c r="E177" s="27">
        <v>0</v>
      </c>
      <c r="F177" s="30">
        <v>7.0540540540540526E-3</v>
      </c>
      <c r="G177" s="2696">
        <v>0</v>
      </c>
      <c r="H177" s="1175">
        <v>0.10063336016680743</v>
      </c>
      <c r="I177" s="1176">
        <v>1.2579170020850929E-2</v>
      </c>
      <c r="J177" s="129">
        <v>20.010000000000002</v>
      </c>
      <c r="K177" s="28">
        <v>1.2579170020850929E-2</v>
      </c>
      <c r="L177" s="146">
        <v>3</v>
      </c>
      <c r="M177" s="571">
        <v>6</v>
      </c>
      <c r="N177" s="2293">
        <v>1</v>
      </c>
      <c r="O177" s="2507" t="s">
        <v>541</v>
      </c>
      <c r="P177" s="182">
        <f>SUM(D177:I177,K177)</f>
        <v>0.15400791642472553</v>
      </c>
      <c r="Q177" s="1087"/>
      <c r="R177" s="3207"/>
      <c r="S177" s="3207"/>
      <c r="T177" s="129">
        <f>C177</f>
        <v>2.6680000000000001</v>
      </c>
      <c r="U177" s="68">
        <f t="shared" si="348"/>
        <v>4.4742857142857147E-2</v>
      </c>
      <c r="V177" s="27">
        <f t="shared" si="348"/>
        <v>0</v>
      </c>
      <c r="W177" s="363">
        <f t="shared" si="348"/>
        <v>1.4914285714285712E-2</v>
      </c>
      <c r="X177" s="363">
        <f t="shared" si="348"/>
        <v>0</v>
      </c>
      <c r="Y177" s="363">
        <f t="shared" si="348"/>
        <v>0.21276767578125</v>
      </c>
      <c r="Z177" s="28">
        <f t="shared" si="348"/>
        <v>2.659595947265625E-2</v>
      </c>
      <c r="AA177" s="129">
        <f>J177</f>
        <v>20.010000000000002</v>
      </c>
      <c r="AB177" s="28">
        <f>K177*$K$3/$AB$3</f>
        <v>2.659595947265625E-2</v>
      </c>
      <c r="AC177" s="364">
        <f>L177</f>
        <v>3</v>
      </c>
      <c r="AD177" s="182">
        <f>SUM(U177:Z177,AB177)</f>
        <v>0.32561673758370535</v>
      </c>
      <c r="AE177" s="1087"/>
      <c r="AF177" s="1166" t="s">
        <v>1257</v>
      </c>
      <c r="AG177" s="2526"/>
      <c r="AH177" s="1343">
        <f>1-SUM(AI177:AN177)</f>
        <v>0.13740957382866503</v>
      </c>
      <c r="AI177" s="1344">
        <f t="shared" si="349"/>
        <v>0</v>
      </c>
      <c r="AJ177" s="1345">
        <f t="shared" si="349"/>
        <v>4.5803191276221594E-2</v>
      </c>
      <c r="AK177" s="1345">
        <f t="shared" si="349"/>
        <v>0</v>
      </c>
      <c r="AL177" s="1345">
        <f t="shared" si="349"/>
        <v>0.65342978791609074</v>
      </c>
      <c r="AM177" s="1346">
        <f t="shared" si="349"/>
        <v>8.1678723489511343E-2</v>
      </c>
      <c r="AN177" s="1347">
        <f>K177/$P177</f>
        <v>8.1678723489511343E-2</v>
      </c>
      <c r="AO177" s="1084"/>
      <c r="AP177" s="2006"/>
      <c r="AQ177" s="2006"/>
      <c r="AR177" s="2006"/>
      <c r="AS177" s="2006"/>
      <c r="AT177" s="2006"/>
      <c r="AU177" s="2006"/>
      <c r="AV177" s="2006"/>
      <c r="AW177" s="2006"/>
      <c r="AX177" s="2006"/>
      <c r="AY177" s="2006"/>
      <c r="AZ177" s="2007"/>
      <c r="BA177" s="2007"/>
    </row>
    <row r="178" spans="1:55" ht="15" hidden="1" customHeight="1" outlineLevel="1" collapsed="1" x14ac:dyDescent="0.2">
      <c r="A178" s="457" t="s">
        <v>793</v>
      </c>
      <c r="B178" s="450" t="str">
        <f t="shared" ref="B178:C178" si="350">B$6</f>
        <v>Trips</v>
      </c>
      <c r="C178" s="172" t="str">
        <f t="shared" si="350"/>
        <v>Mbpd</v>
      </c>
      <c r="D178" s="2556" t="s">
        <v>303</v>
      </c>
      <c r="E178" s="2556" t="s">
        <v>9</v>
      </c>
      <c r="F178" s="2556" t="s">
        <v>304</v>
      </c>
      <c r="G178" s="2709" t="s">
        <v>970</v>
      </c>
      <c r="H178" s="2556" t="s">
        <v>312</v>
      </c>
      <c r="I178" s="2556" t="s">
        <v>330</v>
      </c>
      <c r="J178" s="2556" t="s">
        <v>308</v>
      </c>
      <c r="K178" s="2556" t="s">
        <v>309</v>
      </c>
      <c r="L178" s="178" t="s">
        <v>299</v>
      </c>
      <c r="M178" s="572" t="str">
        <f>M$6</f>
        <v>DPM/c</v>
      </c>
      <c r="N178" s="2292" t="str">
        <f>N$6</f>
        <v>MT</v>
      </c>
      <c r="O178" s="2506" t="str">
        <f>O$8</f>
        <v xml:space="preserve">WF </v>
      </c>
      <c r="P178" s="181" t="s">
        <v>273</v>
      </c>
      <c r="Q178" s="1087"/>
      <c r="R178" s="181"/>
      <c r="S178" s="181"/>
      <c r="T178" s="1270" t="s">
        <v>308</v>
      </c>
      <c r="U178" s="2556" t="s">
        <v>303</v>
      </c>
      <c r="V178" s="2556" t="str">
        <f>V$6</f>
        <v xml:space="preserve">WTS </v>
      </c>
      <c r="W178" s="2556" t="str">
        <f>+W$6</f>
        <v>Web</v>
      </c>
      <c r="X178" s="2556" t="str">
        <f>+X$6</f>
        <v>Portal</v>
      </c>
      <c r="Y178" s="2556" t="s">
        <v>312</v>
      </c>
      <c r="Z178" s="2556" t="s">
        <v>330</v>
      </c>
      <c r="AA178" s="2556" t="s">
        <v>308</v>
      </c>
      <c r="AB178" s="2556" t="s">
        <v>309</v>
      </c>
      <c r="AC178" s="178" t="s">
        <v>299</v>
      </c>
      <c r="AD178" s="181" t="s">
        <v>273</v>
      </c>
      <c r="AE178" s="2583"/>
      <c r="AF178" s="404" t="str">
        <f>A178</f>
        <v>ArcGIS for Desktop 10.2  =========</v>
      </c>
      <c r="AG178" s="2526"/>
      <c r="AH178" s="1339" t="str">
        <f t="shared" ref="AH178:AM178" si="351">D178</f>
        <v>Client</v>
      </c>
      <c r="AI178" s="1339" t="str">
        <f t="shared" si="351"/>
        <v xml:space="preserve">WTS </v>
      </c>
      <c r="AJ178" s="1339" t="str">
        <f t="shared" si="351"/>
        <v>Web</v>
      </c>
      <c r="AK178" s="1339" t="str">
        <f t="shared" si="351"/>
        <v>Portal</v>
      </c>
      <c r="AL178" s="1340" t="str">
        <f t="shared" si="351"/>
        <v>SOC</v>
      </c>
      <c r="AM178" s="1341" t="str">
        <f t="shared" si="351"/>
        <v>SDE</v>
      </c>
      <c r="AN178" s="1342" t="str">
        <f>K178</f>
        <v>DBMS</v>
      </c>
      <c r="AO178" s="1084"/>
      <c r="AP178" s="2006"/>
      <c r="AQ178" s="2006"/>
      <c r="AR178" s="2006"/>
      <c r="AS178" s="2006"/>
      <c r="AT178" s="2006"/>
      <c r="AU178" s="2006"/>
      <c r="AV178" s="2006"/>
      <c r="AW178" s="2006"/>
      <c r="AX178" s="2006"/>
      <c r="AY178" s="2006"/>
      <c r="AZ178" s="2007"/>
      <c r="BA178" s="2007"/>
    </row>
    <row r="179" spans="1:55" ht="15.75" hidden="1" customHeight="1" outlineLevel="2" x14ac:dyDescent="0.2">
      <c r="A179" s="458" t="s">
        <v>1091</v>
      </c>
      <c r="B179" s="451">
        <v>100</v>
      </c>
      <c r="C179" s="155">
        <v>13.183999999999999</v>
      </c>
      <c r="D179" s="68">
        <v>0.14483129882812498</v>
      </c>
      <c r="E179" s="27">
        <v>0</v>
      </c>
      <c r="F179" s="29">
        <v>0</v>
      </c>
      <c r="G179" s="2695">
        <v>0</v>
      </c>
      <c r="H179" s="29">
        <v>0</v>
      </c>
      <c r="I179" s="28">
        <v>1.8103912353515623E-2</v>
      </c>
      <c r="J179" s="129">
        <v>13.183999999999999</v>
      </c>
      <c r="K179" s="28">
        <v>1.8103912353515623E-2</v>
      </c>
      <c r="L179" s="146">
        <v>3</v>
      </c>
      <c r="M179" s="571">
        <v>10</v>
      </c>
      <c r="N179" s="2293">
        <v>1</v>
      </c>
      <c r="O179" s="2507" t="s">
        <v>336</v>
      </c>
      <c r="P179" s="182">
        <f t="shared" ref="P179:P184" si="352">SUM(D179:I179,K179)</f>
        <v>0.18103912353515625</v>
      </c>
      <c r="Q179" s="2527"/>
      <c r="R179" s="3219">
        <f t="shared" ref="R179" si="353">F179+G179</f>
        <v>0</v>
      </c>
      <c r="S179" s="3219">
        <f t="shared" ref="S179" si="354">E179+H179+K179</f>
        <v>1.8103912353515623E-2</v>
      </c>
      <c r="T179" s="129">
        <f t="shared" ref="T179:T184" si="355">C179</f>
        <v>13.183999999999999</v>
      </c>
      <c r="U179" s="68">
        <f t="shared" ref="U179:Z184" si="356">D179*$K$3/$AB$3</f>
        <v>0.30621474609374999</v>
      </c>
      <c r="V179" s="27">
        <f t="shared" si="356"/>
        <v>0</v>
      </c>
      <c r="W179" s="363">
        <f t="shared" si="356"/>
        <v>0</v>
      </c>
      <c r="X179" s="363">
        <f t="shared" si="356"/>
        <v>0</v>
      </c>
      <c r="Y179" s="363">
        <f t="shared" si="356"/>
        <v>0</v>
      </c>
      <c r="Z179" s="28">
        <f t="shared" si="356"/>
        <v>3.8276843261718749E-2</v>
      </c>
      <c r="AA179" s="129">
        <f t="shared" ref="AA179:AA184" si="357">J179</f>
        <v>13.183999999999999</v>
      </c>
      <c r="AB179" s="28">
        <f t="shared" ref="AB179:AB184" si="358">K179*$K$3/$AB$3</f>
        <v>3.8276843261718749E-2</v>
      </c>
      <c r="AC179" s="364">
        <f t="shared" ref="AC179:AC184" si="359">L179</f>
        <v>3</v>
      </c>
      <c r="AD179" s="182">
        <f t="shared" ref="AD179:AD184" si="360">SUM(U179:Z179,AB179)</f>
        <v>0.38276843261718752</v>
      </c>
      <c r="AE179" s="1087"/>
      <c r="AF179" s="463" t="s">
        <v>1091</v>
      </c>
      <c r="AG179" s="2526"/>
      <c r="AH179" s="1343">
        <f t="shared" ref="AH179:AH184" si="361">1-SUM(AI179:AN179)</f>
        <v>0.8</v>
      </c>
      <c r="AI179" s="1344">
        <f t="shared" ref="AI179:AM184" si="362">E179/$P179</f>
        <v>0</v>
      </c>
      <c r="AJ179" s="1345">
        <f t="shared" si="362"/>
        <v>0</v>
      </c>
      <c r="AK179" s="1345">
        <f t="shared" si="362"/>
        <v>0</v>
      </c>
      <c r="AL179" s="1345">
        <f t="shared" si="362"/>
        <v>0</v>
      </c>
      <c r="AM179" s="1346">
        <f t="shared" si="362"/>
        <v>9.9999999999999992E-2</v>
      </c>
      <c r="AN179" s="1347">
        <f t="shared" ref="AN179:AN184" si="363">K179/$P179</f>
        <v>9.9999999999999992E-2</v>
      </c>
      <c r="AO179" s="1084"/>
      <c r="AP179" s="2006" t="s">
        <v>872</v>
      </c>
      <c r="AQ179" s="2006"/>
      <c r="AR179" s="2006"/>
      <c r="AS179" s="2006"/>
      <c r="AT179" s="2006"/>
      <c r="AU179" s="2006"/>
      <c r="AV179" s="2006"/>
      <c r="AW179" s="2006"/>
      <c r="AX179" s="2006"/>
      <c r="AY179" s="2006"/>
      <c r="AZ179" s="2007"/>
      <c r="BA179" s="2007"/>
    </row>
    <row r="180" spans="1:55" ht="15" hidden="1" customHeight="1" outlineLevel="2" x14ac:dyDescent="0.2">
      <c r="A180" s="458" t="s">
        <v>1092</v>
      </c>
      <c r="B180" s="451">
        <v>200</v>
      </c>
      <c r="C180" s="155">
        <v>26.367000000000001</v>
      </c>
      <c r="D180" s="68">
        <v>0.28966259765624996</v>
      </c>
      <c r="E180" s="27">
        <v>0</v>
      </c>
      <c r="F180" s="29">
        <v>0</v>
      </c>
      <c r="G180" s="2695">
        <v>0</v>
      </c>
      <c r="H180" s="29">
        <v>0</v>
      </c>
      <c r="I180" s="28">
        <v>3.6207824707031246E-2</v>
      </c>
      <c r="J180" s="129">
        <v>26.367000000000001</v>
      </c>
      <c r="K180" s="28">
        <v>3.6207824707031246E-2</v>
      </c>
      <c r="L180" s="146">
        <v>3</v>
      </c>
      <c r="M180" s="571">
        <v>10</v>
      </c>
      <c r="N180" s="2293">
        <v>1</v>
      </c>
      <c r="O180" s="2507" t="s">
        <v>336</v>
      </c>
      <c r="P180" s="182">
        <f t="shared" si="352"/>
        <v>0.3620782470703125</v>
      </c>
      <c r="Q180" s="1087"/>
      <c r="R180" s="3207"/>
      <c r="S180" s="3207"/>
      <c r="T180" s="129">
        <f t="shared" si="355"/>
        <v>26.367000000000001</v>
      </c>
      <c r="U180" s="68">
        <f t="shared" si="356"/>
        <v>0.61242949218749998</v>
      </c>
      <c r="V180" s="27">
        <f t="shared" si="356"/>
        <v>0</v>
      </c>
      <c r="W180" s="363">
        <f t="shared" si="356"/>
        <v>0</v>
      </c>
      <c r="X180" s="363">
        <f t="shared" si="356"/>
        <v>0</v>
      </c>
      <c r="Y180" s="363">
        <f t="shared" si="356"/>
        <v>0</v>
      </c>
      <c r="Z180" s="28">
        <f t="shared" si="356"/>
        <v>7.6553686523437497E-2</v>
      </c>
      <c r="AA180" s="129">
        <f t="shared" si="357"/>
        <v>26.367000000000001</v>
      </c>
      <c r="AB180" s="28">
        <f t="shared" si="358"/>
        <v>7.6553686523437497E-2</v>
      </c>
      <c r="AC180" s="364">
        <f t="shared" si="359"/>
        <v>3</v>
      </c>
      <c r="AD180" s="182">
        <f t="shared" si="360"/>
        <v>0.76553686523437503</v>
      </c>
      <c r="AE180" s="1087"/>
      <c r="AF180" s="463" t="s">
        <v>1092</v>
      </c>
      <c r="AG180" s="2526"/>
      <c r="AH180" s="1343">
        <f t="shared" si="361"/>
        <v>0.8</v>
      </c>
      <c r="AI180" s="1344">
        <f t="shared" si="362"/>
        <v>0</v>
      </c>
      <c r="AJ180" s="1345">
        <f t="shared" si="362"/>
        <v>0</v>
      </c>
      <c r="AK180" s="1345">
        <f t="shared" si="362"/>
        <v>0</v>
      </c>
      <c r="AL180" s="1345">
        <f t="shared" si="362"/>
        <v>0</v>
      </c>
      <c r="AM180" s="1346">
        <f t="shared" si="362"/>
        <v>9.9999999999999992E-2</v>
      </c>
      <c r="AN180" s="1347">
        <f t="shared" si="363"/>
        <v>9.9999999999999992E-2</v>
      </c>
      <c r="AO180" s="1084"/>
      <c r="AP180" s="2006"/>
      <c r="AQ180" s="2006"/>
      <c r="AR180" s="2006"/>
      <c r="AS180" s="2006"/>
      <c r="AT180" s="2006"/>
      <c r="AU180" s="2006"/>
      <c r="AV180" s="2006"/>
      <c r="AW180" s="2006"/>
      <c r="AX180" s="2006"/>
      <c r="AY180" s="2006"/>
      <c r="AZ180" s="2007"/>
      <c r="BA180" s="2007"/>
    </row>
    <row r="181" spans="1:55" ht="15" hidden="1" customHeight="1" outlineLevel="2" x14ac:dyDescent="0.2">
      <c r="A181" s="458" t="s">
        <v>1093</v>
      </c>
      <c r="B181" s="451">
        <v>10</v>
      </c>
      <c r="C181" s="155">
        <v>0.36899999999999999</v>
      </c>
      <c r="D181" s="68">
        <v>2.1486486486486486E-2</v>
      </c>
      <c r="E181" s="27">
        <v>0.14483129882812498</v>
      </c>
      <c r="F181" s="29">
        <v>0</v>
      </c>
      <c r="G181" s="2695">
        <v>0</v>
      </c>
      <c r="H181" s="29">
        <v>0</v>
      </c>
      <c r="I181" s="28">
        <v>1.8103912353515623E-2</v>
      </c>
      <c r="J181" s="129">
        <v>13.183999999999999</v>
      </c>
      <c r="K181" s="28">
        <v>1.8103912353515623E-2</v>
      </c>
      <c r="L181" s="146">
        <v>3</v>
      </c>
      <c r="M181" s="571">
        <v>10</v>
      </c>
      <c r="N181" s="2293">
        <v>1</v>
      </c>
      <c r="O181" s="2507" t="s">
        <v>336</v>
      </c>
      <c r="P181" s="182">
        <f t="shared" si="352"/>
        <v>0.20252561002164274</v>
      </c>
      <c r="Q181" s="1087"/>
      <c r="R181" s="3207"/>
      <c r="S181" s="3207"/>
      <c r="T181" s="129">
        <f t="shared" si="355"/>
        <v>0.36899999999999999</v>
      </c>
      <c r="U181" s="68">
        <f t="shared" si="356"/>
        <v>4.5428571428571422E-2</v>
      </c>
      <c r="V181" s="27">
        <f t="shared" si="356"/>
        <v>0.30621474609374999</v>
      </c>
      <c r="W181" s="363">
        <f t="shared" si="356"/>
        <v>0</v>
      </c>
      <c r="X181" s="363">
        <f t="shared" si="356"/>
        <v>0</v>
      </c>
      <c r="Y181" s="363">
        <f t="shared" si="356"/>
        <v>0</v>
      </c>
      <c r="Z181" s="28">
        <f t="shared" si="356"/>
        <v>3.8276843261718749E-2</v>
      </c>
      <c r="AA181" s="129">
        <f t="shared" si="357"/>
        <v>13.183999999999999</v>
      </c>
      <c r="AB181" s="28">
        <f t="shared" si="358"/>
        <v>3.8276843261718749E-2</v>
      </c>
      <c r="AC181" s="364">
        <f t="shared" si="359"/>
        <v>3</v>
      </c>
      <c r="AD181" s="182">
        <f t="shared" si="360"/>
        <v>0.42819700404575894</v>
      </c>
      <c r="AE181" s="1087"/>
      <c r="AF181" s="463" t="s">
        <v>1093</v>
      </c>
      <c r="AG181" s="2526"/>
      <c r="AH181" s="1343">
        <f t="shared" si="361"/>
        <v>0.10609268864411947</v>
      </c>
      <c r="AI181" s="1344">
        <f t="shared" si="362"/>
        <v>0.71512584908470445</v>
      </c>
      <c r="AJ181" s="1345">
        <f t="shared" si="362"/>
        <v>0</v>
      </c>
      <c r="AK181" s="1345">
        <f t="shared" si="362"/>
        <v>0</v>
      </c>
      <c r="AL181" s="1345">
        <f t="shared" si="362"/>
        <v>0</v>
      </c>
      <c r="AM181" s="1346">
        <f t="shared" si="362"/>
        <v>8.9390731135588056E-2</v>
      </c>
      <c r="AN181" s="1347">
        <f t="shared" si="363"/>
        <v>8.9390731135588056E-2</v>
      </c>
      <c r="AO181" s="1084"/>
      <c r="AP181" s="2006"/>
      <c r="AQ181" s="2006"/>
      <c r="AR181" s="2006"/>
      <c r="AS181" s="2006"/>
      <c r="AT181" s="2006"/>
      <c r="AU181" s="2006"/>
      <c r="AV181" s="2006"/>
      <c r="AW181" s="2006"/>
      <c r="AX181" s="2006"/>
      <c r="AY181" s="2006"/>
      <c r="AZ181" s="2007"/>
      <c r="BA181" s="2007"/>
    </row>
    <row r="182" spans="1:55" ht="15" hidden="1" customHeight="1" outlineLevel="2" x14ac:dyDescent="0.2">
      <c r="A182" s="458" t="s">
        <v>1094</v>
      </c>
      <c r="B182" s="451">
        <v>10</v>
      </c>
      <c r="C182" s="155">
        <v>0.73799999999999999</v>
      </c>
      <c r="D182" s="68">
        <v>2.1486486486486486E-2</v>
      </c>
      <c r="E182" s="27">
        <v>0.28966259765624996</v>
      </c>
      <c r="F182" s="29">
        <v>0</v>
      </c>
      <c r="G182" s="2695">
        <v>0</v>
      </c>
      <c r="H182" s="29">
        <v>0</v>
      </c>
      <c r="I182" s="28">
        <v>3.6207824707031246E-2</v>
      </c>
      <c r="J182" s="129">
        <v>26.367000000000001</v>
      </c>
      <c r="K182" s="28">
        <v>3.6207824707031246E-2</v>
      </c>
      <c r="L182" s="146">
        <v>3</v>
      </c>
      <c r="M182" s="571">
        <v>10</v>
      </c>
      <c r="N182" s="2293">
        <v>1</v>
      </c>
      <c r="O182" s="2507" t="s">
        <v>336</v>
      </c>
      <c r="P182" s="182">
        <f t="shared" si="352"/>
        <v>0.38356473355679899</v>
      </c>
      <c r="Q182" s="1087"/>
      <c r="R182" s="3207"/>
      <c r="S182" s="3207"/>
      <c r="T182" s="129">
        <f t="shared" si="355"/>
        <v>0.73799999999999999</v>
      </c>
      <c r="U182" s="68">
        <f t="shared" si="356"/>
        <v>4.5428571428571422E-2</v>
      </c>
      <c r="V182" s="27">
        <f t="shared" si="356"/>
        <v>0.61242949218749998</v>
      </c>
      <c r="W182" s="363">
        <f t="shared" si="356"/>
        <v>0</v>
      </c>
      <c r="X182" s="363">
        <f t="shared" si="356"/>
        <v>0</v>
      </c>
      <c r="Y182" s="363">
        <f t="shared" si="356"/>
        <v>0</v>
      </c>
      <c r="Z182" s="28">
        <f t="shared" si="356"/>
        <v>7.6553686523437497E-2</v>
      </c>
      <c r="AA182" s="129">
        <f t="shared" si="357"/>
        <v>26.367000000000001</v>
      </c>
      <c r="AB182" s="28">
        <f t="shared" si="358"/>
        <v>7.6553686523437497E-2</v>
      </c>
      <c r="AC182" s="364">
        <f t="shared" si="359"/>
        <v>3</v>
      </c>
      <c r="AD182" s="182">
        <f t="shared" si="360"/>
        <v>0.8109654366629464</v>
      </c>
      <c r="AE182" s="1087"/>
      <c r="AF182" s="463" t="s">
        <v>1094</v>
      </c>
      <c r="AG182" s="2526"/>
      <c r="AH182" s="1343">
        <f t="shared" si="361"/>
        <v>5.6017888524948933E-2</v>
      </c>
      <c r="AI182" s="1344">
        <f t="shared" si="362"/>
        <v>0.75518568918004081</v>
      </c>
      <c r="AJ182" s="1345">
        <f t="shared" si="362"/>
        <v>0</v>
      </c>
      <c r="AK182" s="1345">
        <f t="shared" si="362"/>
        <v>0</v>
      </c>
      <c r="AL182" s="1345">
        <f t="shared" si="362"/>
        <v>0</v>
      </c>
      <c r="AM182" s="1346">
        <f t="shared" si="362"/>
        <v>9.4398211147505101E-2</v>
      </c>
      <c r="AN182" s="1347">
        <f t="shared" si="363"/>
        <v>9.4398211147505101E-2</v>
      </c>
      <c r="AO182" s="1084"/>
      <c r="AP182" s="2006"/>
      <c r="AQ182" s="2006"/>
      <c r="AR182" s="2006"/>
      <c r="AS182" s="2006"/>
      <c r="AT182" s="2006"/>
      <c r="AU182" s="2006"/>
      <c r="AV182" s="2006"/>
      <c r="AW182" s="2006"/>
      <c r="AX182" s="2006"/>
      <c r="AY182" s="2006"/>
      <c r="AZ182" s="2007"/>
      <c r="BA182" s="2007"/>
    </row>
    <row r="183" spans="1:55" ht="15" hidden="1" customHeight="1" outlineLevel="2" x14ac:dyDescent="0.2">
      <c r="A183" s="458" t="s">
        <v>1095</v>
      </c>
      <c r="B183" s="451">
        <v>10</v>
      </c>
      <c r="C183" s="155">
        <v>2.637</v>
      </c>
      <c r="D183" s="68">
        <v>2.1486486486486486E-2</v>
      </c>
      <c r="E183" s="27">
        <v>0.14483129882812498</v>
      </c>
      <c r="F183" s="29">
        <v>0</v>
      </c>
      <c r="G183" s="2695">
        <v>0</v>
      </c>
      <c r="H183" s="29">
        <v>0</v>
      </c>
      <c r="I183" s="28">
        <v>1.8103912353515623E-2</v>
      </c>
      <c r="J183" s="129">
        <v>13.183999999999999</v>
      </c>
      <c r="K183" s="28">
        <v>1.8103912353515623E-2</v>
      </c>
      <c r="L183" s="146">
        <v>3</v>
      </c>
      <c r="M183" s="571">
        <v>10</v>
      </c>
      <c r="N183" s="2293">
        <v>1</v>
      </c>
      <c r="O183" s="2507" t="s">
        <v>336</v>
      </c>
      <c r="P183" s="182">
        <f t="shared" si="352"/>
        <v>0.20252561002164274</v>
      </c>
      <c r="Q183" s="1087"/>
      <c r="R183" s="3207"/>
      <c r="S183" s="3207"/>
      <c r="T183" s="129">
        <f t="shared" si="355"/>
        <v>2.637</v>
      </c>
      <c r="U183" s="68">
        <f t="shared" si="356"/>
        <v>4.5428571428571422E-2</v>
      </c>
      <c r="V183" s="27">
        <f t="shared" si="356"/>
        <v>0.30621474609374999</v>
      </c>
      <c r="W183" s="363">
        <f t="shared" si="356"/>
        <v>0</v>
      </c>
      <c r="X183" s="363">
        <f t="shared" si="356"/>
        <v>0</v>
      </c>
      <c r="Y183" s="363">
        <f t="shared" si="356"/>
        <v>0</v>
      </c>
      <c r="Z183" s="28">
        <f t="shared" si="356"/>
        <v>3.8276843261718749E-2</v>
      </c>
      <c r="AA183" s="129">
        <f t="shared" si="357"/>
        <v>13.183999999999999</v>
      </c>
      <c r="AB183" s="28">
        <f t="shared" si="358"/>
        <v>3.8276843261718749E-2</v>
      </c>
      <c r="AC183" s="364">
        <f t="shared" si="359"/>
        <v>3</v>
      </c>
      <c r="AD183" s="182">
        <f t="shared" si="360"/>
        <v>0.42819700404575894</v>
      </c>
      <c r="AE183" s="1087"/>
      <c r="AF183" s="463" t="s">
        <v>1095</v>
      </c>
      <c r="AG183" s="2526"/>
      <c r="AH183" s="1343">
        <f t="shared" si="361"/>
        <v>0.10609268864411947</v>
      </c>
      <c r="AI183" s="1344">
        <f t="shared" si="362"/>
        <v>0.71512584908470445</v>
      </c>
      <c r="AJ183" s="1345">
        <f t="shared" si="362"/>
        <v>0</v>
      </c>
      <c r="AK183" s="1345">
        <f t="shared" si="362"/>
        <v>0</v>
      </c>
      <c r="AL183" s="1345">
        <f t="shared" si="362"/>
        <v>0</v>
      </c>
      <c r="AM183" s="1346">
        <f t="shared" si="362"/>
        <v>8.9390731135588056E-2</v>
      </c>
      <c r="AN183" s="1347">
        <f t="shared" si="363"/>
        <v>8.9390731135588056E-2</v>
      </c>
      <c r="AO183" s="1084"/>
      <c r="AP183" s="2006"/>
      <c r="AQ183" s="2006"/>
      <c r="AR183" s="2006"/>
      <c r="AS183" s="2006"/>
      <c r="AT183" s="2006"/>
      <c r="AU183" s="2006"/>
      <c r="AV183" s="2006"/>
      <c r="AW183" s="2006"/>
      <c r="AX183" s="2006"/>
      <c r="AY183" s="2006"/>
      <c r="AZ183" s="2007"/>
      <c r="BA183" s="2007"/>
    </row>
    <row r="184" spans="1:55" ht="16" hidden="1" outlineLevel="2" x14ac:dyDescent="0.2">
      <c r="A184" s="458" t="s">
        <v>1096</v>
      </c>
      <c r="B184" s="451">
        <v>10</v>
      </c>
      <c r="C184" s="155">
        <v>5.2729999999999997</v>
      </c>
      <c r="D184" s="68">
        <v>2.1486486486486486E-2</v>
      </c>
      <c r="E184" s="27">
        <v>0.28966259765624996</v>
      </c>
      <c r="F184" s="29">
        <v>0</v>
      </c>
      <c r="G184" s="2695">
        <v>0</v>
      </c>
      <c r="H184" s="29">
        <v>0</v>
      </c>
      <c r="I184" s="28">
        <v>3.6207824707031246E-2</v>
      </c>
      <c r="J184" s="129">
        <v>26.367000000000001</v>
      </c>
      <c r="K184" s="28">
        <v>3.6207824707031246E-2</v>
      </c>
      <c r="L184" s="146">
        <v>3</v>
      </c>
      <c r="M184" s="571">
        <v>10</v>
      </c>
      <c r="N184" s="2293">
        <v>1</v>
      </c>
      <c r="O184" s="2507" t="s">
        <v>336</v>
      </c>
      <c r="P184" s="182">
        <f t="shared" si="352"/>
        <v>0.38356473355679899</v>
      </c>
      <c r="Q184" s="1087"/>
      <c r="R184" s="3207"/>
      <c r="S184" s="3207"/>
      <c r="T184" s="129">
        <f t="shared" si="355"/>
        <v>5.2729999999999997</v>
      </c>
      <c r="U184" s="68">
        <f t="shared" si="356"/>
        <v>4.5428571428571422E-2</v>
      </c>
      <c r="V184" s="27">
        <f t="shared" si="356"/>
        <v>0.61242949218749998</v>
      </c>
      <c r="W184" s="363">
        <f t="shared" si="356"/>
        <v>0</v>
      </c>
      <c r="X184" s="363">
        <f t="shared" si="356"/>
        <v>0</v>
      </c>
      <c r="Y184" s="363">
        <f t="shared" si="356"/>
        <v>0</v>
      </c>
      <c r="Z184" s="28">
        <f t="shared" si="356"/>
        <v>7.6553686523437497E-2</v>
      </c>
      <c r="AA184" s="129">
        <f t="shared" si="357"/>
        <v>26.367000000000001</v>
      </c>
      <c r="AB184" s="28">
        <f t="shared" si="358"/>
        <v>7.6553686523437497E-2</v>
      </c>
      <c r="AC184" s="364">
        <f t="shared" si="359"/>
        <v>3</v>
      </c>
      <c r="AD184" s="182">
        <f t="shared" si="360"/>
        <v>0.8109654366629464</v>
      </c>
      <c r="AE184" s="1087"/>
      <c r="AF184" s="463" t="s">
        <v>1096</v>
      </c>
      <c r="AG184" s="2526"/>
      <c r="AH184" s="1343">
        <f t="shared" si="361"/>
        <v>5.6017888524948933E-2</v>
      </c>
      <c r="AI184" s="1344">
        <f t="shared" si="362"/>
        <v>0.75518568918004081</v>
      </c>
      <c r="AJ184" s="1345">
        <f t="shared" si="362"/>
        <v>0</v>
      </c>
      <c r="AK184" s="1345">
        <f t="shared" si="362"/>
        <v>0</v>
      </c>
      <c r="AL184" s="1345">
        <f t="shared" si="362"/>
        <v>0</v>
      </c>
      <c r="AM184" s="1346">
        <f t="shared" si="362"/>
        <v>9.4398211147505101E-2</v>
      </c>
      <c r="AN184" s="1347">
        <f t="shared" si="363"/>
        <v>9.4398211147505101E-2</v>
      </c>
      <c r="AO184" s="1084"/>
      <c r="AP184" s="2006"/>
      <c r="AQ184" s="2006"/>
      <c r="AR184" s="2006"/>
      <c r="AS184" s="2006"/>
      <c r="AT184" s="2006"/>
      <c r="AU184" s="2006"/>
      <c r="AV184" s="2006"/>
      <c r="AW184" s="2006"/>
      <c r="AX184" s="2006"/>
      <c r="AY184" s="2006"/>
      <c r="AZ184" s="2007"/>
      <c r="BA184" s="2007"/>
    </row>
    <row r="185" spans="1:55" ht="15" hidden="1" customHeight="1" outlineLevel="1" collapsed="1" x14ac:dyDescent="0.2">
      <c r="A185" s="457" t="s">
        <v>794</v>
      </c>
      <c r="B185" s="450" t="str">
        <f t="shared" ref="B185:C185" si="364">B$6</f>
        <v>Trips</v>
      </c>
      <c r="C185" s="172" t="str">
        <f t="shared" si="364"/>
        <v>Mbpd</v>
      </c>
      <c r="D185" s="2556" t="s">
        <v>303</v>
      </c>
      <c r="E185" s="2556" t="s">
        <v>9</v>
      </c>
      <c r="F185" s="2556" t="s">
        <v>304</v>
      </c>
      <c r="G185" s="2709" t="s">
        <v>970</v>
      </c>
      <c r="H185" s="2556" t="s">
        <v>312</v>
      </c>
      <c r="I185" s="2556" t="s">
        <v>330</v>
      </c>
      <c r="J185" s="2556" t="s">
        <v>308</v>
      </c>
      <c r="K185" s="2556" t="s">
        <v>309</v>
      </c>
      <c r="L185" s="178" t="s">
        <v>299</v>
      </c>
      <c r="M185" s="572" t="str">
        <f>M$6</f>
        <v>DPM/c</v>
      </c>
      <c r="N185" s="2292" t="str">
        <f>N$6</f>
        <v>MT</v>
      </c>
      <c r="O185" s="2506" t="str">
        <f>O$8</f>
        <v xml:space="preserve">WF </v>
      </c>
      <c r="P185" s="181" t="s">
        <v>273</v>
      </c>
      <c r="Q185" s="1087"/>
      <c r="R185" s="181"/>
      <c r="S185" s="181"/>
      <c r="T185" s="1270" t="s">
        <v>308</v>
      </c>
      <c r="U185" s="2556" t="s">
        <v>303</v>
      </c>
      <c r="V185" s="2556" t="str">
        <f>V$6</f>
        <v xml:space="preserve">WTS </v>
      </c>
      <c r="W185" s="2556" t="str">
        <f>+W$6</f>
        <v>Web</v>
      </c>
      <c r="X185" s="2556" t="str">
        <f>+X$6</f>
        <v>Portal</v>
      </c>
      <c r="Y185" s="2556" t="s">
        <v>312</v>
      </c>
      <c r="Z185" s="2556" t="s">
        <v>330</v>
      </c>
      <c r="AA185" s="2556" t="s">
        <v>308</v>
      </c>
      <c r="AB185" s="2556" t="s">
        <v>309</v>
      </c>
      <c r="AC185" s="178" t="s">
        <v>299</v>
      </c>
      <c r="AD185" s="181" t="s">
        <v>273</v>
      </c>
      <c r="AE185" s="1087"/>
      <c r="AF185" s="404" t="str">
        <f>A185</f>
        <v>ArcGIS for Server 10.2  =========</v>
      </c>
      <c r="AG185" s="2526"/>
      <c r="AH185" s="1339" t="str">
        <f t="shared" ref="AH185:AM185" si="365">D185</f>
        <v>Client</v>
      </c>
      <c r="AI185" s="1339" t="str">
        <f t="shared" si="365"/>
        <v xml:space="preserve">WTS </v>
      </c>
      <c r="AJ185" s="1339" t="str">
        <f t="shared" si="365"/>
        <v>Web</v>
      </c>
      <c r="AK185" s="1339" t="str">
        <f t="shared" si="365"/>
        <v>Portal</v>
      </c>
      <c r="AL185" s="1340" t="str">
        <f t="shared" si="365"/>
        <v>SOC</v>
      </c>
      <c r="AM185" s="1341" t="str">
        <f t="shared" si="365"/>
        <v>SDE</v>
      </c>
      <c r="AN185" s="1342" t="str">
        <f>K185</f>
        <v>DBMS</v>
      </c>
      <c r="AO185" s="1084"/>
      <c r="AP185" s="2006"/>
      <c r="AQ185" s="2006"/>
      <c r="AR185" s="2006"/>
      <c r="AS185" s="2006"/>
      <c r="AT185" s="2006"/>
      <c r="AU185" s="2006"/>
      <c r="AV185" s="2006"/>
      <c r="AW185" s="2006"/>
      <c r="AX185" s="2006"/>
      <c r="AY185" s="2006"/>
      <c r="AZ185" s="2007"/>
      <c r="BA185" s="2007"/>
    </row>
    <row r="186" spans="1:55" ht="15" hidden="1" customHeight="1" outlineLevel="2" x14ac:dyDescent="0.2">
      <c r="A186" s="459" t="s">
        <v>1097</v>
      </c>
      <c r="B186" s="451">
        <v>10</v>
      </c>
      <c r="C186" s="155">
        <v>2.1339999999999999</v>
      </c>
      <c r="D186" s="68">
        <v>2.1162162162162164E-2</v>
      </c>
      <c r="E186" s="27">
        <v>0</v>
      </c>
      <c r="F186" s="1931">
        <v>1.4108108108108105E-2</v>
      </c>
      <c r="G186" s="2697">
        <v>1.4891891891891892E-3</v>
      </c>
      <c r="H186" s="29">
        <v>9.8255525496199314E-2</v>
      </c>
      <c r="I186" s="28">
        <v>1.8895293364653714E-2</v>
      </c>
      <c r="J186" s="129">
        <v>13.34</v>
      </c>
      <c r="K186" s="28">
        <v>1.8895293364653714E-2</v>
      </c>
      <c r="L186" s="146">
        <v>3</v>
      </c>
      <c r="M186" s="571">
        <v>6</v>
      </c>
      <c r="N186" s="2293">
        <v>1</v>
      </c>
      <c r="O186" s="2507" t="s">
        <v>332</v>
      </c>
      <c r="P186" s="182">
        <f t="shared" ref="P186:P198" si="366">SUM(D186:I186,K186)</f>
        <v>0.17280557168496619</v>
      </c>
      <c r="Q186" s="2584"/>
      <c r="R186" s="3219">
        <f t="shared" ref="R186" si="367">F186+G186</f>
        <v>1.5597297297297294E-2</v>
      </c>
      <c r="S186" s="3219">
        <f t="shared" ref="S186" si="368">E186+H186+K186</f>
        <v>0.11715081886085303</v>
      </c>
      <c r="T186" s="129">
        <f t="shared" ref="T186:T194" si="369">C186</f>
        <v>2.1339999999999999</v>
      </c>
      <c r="U186" s="68">
        <f t="shared" ref="U186:U194" si="370">D186*$K$3/$AB$3</f>
        <v>4.4742857142857147E-2</v>
      </c>
      <c r="V186" s="27">
        <f t="shared" ref="V186:V194" si="371">E186*$K$3/$AB$3</f>
        <v>0</v>
      </c>
      <c r="W186" s="363">
        <f t="shared" ref="W186:W194" si="372">F186*$K$3/$AB$3</f>
        <v>2.9828571428571423E-2</v>
      </c>
      <c r="X186" s="363">
        <f t="shared" ref="X186:X194" si="373">G186*$K$3/$AB$3</f>
        <v>3.148571428571429E-3</v>
      </c>
      <c r="Y186" s="363">
        <f t="shared" ref="Y186:Y194" si="374">H186*$K$3/$AB$3</f>
        <v>0.20774025390624998</v>
      </c>
      <c r="Z186" s="28">
        <f t="shared" ref="Z186:Z194" si="375">I186*$K$3/$AB$3</f>
        <v>3.9950048828124994E-2</v>
      </c>
      <c r="AA186" s="129">
        <f t="shared" ref="AA186:AA194" si="376">J186</f>
        <v>13.34</v>
      </c>
      <c r="AB186" s="28">
        <f t="shared" ref="AB186:AB194" si="377">K186*$K$3/$AB$3</f>
        <v>3.9950048828124994E-2</v>
      </c>
      <c r="AC186" s="364">
        <f t="shared" ref="AC186:AC194" si="378">L186</f>
        <v>3</v>
      </c>
      <c r="AD186" s="182">
        <f t="shared" ref="AD186:AD194" si="379">SUM(U186:Z186,AB186)</f>
        <v>0.36536035156249991</v>
      </c>
      <c r="AE186" s="1087"/>
      <c r="AF186" s="462" t="s">
        <v>1097</v>
      </c>
      <c r="AG186" s="2526"/>
      <c r="AH186" s="1343">
        <f t="shared" ref="AH186:AH191" si="380">1-SUM(AI186:AN186)</f>
        <v>0.12246226759830359</v>
      </c>
      <c r="AI186" s="1344">
        <f t="shared" ref="AI186:AI194" si="381">E186/$P186</f>
        <v>0</v>
      </c>
      <c r="AJ186" s="1345">
        <f t="shared" ref="AJ186:AJ194" si="382">F186/$P186</f>
        <v>8.1641511732202368E-2</v>
      </c>
      <c r="AK186" s="1345">
        <f t="shared" ref="AK186:AK194" si="383">G186/$P186</f>
        <v>8.6177151272880306E-3</v>
      </c>
      <c r="AL186" s="1345">
        <f t="shared" ref="AL186:AL194" si="384">H186/$P186</f>
        <v>0.56859003178048217</v>
      </c>
      <c r="AM186" s="1346">
        <f t="shared" ref="AM186:AM194" si="385">I186/$P186</f>
        <v>0.10934423688086195</v>
      </c>
      <c r="AN186" s="1347">
        <f t="shared" ref="AN186:AN194" si="386">K186/$P186</f>
        <v>0.10934423688086195</v>
      </c>
      <c r="AO186" s="1084"/>
      <c r="AP186" s="2008" t="s">
        <v>874</v>
      </c>
      <c r="AQ186" s="2006"/>
      <c r="AR186" s="2006"/>
      <c r="AS186" s="2006"/>
      <c r="AT186" s="2006"/>
      <c r="AU186" s="2006"/>
      <c r="AV186" s="2006"/>
      <c r="AW186" s="2006"/>
      <c r="AX186" s="2006"/>
      <c r="AY186" s="2006"/>
      <c r="AZ186" s="2007"/>
      <c r="BA186" s="2007"/>
      <c r="BB186" s="1722"/>
      <c r="BC186" s="1722"/>
    </row>
    <row r="187" spans="1:55" ht="15" hidden="1" customHeight="1" outlineLevel="2" x14ac:dyDescent="0.2">
      <c r="A187" s="459" t="s">
        <v>1098</v>
      </c>
      <c r="B187" s="451">
        <v>10</v>
      </c>
      <c r="C187" s="155">
        <v>2.1339999999999999</v>
      </c>
      <c r="D187" s="68">
        <v>2.1486486486486486E-2</v>
      </c>
      <c r="E187" s="27">
        <v>0</v>
      </c>
      <c r="F187" s="1931">
        <v>7.1621621621621627E-3</v>
      </c>
      <c r="G187" s="2697">
        <v>0</v>
      </c>
      <c r="H187" s="29">
        <v>4.9180107322899076E-2</v>
      </c>
      <c r="I187" s="28">
        <v>9.4577129467113604E-3</v>
      </c>
      <c r="J187" s="129">
        <v>6.67</v>
      </c>
      <c r="K187" s="28">
        <v>9.4577129467113604E-3</v>
      </c>
      <c r="L187" s="146">
        <v>3</v>
      </c>
      <c r="M187" s="571">
        <v>6</v>
      </c>
      <c r="N187" s="2293">
        <v>1</v>
      </c>
      <c r="O187" s="2507" t="s">
        <v>332</v>
      </c>
      <c r="P187" s="182">
        <f>SUM(D187:I187,K187)</f>
        <v>9.6744181864970441E-2</v>
      </c>
      <c r="Q187" s="1087"/>
      <c r="R187" s="3207"/>
      <c r="S187" s="3207"/>
      <c r="T187" s="129">
        <f t="shared" si="369"/>
        <v>2.1339999999999999</v>
      </c>
      <c r="U187" s="68">
        <f t="shared" si="370"/>
        <v>4.5428571428571422E-2</v>
      </c>
      <c r="V187" s="27">
        <f t="shared" si="371"/>
        <v>0</v>
      </c>
      <c r="W187" s="363">
        <f t="shared" si="372"/>
        <v>1.5142857142857144E-2</v>
      </c>
      <c r="X187" s="363">
        <f t="shared" si="373"/>
        <v>0</v>
      </c>
      <c r="Y187" s="363">
        <f t="shared" si="374"/>
        <v>0.10398079833984375</v>
      </c>
      <c r="Z187" s="28">
        <f t="shared" si="375"/>
        <v>1.9996307373046876E-2</v>
      </c>
      <c r="AA187" s="129">
        <f t="shared" si="376"/>
        <v>6.67</v>
      </c>
      <c r="AB187" s="28">
        <f t="shared" si="377"/>
        <v>1.9996307373046876E-2</v>
      </c>
      <c r="AC187" s="364">
        <f t="shared" si="378"/>
        <v>3</v>
      </c>
      <c r="AD187" s="182">
        <f>SUM(U187:Z187,AB187)</f>
        <v>0.20454484165736603</v>
      </c>
      <c r="AE187" s="1087"/>
      <c r="AF187" s="462" t="s">
        <v>1098</v>
      </c>
      <c r="AG187" s="2526"/>
      <c r="AH187" s="1343">
        <f t="shared" si="380"/>
        <v>0.22209590357047004</v>
      </c>
      <c r="AI187" s="1344">
        <f t="shared" si="381"/>
        <v>0</v>
      </c>
      <c r="AJ187" s="1345">
        <f t="shared" si="382"/>
        <v>7.4031967856823339E-2</v>
      </c>
      <c r="AK187" s="1345">
        <f t="shared" si="383"/>
        <v>0</v>
      </c>
      <c r="AL187" s="1345">
        <f t="shared" si="384"/>
        <v>0.50835209285806593</v>
      </c>
      <c r="AM187" s="1346">
        <f t="shared" si="385"/>
        <v>9.7760017857320372E-2</v>
      </c>
      <c r="AN187" s="1347">
        <f t="shared" si="386"/>
        <v>9.7760017857320372E-2</v>
      </c>
      <c r="AO187" s="1084"/>
      <c r="AP187" s="2006" t="s">
        <v>873</v>
      </c>
      <c r="AQ187" s="2006"/>
      <c r="AR187" s="2006"/>
      <c r="AS187" s="2006"/>
      <c r="AT187" s="2006"/>
      <c r="AU187" s="2006"/>
      <c r="AV187" s="2006"/>
      <c r="AW187" s="2006"/>
      <c r="AX187" s="2006"/>
      <c r="AY187" s="2006"/>
      <c r="AZ187" s="2007"/>
      <c r="BA187" s="2007"/>
      <c r="BB187" s="1722"/>
      <c r="BC187" s="1722"/>
    </row>
    <row r="188" spans="1:55" ht="15" hidden="1" customHeight="1" outlineLevel="2" x14ac:dyDescent="0.2">
      <c r="A188" s="459" t="s">
        <v>1099</v>
      </c>
      <c r="B188" s="451">
        <v>10</v>
      </c>
      <c r="C188" s="155">
        <v>2.1339999999999999</v>
      </c>
      <c r="D188" s="68">
        <v>2.1486486486486486E-2</v>
      </c>
      <c r="E188" s="27">
        <v>0</v>
      </c>
      <c r="F188" s="1931">
        <v>7.1621621621621627E-3</v>
      </c>
      <c r="G188" s="2697">
        <v>0</v>
      </c>
      <c r="H188" s="29">
        <v>9.8360214645798152E-2</v>
      </c>
      <c r="I188" s="28">
        <v>1.8915425893422721E-2</v>
      </c>
      <c r="J188" s="129">
        <v>13.34</v>
      </c>
      <c r="K188" s="28">
        <v>1.8915425893422721E-2</v>
      </c>
      <c r="L188" s="146">
        <v>3</v>
      </c>
      <c r="M188" s="571">
        <v>6</v>
      </c>
      <c r="N188" s="2293">
        <v>1</v>
      </c>
      <c r="O188" s="2507" t="s">
        <v>332</v>
      </c>
      <c r="P188" s="182">
        <f>SUM(D188:I188,K188)</f>
        <v>0.16483971508129222</v>
      </c>
      <c r="Q188" s="1087"/>
      <c r="R188" s="3207"/>
      <c r="S188" s="3207"/>
      <c r="T188" s="129">
        <f t="shared" si="369"/>
        <v>2.1339999999999999</v>
      </c>
      <c r="U188" s="68">
        <f t="shared" si="370"/>
        <v>4.5428571428571422E-2</v>
      </c>
      <c r="V188" s="27">
        <f t="shared" si="371"/>
        <v>0</v>
      </c>
      <c r="W188" s="363">
        <f t="shared" si="372"/>
        <v>1.5142857142857144E-2</v>
      </c>
      <c r="X188" s="363">
        <f t="shared" si="373"/>
        <v>0</v>
      </c>
      <c r="Y188" s="363">
        <f t="shared" si="374"/>
        <v>0.2079615966796875</v>
      </c>
      <c r="Z188" s="28">
        <f t="shared" si="375"/>
        <v>3.9992614746093752E-2</v>
      </c>
      <c r="AA188" s="129">
        <f t="shared" si="376"/>
        <v>13.34</v>
      </c>
      <c r="AB188" s="28">
        <f t="shared" si="377"/>
        <v>3.9992614746093752E-2</v>
      </c>
      <c r="AC188" s="364">
        <f t="shared" si="378"/>
        <v>3</v>
      </c>
      <c r="AD188" s="182">
        <f>SUM(U188:Z188,AB188)</f>
        <v>0.34851825474330356</v>
      </c>
      <c r="AE188" s="1087"/>
      <c r="AF188" s="462" t="s">
        <v>1099</v>
      </c>
      <c r="AG188" s="2526"/>
      <c r="AH188" s="1343">
        <f t="shared" si="380"/>
        <v>0.13034775312424074</v>
      </c>
      <c r="AI188" s="1344">
        <f t="shared" si="381"/>
        <v>0</v>
      </c>
      <c r="AJ188" s="1345">
        <f t="shared" si="382"/>
        <v>4.3449251041413631E-2</v>
      </c>
      <c r="AK188" s="1345">
        <f t="shared" si="383"/>
        <v>0</v>
      </c>
      <c r="AL188" s="1345">
        <f t="shared" si="384"/>
        <v>0.59670216365813855</v>
      </c>
      <c r="AM188" s="1346">
        <f t="shared" si="385"/>
        <v>0.11475041608810356</v>
      </c>
      <c r="AN188" s="1347">
        <f t="shared" si="386"/>
        <v>0.11475041608810356</v>
      </c>
      <c r="AO188" s="1084"/>
      <c r="AP188" s="2006" t="s">
        <v>873</v>
      </c>
      <c r="AQ188" s="2006"/>
      <c r="AR188" s="2006"/>
      <c r="AS188" s="2006"/>
      <c r="AT188" s="2006"/>
      <c r="AU188" s="2006"/>
      <c r="AV188" s="2006"/>
      <c r="AW188" s="2006"/>
      <c r="AX188" s="2006"/>
      <c r="AY188" s="2006"/>
      <c r="AZ188" s="2007"/>
      <c r="BA188" s="2007"/>
      <c r="BB188" s="1722"/>
      <c r="BC188" s="1722"/>
    </row>
    <row r="189" spans="1:55" ht="15" hidden="1" customHeight="1" outlineLevel="2" x14ac:dyDescent="0.2">
      <c r="A189" s="459" t="s">
        <v>1100</v>
      </c>
      <c r="B189" s="451">
        <v>10</v>
      </c>
      <c r="C189" s="155">
        <v>2.6339999999999999</v>
      </c>
      <c r="D189" s="68">
        <v>2.1486486486486486E-2</v>
      </c>
      <c r="E189" s="27">
        <v>0</v>
      </c>
      <c r="F189" s="1931">
        <v>7.1621621621621627E-3</v>
      </c>
      <c r="G189" s="2697">
        <v>0</v>
      </c>
      <c r="H189" s="29">
        <v>9.8360214645798152E-2</v>
      </c>
      <c r="I189" s="28">
        <v>1.8915425893422721E-2</v>
      </c>
      <c r="J189" s="129">
        <v>13.34</v>
      </c>
      <c r="K189" s="28">
        <v>1.8915425893422721E-2</v>
      </c>
      <c r="L189" s="146">
        <v>3</v>
      </c>
      <c r="M189" s="571">
        <v>6</v>
      </c>
      <c r="N189" s="2293">
        <v>1</v>
      </c>
      <c r="O189" s="2507" t="s">
        <v>332</v>
      </c>
      <c r="P189" s="182">
        <f>SUM(D189:I189,K189)</f>
        <v>0.16483971508129222</v>
      </c>
      <c r="Q189" s="1087"/>
      <c r="R189" s="3207"/>
      <c r="S189" s="3207"/>
      <c r="T189" s="129">
        <f t="shared" si="369"/>
        <v>2.6339999999999999</v>
      </c>
      <c r="U189" s="68">
        <f t="shared" si="370"/>
        <v>4.5428571428571422E-2</v>
      </c>
      <c r="V189" s="27">
        <f t="shared" si="371"/>
        <v>0</v>
      </c>
      <c r="W189" s="363">
        <f t="shared" si="372"/>
        <v>1.5142857142857144E-2</v>
      </c>
      <c r="X189" s="363">
        <f t="shared" si="373"/>
        <v>0</v>
      </c>
      <c r="Y189" s="363">
        <f t="shared" si="374"/>
        <v>0.2079615966796875</v>
      </c>
      <c r="Z189" s="28">
        <f t="shared" si="375"/>
        <v>3.9992614746093752E-2</v>
      </c>
      <c r="AA189" s="129">
        <f t="shared" si="376"/>
        <v>13.34</v>
      </c>
      <c r="AB189" s="28">
        <f t="shared" si="377"/>
        <v>3.9992614746093752E-2</v>
      </c>
      <c r="AC189" s="364">
        <f t="shared" si="378"/>
        <v>3</v>
      </c>
      <c r="AD189" s="182">
        <f>SUM(U189:Z189,AB189)</f>
        <v>0.34851825474330356</v>
      </c>
      <c r="AE189" s="1087"/>
      <c r="AF189" s="462" t="s">
        <v>1100</v>
      </c>
      <c r="AG189" s="2526"/>
      <c r="AH189" s="1343">
        <f t="shared" si="380"/>
        <v>0.13034775312424074</v>
      </c>
      <c r="AI189" s="1344">
        <f t="shared" si="381"/>
        <v>0</v>
      </c>
      <c r="AJ189" s="1345">
        <f t="shared" si="382"/>
        <v>4.3449251041413631E-2</v>
      </c>
      <c r="AK189" s="1345">
        <f t="shared" si="383"/>
        <v>0</v>
      </c>
      <c r="AL189" s="1345">
        <f t="shared" si="384"/>
        <v>0.59670216365813855</v>
      </c>
      <c r="AM189" s="1346">
        <f t="shared" si="385"/>
        <v>0.11475041608810356</v>
      </c>
      <c r="AN189" s="1347">
        <f t="shared" si="386"/>
        <v>0.11475041608810356</v>
      </c>
      <c r="AO189" s="1084"/>
      <c r="AP189" s="2006" t="s">
        <v>873</v>
      </c>
      <c r="AQ189" s="2006"/>
      <c r="AR189" s="2006"/>
      <c r="AS189" s="2006"/>
      <c r="AT189" s="2006"/>
      <c r="AU189" s="2006"/>
      <c r="AV189" s="2006"/>
      <c r="AW189" s="2006"/>
      <c r="AX189" s="2006"/>
      <c r="AY189" s="2006"/>
      <c r="AZ189" s="2007"/>
      <c r="BA189" s="2007"/>
      <c r="BB189" s="1722"/>
      <c r="BC189" s="1722"/>
    </row>
    <row r="190" spans="1:55" ht="15" hidden="1" customHeight="1" outlineLevel="2" x14ac:dyDescent="0.2">
      <c r="A190" s="459" t="s">
        <v>1101</v>
      </c>
      <c r="B190" s="451">
        <v>10</v>
      </c>
      <c r="C190" s="155">
        <v>1.994</v>
      </c>
      <c r="D190" s="68">
        <v>2.1162162162162164E-2</v>
      </c>
      <c r="E190" s="27">
        <v>0</v>
      </c>
      <c r="F190" s="1931">
        <v>7.0540540540540526E-3</v>
      </c>
      <c r="G190" s="2697">
        <v>0</v>
      </c>
      <c r="H190" s="29">
        <v>3.930221019847973E-2</v>
      </c>
      <c r="I190" s="28">
        <v>7.5581173458614858E-3</v>
      </c>
      <c r="J190" s="129">
        <v>5.3360000000000003</v>
      </c>
      <c r="K190" s="28">
        <v>7.5581173458614858E-3</v>
      </c>
      <c r="L190" s="146">
        <v>3</v>
      </c>
      <c r="M190" s="571">
        <v>6</v>
      </c>
      <c r="N190" s="2293">
        <v>1</v>
      </c>
      <c r="O190" s="2507" t="s">
        <v>332</v>
      </c>
      <c r="P190" s="182">
        <f t="shared" si="366"/>
        <v>8.2634661106418913E-2</v>
      </c>
      <c r="Q190" s="1087"/>
      <c r="R190" s="3207"/>
      <c r="S190" s="3207"/>
      <c r="T190" s="129">
        <f t="shared" si="369"/>
        <v>1.994</v>
      </c>
      <c r="U190" s="68">
        <f t="shared" si="370"/>
        <v>4.4742857142857147E-2</v>
      </c>
      <c r="V190" s="27">
        <f t="shared" si="371"/>
        <v>0</v>
      </c>
      <c r="W190" s="363">
        <f t="shared" si="372"/>
        <v>1.4914285714285712E-2</v>
      </c>
      <c r="X190" s="363">
        <f t="shared" si="373"/>
        <v>0</v>
      </c>
      <c r="Y190" s="363">
        <f t="shared" si="374"/>
        <v>8.3096101562499997E-2</v>
      </c>
      <c r="Z190" s="28">
        <f t="shared" si="375"/>
        <v>1.598001953125E-2</v>
      </c>
      <c r="AA190" s="129">
        <f t="shared" si="376"/>
        <v>5.3360000000000003</v>
      </c>
      <c r="AB190" s="28">
        <f t="shared" si="377"/>
        <v>1.598001953125E-2</v>
      </c>
      <c r="AC190" s="364">
        <f t="shared" si="378"/>
        <v>3</v>
      </c>
      <c r="AD190" s="182">
        <f t="shared" si="379"/>
        <v>0.17471328348214285</v>
      </c>
      <c r="AE190" s="1087"/>
      <c r="AF190" s="462" t="s">
        <v>1101</v>
      </c>
      <c r="AG190" s="2526"/>
      <c r="AH190" s="1343">
        <f t="shared" si="380"/>
        <v>0.25609304714046111</v>
      </c>
      <c r="AI190" s="1344">
        <f t="shared" si="381"/>
        <v>0</v>
      </c>
      <c r="AJ190" s="1345">
        <f t="shared" si="382"/>
        <v>8.5364349046820331E-2</v>
      </c>
      <c r="AK190" s="1345">
        <f t="shared" si="383"/>
        <v>0</v>
      </c>
      <c r="AL190" s="1345">
        <f t="shared" si="384"/>
        <v>0.47561410275363014</v>
      </c>
      <c r="AM190" s="1346">
        <f t="shared" si="385"/>
        <v>9.1464250529544253E-2</v>
      </c>
      <c r="AN190" s="1347">
        <f t="shared" si="386"/>
        <v>9.1464250529544253E-2</v>
      </c>
      <c r="AO190" s="1084"/>
      <c r="AP190" s="2006" t="s">
        <v>873</v>
      </c>
      <c r="AQ190" s="2006"/>
      <c r="AR190" s="2006"/>
      <c r="AS190" s="2006"/>
      <c r="AT190" s="2006"/>
      <c r="AU190" s="2006"/>
      <c r="AV190" s="2006"/>
      <c r="AW190" s="2006"/>
      <c r="AX190" s="2006"/>
      <c r="AY190" s="2006"/>
      <c r="AZ190" s="2007"/>
      <c r="BA190" s="2007"/>
      <c r="BB190" s="1722"/>
      <c r="BC190" s="1722"/>
    </row>
    <row r="191" spans="1:55" ht="15" hidden="1" customHeight="1" outlineLevel="2" x14ac:dyDescent="0.2">
      <c r="A191" s="459" t="s">
        <v>1102</v>
      </c>
      <c r="B191" s="451">
        <v>10</v>
      </c>
      <c r="C191" s="155">
        <v>3.1680000000000001</v>
      </c>
      <c r="D191" s="68">
        <v>5.0104373416385156E-2</v>
      </c>
      <c r="E191" s="27">
        <v>0</v>
      </c>
      <c r="F191" s="1931">
        <v>7.0540540540540526E-3</v>
      </c>
      <c r="G191" s="2697">
        <v>0</v>
      </c>
      <c r="H191" s="29">
        <v>7.5581173458614901E-3</v>
      </c>
      <c r="I191" s="28">
        <v>3.7790586729307451E-3</v>
      </c>
      <c r="J191" s="129">
        <v>2.6680000000000001</v>
      </c>
      <c r="K191" s="28">
        <v>3.7790586729307451E-3</v>
      </c>
      <c r="L191" s="146">
        <v>3</v>
      </c>
      <c r="M191" s="571">
        <v>6</v>
      </c>
      <c r="N191" s="2293">
        <v>1</v>
      </c>
      <c r="O191" s="2507" t="s">
        <v>332</v>
      </c>
      <c r="P191" s="182">
        <f t="shared" si="366"/>
        <v>7.2274662162162176E-2</v>
      </c>
      <c r="Q191" s="1087"/>
      <c r="R191" s="3207"/>
      <c r="S191" s="3207"/>
      <c r="T191" s="129">
        <f t="shared" si="369"/>
        <v>3.1680000000000001</v>
      </c>
      <c r="U191" s="68">
        <f t="shared" si="370"/>
        <v>0.10593496093750004</v>
      </c>
      <c r="V191" s="27">
        <f t="shared" si="371"/>
        <v>0</v>
      </c>
      <c r="W191" s="363">
        <f t="shared" si="372"/>
        <v>1.4914285714285712E-2</v>
      </c>
      <c r="X191" s="363">
        <f t="shared" si="373"/>
        <v>0</v>
      </c>
      <c r="Y191" s="363">
        <f t="shared" si="374"/>
        <v>1.5980019531250007E-2</v>
      </c>
      <c r="Z191" s="28">
        <f t="shared" si="375"/>
        <v>7.9900097656250037E-3</v>
      </c>
      <c r="AA191" s="129">
        <f t="shared" si="376"/>
        <v>2.6680000000000001</v>
      </c>
      <c r="AB191" s="28">
        <f t="shared" si="377"/>
        <v>7.9900097656250037E-3</v>
      </c>
      <c r="AC191" s="364">
        <f t="shared" si="378"/>
        <v>3</v>
      </c>
      <c r="AD191" s="182">
        <f t="shared" si="379"/>
        <v>0.15280928571428576</v>
      </c>
      <c r="AE191" s="1087"/>
      <c r="AF191" s="462" t="s">
        <v>1102</v>
      </c>
      <c r="AG191" s="2526"/>
      <c r="AH191" s="1343">
        <f t="shared" si="380"/>
        <v>0.69324950013555642</v>
      </c>
      <c r="AI191" s="1344">
        <f t="shared" si="381"/>
        <v>0</v>
      </c>
      <c r="AJ191" s="1345">
        <f t="shared" si="382"/>
        <v>9.760065067100443E-2</v>
      </c>
      <c r="AK191" s="1345">
        <f t="shared" si="383"/>
        <v>0</v>
      </c>
      <c r="AL191" s="1345">
        <f t="shared" si="384"/>
        <v>0.10457492459671956</v>
      </c>
      <c r="AM191" s="1346">
        <f t="shared" si="385"/>
        <v>5.2287462298359781E-2</v>
      </c>
      <c r="AN191" s="1347">
        <f t="shared" si="386"/>
        <v>5.2287462298359781E-2</v>
      </c>
      <c r="AO191" s="1084"/>
      <c r="AP191" s="2006" t="s">
        <v>878</v>
      </c>
      <c r="AQ191" s="2006"/>
      <c r="AR191" s="2006"/>
      <c r="AS191" s="2006"/>
      <c r="AT191" s="2006"/>
      <c r="AU191" s="2006"/>
      <c r="AV191" s="2006"/>
      <c r="AW191" s="2006"/>
      <c r="AX191" s="2006"/>
      <c r="AY191" s="2006"/>
      <c r="AZ191" s="2007"/>
      <c r="BA191" s="2007"/>
      <c r="BB191" s="1722"/>
      <c r="BC191" s="1722"/>
    </row>
    <row r="192" spans="1:55" ht="15" hidden="1" customHeight="1" outlineLevel="2" x14ac:dyDescent="0.2">
      <c r="A192" s="459" t="s">
        <v>1103</v>
      </c>
      <c r="B192" s="451">
        <v>10</v>
      </c>
      <c r="C192" s="155">
        <v>2.1339999999999999</v>
      </c>
      <c r="D192" s="68">
        <v>2.1162162162162164E-2</v>
      </c>
      <c r="E192" s="27">
        <v>0</v>
      </c>
      <c r="F192" s="1931">
        <v>7.0540540540540526E-3</v>
      </c>
      <c r="G192" s="2695">
        <v>1.4891891891891889E-2</v>
      </c>
      <c r="H192" s="29">
        <v>5.5199733424831084E-6</v>
      </c>
      <c r="I192" s="28">
        <v>1.0615333350929054E-6</v>
      </c>
      <c r="J192" s="129">
        <v>13.34</v>
      </c>
      <c r="K192" s="28">
        <v>1.0615333350929054E-6</v>
      </c>
      <c r="L192" s="146">
        <v>3</v>
      </c>
      <c r="M192" s="571">
        <v>6</v>
      </c>
      <c r="N192" s="2293">
        <v>1</v>
      </c>
      <c r="O192" s="2507" t="s">
        <v>332</v>
      </c>
      <c r="P192" s="182">
        <f>SUM(D192:I192,K192)</f>
        <v>4.311575114812078E-2</v>
      </c>
      <c r="Q192" s="1087"/>
      <c r="R192" s="3207"/>
      <c r="S192" s="3207"/>
      <c r="T192" s="129">
        <f t="shared" si="369"/>
        <v>2.1339999999999999</v>
      </c>
      <c r="U192" s="68">
        <f t="shared" si="370"/>
        <v>4.4742857142857147E-2</v>
      </c>
      <c r="V192" s="27">
        <f t="shared" si="371"/>
        <v>0</v>
      </c>
      <c r="W192" s="363">
        <f t="shared" si="372"/>
        <v>1.4914285714285712E-2</v>
      </c>
      <c r="X192" s="363">
        <f t="shared" si="373"/>
        <v>3.1485714285714284E-2</v>
      </c>
      <c r="Y192" s="363">
        <f t="shared" si="374"/>
        <v>1.167080078125E-5</v>
      </c>
      <c r="Z192" s="28">
        <f t="shared" si="375"/>
        <v>2.2443847656249999E-6</v>
      </c>
      <c r="AA192" s="129">
        <f t="shared" si="376"/>
        <v>13.34</v>
      </c>
      <c r="AB192" s="28">
        <f t="shared" si="377"/>
        <v>2.2443847656249999E-6</v>
      </c>
      <c r="AC192" s="364">
        <f t="shared" si="378"/>
        <v>3</v>
      </c>
      <c r="AD192" s="182">
        <f>SUM(U192:Z192,AB192)</f>
        <v>9.115901671316963E-2</v>
      </c>
      <c r="AE192" s="1087"/>
      <c r="AF192" s="462" t="s">
        <v>1103</v>
      </c>
      <c r="AG192" s="2526"/>
      <c r="AH192" s="1343">
        <f>1-SUM(AI192:AN192)</f>
        <v>0.49082206847008714</v>
      </c>
      <c r="AI192" s="1344">
        <f t="shared" si="381"/>
        <v>0</v>
      </c>
      <c r="AJ192" s="1345">
        <f t="shared" si="382"/>
        <v>0.16360735615669558</v>
      </c>
      <c r="AK192" s="1345">
        <f t="shared" si="383"/>
        <v>0.34539330744191288</v>
      </c>
      <c r="AL192" s="1345">
        <f t="shared" si="384"/>
        <v>1.2802683927550451E-4</v>
      </c>
      <c r="AM192" s="1346">
        <f t="shared" si="385"/>
        <v>2.4620546014520098E-5</v>
      </c>
      <c r="AN192" s="1347">
        <f t="shared" si="386"/>
        <v>2.4620546014520098E-5</v>
      </c>
      <c r="AO192" s="1084"/>
      <c r="AP192" s="2006" t="s">
        <v>875</v>
      </c>
      <c r="AQ192" s="2006"/>
      <c r="AR192" s="2006"/>
      <c r="AS192" s="2006"/>
      <c r="AT192" s="2006"/>
      <c r="AU192" s="2006"/>
      <c r="AV192" s="2006"/>
      <c r="AW192" s="2006"/>
      <c r="AX192" s="2006"/>
      <c r="AY192" s="2006"/>
      <c r="AZ192" s="2007"/>
      <c r="BA192" s="2007"/>
      <c r="BB192" s="1722"/>
      <c r="BC192" s="1722"/>
    </row>
    <row r="193" spans="1:55" ht="15" hidden="1" customHeight="1" outlineLevel="2" x14ac:dyDescent="0.2">
      <c r="A193" s="459" t="s">
        <v>1104</v>
      </c>
      <c r="B193" s="451">
        <v>10</v>
      </c>
      <c r="C193" s="155">
        <v>2.1339999999999999</v>
      </c>
      <c r="D193" s="68">
        <v>2.1162162162162164E-2</v>
      </c>
      <c r="E193" s="27">
        <v>0</v>
      </c>
      <c r="F193" s="1931">
        <v>7.0540540540540526E-3</v>
      </c>
      <c r="G193" s="2695">
        <v>0</v>
      </c>
      <c r="H193" s="29">
        <v>0.15720884079391892</v>
      </c>
      <c r="I193" s="28">
        <v>1.8895293364653714E-2</v>
      </c>
      <c r="J193" s="129">
        <v>13.34</v>
      </c>
      <c r="K193" s="28">
        <v>1.8895293364653714E-2</v>
      </c>
      <c r="L193" s="146">
        <v>3</v>
      </c>
      <c r="M193" s="571">
        <v>6</v>
      </c>
      <c r="N193" s="2293">
        <v>1</v>
      </c>
      <c r="O193" s="2507" t="s">
        <v>332</v>
      </c>
      <c r="P193" s="182">
        <f t="shared" si="366"/>
        <v>0.22321564373944255</v>
      </c>
      <c r="Q193" s="1087"/>
      <c r="R193" s="3207"/>
      <c r="S193" s="3207"/>
      <c r="T193" s="129">
        <f t="shared" si="369"/>
        <v>2.1339999999999999</v>
      </c>
      <c r="U193" s="68">
        <f t="shared" si="370"/>
        <v>4.4742857142857147E-2</v>
      </c>
      <c r="V193" s="27">
        <f t="shared" si="371"/>
        <v>0</v>
      </c>
      <c r="W193" s="363">
        <f t="shared" si="372"/>
        <v>1.4914285714285712E-2</v>
      </c>
      <c r="X193" s="363">
        <f t="shared" si="373"/>
        <v>0</v>
      </c>
      <c r="Y193" s="363">
        <f t="shared" si="374"/>
        <v>0.33238440624999999</v>
      </c>
      <c r="Z193" s="28">
        <f t="shared" si="375"/>
        <v>3.9950048828124994E-2</v>
      </c>
      <c r="AA193" s="129">
        <f t="shared" si="376"/>
        <v>13.34</v>
      </c>
      <c r="AB193" s="28">
        <f t="shared" si="377"/>
        <v>3.9950048828124994E-2</v>
      </c>
      <c r="AC193" s="364">
        <f t="shared" si="378"/>
        <v>3</v>
      </c>
      <c r="AD193" s="182">
        <f t="shared" si="379"/>
        <v>0.47194164676339279</v>
      </c>
      <c r="AE193" s="1087"/>
      <c r="AF193" s="462" t="s">
        <v>1104</v>
      </c>
      <c r="AG193" s="2526"/>
      <c r="AH193" s="1343">
        <f>1-SUM(AI193:AN193)</f>
        <v>9.4805909691815904E-2</v>
      </c>
      <c r="AI193" s="1344">
        <f t="shared" si="381"/>
        <v>0</v>
      </c>
      <c r="AJ193" s="1345">
        <f t="shared" si="382"/>
        <v>3.1601969897271993E-2</v>
      </c>
      <c r="AK193" s="1345">
        <f t="shared" si="383"/>
        <v>0</v>
      </c>
      <c r="AL193" s="1345">
        <f t="shared" si="384"/>
        <v>0.70429132188166554</v>
      </c>
      <c r="AM193" s="1346">
        <f t="shared" si="385"/>
        <v>8.4650399264623255E-2</v>
      </c>
      <c r="AN193" s="1347">
        <f t="shared" si="386"/>
        <v>8.4650399264623255E-2</v>
      </c>
      <c r="AO193" s="1084"/>
      <c r="AP193" s="2006" t="s">
        <v>876</v>
      </c>
      <c r="AQ193" s="2006"/>
      <c r="AR193" s="2006"/>
      <c r="AS193" s="2006"/>
      <c r="AT193" s="2006"/>
      <c r="AU193" s="2006"/>
      <c r="AV193" s="2006"/>
      <c r="AW193" s="2006"/>
      <c r="AX193" s="2006"/>
      <c r="AY193" s="2006"/>
      <c r="AZ193" s="2007"/>
      <c r="BA193" s="2007"/>
      <c r="BB193" s="1722"/>
      <c r="BC193" s="1722"/>
    </row>
    <row r="194" spans="1:55" ht="15" hidden="1" customHeight="1" outlineLevel="2" x14ac:dyDescent="0.2">
      <c r="A194" s="459" t="s">
        <v>1105</v>
      </c>
      <c r="B194" s="451">
        <v>10</v>
      </c>
      <c r="C194" s="155">
        <v>2.1339999999999999</v>
      </c>
      <c r="D194" s="68">
        <v>2.1162162162162164E-2</v>
      </c>
      <c r="E194" s="27">
        <v>0</v>
      </c>
      <c r="F194" s="1931">
        <v>7.0540540540540526E-3</v>
      </c>
      <c r="G194" s="2695">
        <v>0</v>
      </c>
      <c r="H194" s="29">
        <v>0.16703439334353884</v>
      </c>
      <c r="I194" s="28">
        <v>1.8895293364653714E-2</v>
      </c>
      <c r="J194" s="129">
        <v>13.34</v>
      </c>
      <c r="K194" s="28">
        <v>1.8895293364653714E-2</v>
      </c>
      <c r="L194" s="146">
        <v>3</v>
      </c>
      <c r="M194" s="571">
        <v>6</v>
      </c>
      <c r="N194" s="2293">
        <v>1</v>
      </c>
      <c r="O194" s="2507" t="s">
        <v>332</v>
      </c>
      <c r="P194" s="182">
        <f t="shared" si="366"/>
        <v>0.23304119628906247</v>
      </c>
      <c r="Q194" s="1087"/>
      <c r="R194" s="3207"/>
      <c r="S194" s="3207"/>
      <c r="T194" s="129">
        <f t="shared" si="369"/>
        <v>2.1339999999999999</v>
      </c>
      <c r="U194" s="68">
        <f t="shared" si="370"/>
        <v>4.4742857142857147E-2</v>
      </c>
      <c r="V194" s="27">
        <f t="shared" si="371"/>
        <v>0</v>
      </c>
      <c r="W194" s="363">
        <f t="shared" si="372"/>
        <v>1.4914285714285712E-2</v>
      </c>
      <c r="X194" s="363">
        <f t="shared" si="373"/>
        <v>0</v>
      </c>
      <c r="Y194" s="363">
        <f t="shared" si="374"/>
        <v>0.35315843164062499</v>
      </c>
      <c r="Z194" s="28">
        <f t="shared" si="375"/>
        <v>3.9950048828124994E-2</v>
      </c>
      <c r="AA194" s="129">
        <f t="shared" si="376"/>
        <v>13.34</v>
      </c>
      <c r="AB194" s="28">
        <f t="shared" si="377"/>
        <v>3.9950048828124994E-2</v>
      </c>
      <c r="AC194" s="364">
        <f t="shared" si="378"/>
        <v>3</v>
      </c>
      <c r="AD194" s="182">
        <f t="shared" si="379"/>
        <v>0.49271567215401779</v>
      </c>
      <c r="AE194" s="1087"/>
      <c r="AF194" s="462" t="s">
        <v>1105</v>
      </c>
      <c r="AG194" s="2526"/>
      <c r="AH194" s="1343">
        <f>1-SUM(AI194:AN194)</f>
        <v>9.0808674599802464E-2</v>
      </c>
      <c r="AI194" s="1344">
        <f t="shared" si="381"/>
        <v>0</v>
      </c>
      <c r="AJ194" s="1345">
        <f t="shared" si="382"/>
        <v>3.0269558199934141E-2</v>
      </c>
      <c r="AK194" s="1345">
        <f t="shared" si="383"/>
        <v>0</v>
      </c>
      <c r="AL194" s="1345">
        <f t="shared" si="384"/>
        <v>0.71675907952493811</v>
      </c>
      <c r="AM194" s="1346">
        <f t="shared" si="385"/>
        <v>8.1081343837662675E-2</v>
      </c>
      <c r="AN194" s="1347">
        <f t="shared" si="386"/>
        <v>8.1081343837662675E-2</v>
      </c>
      <c r="AO194" s="1084"/>
      <c r="AP194" s="2006" t="s">
        <v>876</v>
      </c>
      <c r="AQ194" s="2006"/>
      <c r="AR194" s="2006"/>
      <c r="AS194" s="2006"/>
      <c r="AT194" s="2006"/>
      <c r="AU194" s="2006"/>
      <c r="AV194" s="2006"/>
      <c r="AW194" s="2006"/>
      <c r="AX194" s="2006"/>
      <c r="AY194" s="2006"/>
      <c r="AZ194" s="2007"/>
      <c r="BA194" s="2007"/>
      <c r="BB194" s="1722"/>
      <c r="BC194" s="1722"/>
    </row>
    <row r="195" spans="1:55" ht="15" hidden="1" customHeight="1" outlineLevel="1" collapsed="1" x14ac:dyDescent="0.2">
      <c r="A195" s="457" t="s">
        <v>795</v>
      </c>
      <c r="B195" s="450" t="str">
        <f t="shared" ref="B195:C195" si="387">B$6</f>
        <v>Trips</v>
      </c>
      <c r="C195" s="172" t="str">
        <f t="shared" si="387"/>
        <v>Mbpd</v>
      </c>
      <c r="D195" s="2556" t="s">
        <v>303</v>
      </c>
      <c r="E195" s="2556" t="s">
        <v>9</v>
      </c>
      <c r="F195" s="2556" t="s">
        <v>304</v>
      </c>
      <c r="G195" s="2709" t="s">
        <v>970</v>
      </c>
      <c r="H195" s="2556" t="s">
        <v>312</v>
      </c>
      <c r="I195" s="2556" t="s">
        <v>330</v>
      </c>
      <c r="J195" s="2556" t="s">
        <v>308</v>
      </c>
      <c r="K195" s="2556" t="s">
        <v>309</v>
      </c>
      <c r="L195" s="178" t="s">
        <v>299</v>
      </c>
      <c r="M195" s="572" t="str">
        <f>M$6</f>
        <v>DPM/c</v>
      </c>
      <c r="N195" s="2292" t="str">
        <f>N$6</f>
        <v>MT</v>
      </c>
      <c r="O195" s="2506" t="str">
        <f>O$8</f>
        <v xml:space="preserve">WF </v>
      </c>
      <c r="P195" s="181" t="s">
        <v>273</v>
      </c>
      <c r="Q195" s="1087"/>
      <c r="R195" s="181"/>
      <c r="S195" s="181"/>
      <c r="T195" s="1270" t="s">
        <v>308</v>
      </c>
      <c r="U195" s="2556" t="s">
        <v>303</v>
      </c>
      <c r="V195" s="2556" t="str">
        <f>V$6</f>
        <v xml:space="preserve">WTS </v>
      </c>
      <c r="W195" s="2556" t="str">
        <f>+W$6</f>
        <v>Web</v>
      </c>
      <c r="X195" s="2556" t="str">
        <f>+X$6</f>
        <v>Portal</v>
      </c>
      <c r="Y195" s="2556" t="s">
        <v>312</v>
      </c>
      <c r="Z195" s="2556" t="s">
        <v>330</v>
      </c>
      <c r="AA195" s="2556" t="s">
        <v>308</v>
      </c>
      <c r="AB195" s="2556" t="s">
        <v>309</v>
      </c>
      <c r="AC195" s="178" t="s">
        <v>299</v>
      </c>
      <c r="AD195" s="181" t="s">
        <v>273</v>
      </c>
      <c r="AE195" s="1087"/>
      <c r="AF195" s="404" t="str">
        <f>A195</f>
        <v>ArcGIS 10.2 for Mobile Services  =========</v>
      </c>
      <c r="AG195" s="2526"/>
      <c r="AH195" s="1339" t="str">
        <f t="shared" ref="AH195:AM195" si="388">D195</f>
        <v>Client</v>
      </c>
      <c r="AI195" s="1339" t="str">
        <f t="shared" si="388"/>
        <v xml:space="preserve">WTS </v>
      </c>
      <c r="AJ195" s="1339" t="str">
        <f t="shared" si="388"/>
        <v>Web</v>
      </c>
      <c r="AK195" s="1339" t="str">
        <f t="shared" si="388"/>
        <v>Portal</v>
      </c>
      <c r="AL195" s="1340" t="str">
        <f t="shared" si="388"/>
        <v>SOC</v>
      </c>
      <c r="AM195" s="1341" t="str">
        <f t="shared" si="388"/>
        <v>SDE</v>
      </c>
      <c r="AN195" s="1342" t="str">
        <f>K195</f>
        <v>DBMS</v>
      </c>
      <c r="AO195" s="1084"/>
      <c r="AP195" s="2006"/>
      <c r="AQ195" s="2006"/>
      <c r="AR195" s="2006"/>
      <c r="AS195" s="2006"/>
      <c r="AT195" s="2006"/>
      <c r="AU195" s="2006"/>
      <c r="AV195" s="2006"/>
      <c r="AW195" s="2006"/>
      <c r="AX195" s="2006"/>
      <c r="AY195" s="2006"/>
      <c r="AZ195" s="2007"/>
      <c r="BA195" s="2007"/>
    </row>
    <row r="196" spans="1:55" ht="15" hidden="1" customHeight="1" outlineLevel="2" x14ac:dyDescent="0.2">
      <c r="A196" s="459" t="s">
        <v>790</v>
      </c>
      <c r="B196" s="451"/>
      <c r="C196" s="155"/>
      <c r="D196" s="68">
        <v>0.10267567567567569</v>
      </c>
      <c r="E196" s="27">
        <v>0</v>
      </c>
      <c r="F196" s="30">
        <v>0</v>
      </c>
      <c r="G196" s="2710">
        <v>0</v>
      </c>
      <c r="H196" s="30">
        <v>0</v>
      </c>
      <c r="I196" s="28">
        <v>0</v>
      </c>
      <c r="J196" s="129">
        <v>0</v>
      </c>
      <c r="K196" s="28">
        <v>0</v>
      </c>
      <c r="L196" s="146">
        <v>3</v>
      </c>
      <c r="M196" s="571">
        <v>6</v>
      </c>
      <c r="N196" s="2293">
        <v>1</v>
      </c>
      <c r="O196" s="2507" t="s">
        <v>332</v>
      </c>
      <c r="P196" s="182">
        <f t="shared" si="366"/>
        <v>0.10267567567567569</v>
      </c>
      <c r="Q196" s="1087"/>
      <c r="R196" s="3219">
        <f t="shared" ref="R196" si="389">F196+G196</f>
        <v>0</v>
      </c>
      <c r="S196" s="3219">
        <f t="shared" ref="S196" si="390">E196+H196+K196</f>
        <v>0</v>
      </c>
      <c r="T196" s="129">
        <f>C196</f>
        <v>0</v>
      </c>
      <c r="U196" s="68">
        <f t="shared" ref="U196:Z198" si="391">D196*$K$3/$AB$3</f>
        <v>0.2170857142857143</v>
      </c>
      <c r="V196" s="27">
        <f t="shared" si="391"/>
        <v>0</v>
      </c>
      <c r="W196" s="363">
        <f t="shared" si="391"/>
        <v>0</v>
      </c>
      <c r="X196" s="363">
        <f t="shared" si="391"/>
        <v>0</v>
      </c>
      <c r="Y196" s="363">
        <f t="shared" si="391"/>
        <v>0</v>
      </c>
      <c r="Z196" s="28">
        <f t="shared" si="391"/>
        <v>0</v>
      </c>
      <c r="AA196" s="129">
        <f>J196</f>
        <v>0</v>
      </c>
      <c r="AB196" s="28">
        <f>K196*$K$3/$AB$3</f>
        <v>0</v>
      </c>
      <c r="AC196" s="364">
        <f>L196</f>
        <v>3</v>
      </c>
      <c r="AD196" s="182">
        <f>SUM(U196:Z196,AB196)</f>
        <v>0.2170857142857143</v>
      </c>
      <c r="AE196" s="1087"/>
      <c r="AF196" s="1166" t="s">
        <v>1145</v>
      </c>
      <c r="AG196" s="2526"/>
      <c r="AH196" s="1343">
        <f>1-SUM(AI196:AN196)</f>
        <v>1</v>
      </c>
      <c r="AI196" s="1344">
        <f t="shared" ref="AI196:AM198" si="392">E196/$P196</f>
        <v>0</v>
      </c>
      <c r="AJ196" s="1345">
        <f t="shared" si="392"/>
        <v>0</v>
      </c>
      <c r="AK196" s="1345">
        <f t="shared" si="392"/>
        <v>0</v>
      </c>
      <c r="AL196" s="1345">
        <f t="shared" si="392"/>
        <v>0</v>
      </c>
      <c r="AM196" s="1346">
        <f t="shared" si="392"/>
        <v>0</v>
      </c>
      <c r="AN196" s="1347">
        <f>K196/$P196</f>
        <v>0</v>
      </c>
      <c r="AO196" s="1084"/>
      <c r="AP196" s="2006"/>
      <c r="AQ196" s="2006"/>
      <c r="AR196" s="2006"/>
      <c r="AS196" s="2006"/>
      <c r="AT196" s="2006"/>
      <c r="AU196" s="2006"/>
      <c r="AV196" s="2006"/>
      <c r="AW196" s="2006"/>
      <c r="AX196" s="2006"/>
      <c r="AY196" s="2006"/>
      <c r="AZ196" s="2007"/>
      <c r="BA196" s="2007"/>
    </row>
    <row r="197" spans="1:55" ht="15" hidden="1" customHeight="1" outlineLevel="2" x14ac:dyDescent="0.2">
      <c r="A197" s="460" t="s">
        <v>791</v>
      </c>
      <c r="B197" s="451">
        <v>10</v>
      </c>
      <c r="C197" s="155">
        <v>0.5</v>
      </c>
      <c r="D197" s="68">
        <v>1.1560810810810807E-2</v>
      </c>
      <c r="E197" s="27">
        <v>0</v>
      </c>
      <c r="F197" s="30">
        <v>7.0540540540540526E-3</v>
      </c>
      <c r="G197" s="2696">
        <v>0</v>
      </c>
      <c r="H197" s="1175">
        <v>1.7439189189189185E-3</v>
      </c>
      <c r="I197" s="28">
        <v>8.7195945945945925E-4</v>
      </c>
      <c r="J197" s="129">
        <v>0.5</v>
      </c>
      <c r="K197" s="28">
        <v>8.7195945945945925E-4</v>
      </c>
      <c r="L197" s="146">
        <v>3</v>
      </c>
      <c r="M197" s="571">
        <v>6</v>
      </c>
      <c r="N197" s="2293">
        <v>1</v>
      </c>
      <c r="O197" s="2507" t="s">
        <v>332</v>
      </c>
      <c r="P197" s="182">
        <f t="shared" si="366"/>
        <v>2.2102702702702693E-2</v>
      </c>
      <c r="Q197" s="1087"/>
      <c r="R197" s="3207"/>
      <c r="S197" s="3207"/>
      <c r="T197" s="129">
        <f>C197</f>
        <v>0.5</v>
      </c>
      <c r="U197" s="68">
        <f t="shared" si="391"/>
        <v>2.4442857142857134E-2</v>
      </c>
      <c r="V197" s="27">
        <f t="shared" si="391"/>
        <v>0</v>
      </c>
      <c r="W197" s="363">
        <f t="shared" si="391"/>
        <v>1.4914285714285712E-2</v>
      </c>
      <c r="X197" s="363">
        <f t="shared" si="391"/>
        <v>0</v>
      </c>
      <c r="Y197" s="363">
        <f t="shared" si="391"/>
        <v>3.6871428571428563E-3</v>
      </c>
      <c r="Z197" s="28">
        <f t="shared" si="391"/>
        <v>1.8435714285714281E-3</v>
      </c>
      <c r="AA197" s="129">
        <f>J197</f>
        <v>0.5</v>
      </c>
      <c r="AB197" s="28">
        <f>K197*$K$3/$AB$3</f>
        <v>1.8435714285714281E-3</v>
      </c>
      <c r="AC197" s="364">
        <f>L197</f>
        <v>3</v>
      </c>
      <c r="AD197" s="182">
        <f>SUM(U197:Z197,AB197)</f>
        <v>4.6731428571428563E-2</v>
      </c>
      <c r="AE197" s="1087"/>
      <c r="AF197" s="1166" t="s">
        <v>1106</v>
      </c>
      <c r="AG197" s="2526"/>
      <c r="AH197" s="1343">
        <f>1-SUM(AI197:AN197)</f>
        <v>0.52304964539007082</v>
      </c>
      <c r="AI197" s="1344">
        <f t="shared" si="392"/>
        <v>0</v>
      </c>
      <c r="AJ197" s="1345">
        <f t="shared" si="392"/>
        <v>0.31914893617021284</v>
      </c>
      <c r="AK197" s="1345">
        <f t="shared" si="392"/>
        <v>0</v>
      </c>
      <c r="AL197" s="1345">
        <f t="shared" si="392"/>
        <v>7.8900709219858173E-2</v>
      </c>
      <c r="AM197" s="1346">
        <f t="shared" si="392"/>
        <v>3.9450354609929086E-2</v>
      </c>
      <c r="AN197" s="1347">
        <f>K197/$P197</f>
        <v>3.9450354609929086E-2</v>
      </c>
      <c r="AO197" s="1084"/>
      <c r="AP197" s="2006"/>
      <c r="AQ197" s="2006"/>
      <c r="AR197" s="2006"/>
      <c r="AS197" s="2006"/>
      <c r="AT197" s="2006"/>
      <c r="AU197" s="2006"/>
      <c r="AV197" s="2006"/>
      <c r="AW197" s="2006"/>
      <c r="AX197" s="2006"/>
      <c r="AY197" s="2006"/>
      <c r="AZ197" s="2007"/>
      <c r="BA197" s="2007"/>
    </row>
    <row r="198" spans="1:55" ht="15" hidden="1" customHeight="1" outlineLevel="2" x14ac:dyDescent="0.2">
      <c r="A198" s="460" t="s">
        <v>792</v>
      </c>
      <c r="B198" s="451">
        <v>10</v>
      </c>
      <c r="C198" s="155">
        <v>5</v>
      </c>
      <c r="D198" s="68">
        <v>0.11560810810810811</v>
      </c>
      <c r="E198" s="27">
        <v>0</v>
      </c>
      <c r="F198" s="30">
        <v>7.0540540540540526E-3</v>
      </c>
      <c r="G198" s="2696">
        <v>0</v>
      </c>
      <c r="H198" s="1175">
        <v>1.7439189189189189E-2</v>
      </c>
      <c r="I198" s="28">
        <v>8.7195945945945947E-3</v>
      </c>
      <c r="J198" s="129">
        <v>5</v>
      </c>
      <c r="K198" s="28">
        <v>8.7195945945945947E-3</v>
      </c>
      <c r="L198" s="146">
        <v>3</v>
      </c>
      <c r="M198" s="571">
        <v>6</v>
      </c>
      <c r="N198" s="2293">
        <v>1</v>
      </c>
      <c r="O198" s="2507" t="s">
        <v>332</v>
      </c>
      <c r="P198" s="182">
        <f t="shared" si="366"/>
        <v>0.15754054054054054</v>
      </c>
      <c r="Q198" s="1087"/>
      <c r="R198" s="3207"/>
      <c r="S198" s="3207"/>
      <c r="T198" s="129">
        <f>C198</f>
        <v>5</v>
      </c>
      <c r="U198" s="68">
        <f t="shared" si="391"/>
        <v>0.24442857142857141</v>
      </c>
      <c r="V198" s="27">
        <f t="shared" si="391"/>
        <v>0</v>
      </c>
      <c r="W198" s="363">
        <f t="shared" si="391"/>
        <v>1.4914285714285712E-2</v>
      </c>
      <c r="X198" s="363">
        <f t="shared" si="391"/>
        <v>0</v>
      </c>
      <c r="Y198" s="363">
        <f t="shared" si="391"/>
        <v>3.6871428571428569E-2</v>
      </c>
      <c r="Z198" s="28">
        <f t="shared" si="391"/>
        <v>1.8435714285714284E-2</v>
      </c>
      <c r="AA198" s="129">
        <f>J198</f>
        <v>5</v>
      </c>
      <c r="AB198" s="28">
        <f>K198*$K$3/$AB$3</f>
        <v>1.8435714285714284E-2</v>
      </c>
      <c r="AC198" s="364">
        <f>L198</f>
        <v>3</v>
      </c>
      <c r="AD198" s="182">
        <f>SUM(U198:Z198,AB198)</f>
        <v>0.33308571428571421</v>
      </c>
      <c r="AE198" s="1087"/>
      <c r="AF198" s="1166" t="s">
        <v>1107</v>
      </c>
      <c r="AG198" s="2526"/>
      <c r="AH198" s="1343">
        <f>1-SUM(AI198:AN198)</f>
        <v>0.73383084577114421</v>
      </c>
      <c r="AI198" s="1344">
        <f t="shared" si="392"/>
        <v>0</v>
      </c>
      <c r="AJ198" s="1345">
        <f t="shared" si="392"/>
        <v>4.4776119402985065E-2</v>
      </c>
      <c r="AK198" s="1345">
        <f t="shared" si="392"/>
        <v>0</v>
      </c>
      <c r="AL198" s="1345">
        <f t="shared" si="392"/>
        <v>0.11069651741293533</v>
      </c>
      <c r="AM198" s="1346">
        <f t="shared" si="392"/>
        <v>5.5348258706467666E-2</v>
      </c>
      <c r="AN198" s="1347">
        <f>K198/$P198</f>
        <v>5.5348258706467666E-2</v>
      </c>
      <c r="AO198" s="1084"/>
      <c r="AP198" s="2006"/>
      <c r="AQ198" s="2006"/>
      <c r="AR198" s="2006"/>
      <c r="AS198" s="2006"/>
      <c r="AT198" s="2006"/>
      <c r="AU198" s="2006"/>
      <c r="AV198" s="2006"/>
      <c r="AW198" s="2006"/>
      <c r="AX198" s="2006"/>
      <c r="AY198" s="2006"/>
      <c r="AZ198" s="2007"/>
      <c r="BA198" s="2007"/>
    </row>
    <row r="199" spans="1:55" ht="15" hidden="1" customHeight="1" outlineLevel="1" collapsed="1" x14ac:dyDescent="0.2">
      <c r="A199" s="457" t="s">
        <v>796</v>
      </c>
      <c r="B199" s="450" t="str">
        <f t="shared" ref="B199:C199" si="393">B$6</f>
        <v>Trips</v>
      </c>
      <c r="C199" s="172" t="str">
        <f t="shared" si="393"/>
        <v>Mbpd</v>
      </c>
      <c r="D199" s="2556" t="s">
        <v>303</v>
      </c>
      <c r="E199" s="2556" t="s">
        <v>9</v>
      </c>
      <c r="F199" s="2556" t="s">
        <v>304</v>
      </c>
      <c r="G199" s="2709" t="s">
        <v>970</v>
      </c>
      <c r="H199" s="2556" t="s">
        <v>312</v>
      </c>
      <c r="I199" s="2556" t="s">
        <v>330</v>
      </c>
      <c r="J199" s="2556" t="s">
        <v>308</v>
      </c>
      <c r="K199" s="2556" t="s">
        <v>309</v>
      </c>
      <c r="L199" s="178" t="s">
        <v>299</v>
      </c>
      <c r="M199" s="572" t="str">
        <f>M$6</f>
        <v>DPM/c</v>
      </c>
      <c r="N199" s="2292" t="str">
        <f>N$6</f>
        <v>MT</v>
      </c>
      <c r="O199" s="2506" t="str">
        <f>O$8</f>
        <v xml:space="preserve">WF </v>
      </c>
      <c r="P199" s="181" t="s">
        <v>273</v>
      </c>
      <c r="Q199" s="1087"/>
      <c r="R199" s="181"/>
      <c r="S199" s="181"/>
      <c r="T199" s="1270" t="s">
        <v>308</v>
      </c>
      <c r="U199" s="2556" t="s">
        <v>303</v>
      </c>
      <c r="V199" s="2556" t="str">
        <f>V$6</f>
        <v xml:space="preserve">WTS </v>
      </c>
      <c r="W199" s="2556" t="str">
        <f>+W$6</f>
        <v>Web</v>
      </c>
      <c r="X199" s="2556" t="str">
        <f>+X$6</f>
        <v>Portal</v>
      </c>
      <c r="Y199" s="2556" t="s">
        <v>312</v>
      </c>
      <c r="Z199" s="2556" t="s">
        <v>330</v>
      </c>
      <c r="AA199" s="2556" t="s">
        <v>308</v>
      </c>
      <c r="AB199" s="2556" t="s">
        <v>309</v>
      </c>
      <c r="AC199" s="178" t="s">
        <v>299</v>
      </c>
      <c r="AD199" s="181" t="s">
        <v>273</v>
      </c>
      <c r="AE199" s="1087"/>
      <c r="AF199" s="1168" t="str">
        <f>A199</f>
        <v>ArcGIS 10.2 for Server Image Services  =========</v>
      </c>
      <c r="AG199" s="2526"/>
      <c r="AH199" s="1339" t="str">
        <f t="shared" ref="AH199:AM199" si="394">D199</f>
        <v>Client</v>
      </c>
      <c r="AI199" s="1339" t="str">
        <f t="shared" si="394"/>
        <v xml:space="preserve">WTS </v>
      </c>
      <c r="AJ199" s="1339" t="str">
        <f t="shared" si="394"/>
        <v>Web</v>
      </c>
      <c r="AK199" s="1339" t="str">
        <f t="shared" si="394"/>
        <v>Portal</v>
      </c>
      <c r="AL199" s="1340" t="str">
        <f t="shared" si="394"/>
        <v>SOC</v>
      </c>
      <c r="AM199" s="1341" t="str">
        <f t="shared" si="394"/>
        <v>SDE</v>
      </c>
      <c r="AN199" s="1342" t="str">
        <f>K199</f>
        <v>DBMS</v>
      </c>
      <c r="AO199" s="1084"/>
      <c r="AP199" s="2006"/>
      <c r="AQ199" s="2006"/>
      <c r="AR199" s="2006"/>
      <c r="AS199" s="2006"/>
      <c r="AT199" s="2006"/>
      <c r="AU199" s="2006"/>
      <c r="AV199" s="2006"/>
      <c r="AW199" s="2006"/>
      <c r="AX199" s="2006"/>
      <c r="AY199" s="2006"/>
      <c r="AZ199" s="2007"/>
      <c r="BA199" s="2007"/>
    </row>
    <row r="200" spans="1:55" ht="15" hidden="1" customHeight="1" outlineLevel="2" x14ac:dyDescent="0.2">
      <c r="A200" s="678" t="s">
        <v>1164</v>
      </c>
      <c r="B200" s="451">
        <v>10</v>
      </c>
      <c r="C200" s="155">
        <v>2.1339999999999999</v>
      </c>
      <c r="D200" s="68">
        <v>2.1162162162162164E-2</v>
      </c>
      <c r="E200" s="27">
        <v>0</v>
      </c>
      <c r="F200" s="30">
        <v>7.0540540540540526E-3</v>
      </c>
      <c r="G200" s="2696">
        <v>0</v>
      </c>
      <c r="H200" s="1175">
        <v>6.7088906777871618E-2</v>
      </c>
      <c r="I200" s="1176">
        <v>8.3861133472339523E-3</v>
      </c>
      <c r="J200" s="129">
        <v>13.34</v>
      </c>
      <c r="K200" s="28">
        <v>8.3861133472339523E-3</v>
      </c>
      <c r="L200" s="146">
        <v>3</v>
      </c>
      <c r="M200" s="571">
        <v>6</v>
      </c>
      <c r="N200" s="2293">
        <v>1</v>
      </c>
      <c r="O200" s="2507" t="s">
        <v>541</v>
      </c>
      <c r="P200" s="182">
        <f>SUM(D200:I200,K200)</f>
        <v>0.11207734968855573</v>
      </c>
      <c r="Q200" s="2527"/>
      <c r="R200" s="3219">
        <f t="shared" ref="R200" si="395">F200+G200</f>
        <v>7.0540540540540526E-3</v>
      </c>
      <c r="S200" s="3219">
        <f t="shared" ref="S200" si="396">E200+H200+K200</f>
        <v>7.5475020125105569E-2</v>
      </c>
      <c r="T200" s="129">
        <f>C200</f>
        <v>2.1339999999999999</v>
      </c>
      <c r="U200" s="68">
        <f t="shared" ref="U200:Z202" si="397">D200*$K$3/$AB$3</f>
        <v>4.4742857142857147E-2</v>
      </c>
      <c r="V200" s="27">
        <f t="shared" si="397"/>
        <v>0</v>
      </c>
      <c r="W200" s="363">
        <f t="shared" si="397"/>
        <v>1.4914285714285712E-2</v>
      </c>
      <c r="X200" s="363">
        <f t="shared" si="397"/>
        <v>0</v>
      </c>
      <c r="Y200" s="363">
        <f t="shared" si="397"/>
        <v>0.14184511718749998</v>
      </c>
      <c r="Z200" s="28">
        <f t="shared" si="397"/>
        <v>1.7730639648437498E-2</v>
      </c>
      <c r="AA200" s="129">
        <f>J200</f>
        <v>13.34</v>
      </c>
      <c r="AB200" s="28">
        <f>K200*$K$3/$AB$3</f>
        <v>1.7730639648437498E-2</v>
      </c>
      <c r="AC200" s="364">
        <f>L200</f>
        <v>3</v>
      </c>
      <c r="AD200" s="182">
        <f>SUM(U200:Z200,AB200)</f>
        <v>0.23696353934151781</v>
      </c>
      <c r="AE200" s="1087"/>
      <c r="AF200" s="1166" t="s">
        <v>1163</v>
      </c>
      <c r="AG200" s="2526"/>
      <c r="AH200" s="1343">
        <f>1-SUM(AI200:AN200)</f>
        <v>0.18881747490432521</v>
      </c>
      <c r="AI200" s="1344">
        <f t="shared" ref="AI200:AM202" si="398">E200/$P200</f>
        <v>0</v>
      </c>
      <c r="AJ200" s="1345">
        <f t="shared" si="398"/>
        <v>6.2939158301441755E-2</v>
      </c>
      <c r="AK200" s="1345">
        <f t="shared" si="398"/>
        <v>0</v>
      </c>
      <c r="AL200" s="1345">
        <f t="shared" si="398"/>
        <v>0.5985946934353864</v>
      </c>
      <c r="AM200" s="1346">
        <f t="shared" si="398"/>
        <v>7.4824336679423301E-2</v>
      </c>
      <c r="AN200" s="1347">
        <f>K200/$P200</f>
        <v>7.4824336679423301E-2</v>
      </c>
      <c r="AO200" s="1084"/>
      <c r="AP200" s="2006" t="s">
        <v>877</v>
      </c>
      <c r="AQ200" s="2006"/>
      <c r="AR200" s="2006"/>
      <c r="AS200" s="2006"/>
      <c r="AT200" s="2006"/>
      <c r="AU200" s="2006"/>
      <c r="AV200" s="2006"/>
      <c r="AW200" s="2006"/>
      <c r="AX200" s="2006"/>
      <c r="AY200" s="2006"/>
      <c r="AZ200" s="2007"/>
      <c r="BA200" s="2007"/>
    </row>
    <row r="201" spans="1:55" ht="15" hidden="1" customHeight="1" outlineLevel="2" x14ac:dyDescent="0.2">
      <c r="A201" s="678" t="s">
        <v>1165</v>
      </c>
      <c r="B201" s="451">
        <v>10</v>
      </c>
      <c r="C201" s="155">
        <v>2.1339999999999999</v>
      </c>
      <c r="D201" s="68">
        <v>2.1162162162162164E-2</v>
      </c>
      <c r="E201" s="27">
        <v>0</v>
      </c>
      <c r="F201" s="30">
        <v>7.0540540540540526E-3</v>
      </c>
      <c r="G201" s="2696">
        <v>0</v>
      </c>
      <c r="H201" s="1175">
        <v>3.3544453388935809E-2</v>
      </c>
      <c r="I201" s="1176">
        <v>4.1930566736169761E-3</v>
      </c>
      <c r="J201" s="129">
        <v>6.67</v>
      </c>
      <c r="K201" s="28">
        <v>4.1930566736169761E-3</v>
      </c>
      <c r="L201" s="146">
        <v>3</v>
      </c>
      <c r="M201" s="571">
        <v>6</v>
      </c>
      <c r="N201" s="2293">
        <v>1</v>
      </c>
      <c r="O201" s="2507" t="s">
        <v>541</v>
      </c>
      <c r="P201" s="182">
        <f>SUM(D201:I201,K201)</f>
        <v>7.0146782952385994E-2</v>
      </c>
      <c r="Q201" s="1087"/>
      <c r="R201" s="3207"/>
      <c r="S201" s="3207"/>
      <c r="T201" s="129">
        <f>C201</f>
        <v>2.1339999999999999</v>
      </c>
      <c r="U201" s="68">
        <f t="shared" si="397"/>
        <v>4.4742857142857147E-2</v>
      </c>
      <c r="V201" s="27">
        <f t="shared" si="397"/>
        <v>0</v>
      </c>
      <c r="W201" s="363">
        <f t="shared" si="397"/>
        <v>1.4914285714285712E-2</v>
      </c>
      <c r="X201" s="363">
        <f t="shared" si="397"/>
        <v>0</v>
      </c>
      <c r="Y201" s="363">
        <f t="shared" si="397"/>
        <v>7.092255859374999E-2</v>
      </c>
      <c r="Z201" s="28">
        <f t="shared" si="397"/>
        <v>8.8653198242187488E-3</v>
      </c>
      <c r="AA201" s="129">
        <f>J201</f>
        <v>6.67</v>
      </c>
      <c r="AB201" s="28">
        <f>K201*$K$3/$AB$3</f>
        <v>8.8653198242187488E-3</v>
      </c>
      <c r="AC201" s="364">
        <f>L201</f>
        <v>3</v>
      </c>
      <c r="AD201" s="182">
        <f>SUM(U201:Z201,AB201)</f>
        <v>0.14831034109933036</v>
      </c>
      <c r="AE201" s="1087"/>
      <c r="AF201" s="1166" t="s">
        <v>1079</v>
      </c>
      <c r="AG201" s="2526"/>
      <c r="AH201" s="1343">
        <f>1-SUM(AI201:AN201)</f>
        <v>0.30168400133939943</v>
      </c>
      <c r="AI201" s="1344">
        <f t="shared" si="398"/>
        <v>0</v>
      </c>
      <c r="AJ201" s="1345">
        <f t="shared" si="398"/>
        <v>0.10056133377979971</v>
      </c>
      <c r="AK201" s="1345">
        <f t="shared" si="398"/>
        <v>0</v>
      </c>
      <c r="AL201" s="1345">
        <f t="shared" si="398"/>
        <v>0.47820373190464066</v>
      </c>
      <c r="AM201" s="1346">
        <f t="shared" si="398"/>
        <v>5.9775466488080083E-2</v>
      </c>
      <c r="AN201" s="1347">
        <f>K201/$P201</f>
        <v>5.9775466488080083E-2</v>
      </c>
      <c r="AO201" s="1084"/>
      <c r="AP201" s="2006"/>
      <c r="AQ201" s="2006"/>
      <c r="AR201" s="2006"/>
      <c r="AS201" s="2006"/>
      <c r="AT201" s="2006"/>
      <c r="AU201" s="2006"/>
      <c r="AV201" s="2006"/>
      <c r="AW201" s="2006"/>
      <c r="AX201" s="2006"/>
      <c r="AY201" s="2006"/>
      <c r="AZ201" s="2007"/>
      <c r="BA201" s="2007"/>
    </row>
    <row r="202" spans="1:55" ht="15" hidden="1" customHeight="1" outlineLevel="2" x14ac:dyDescent="0.2">
      <c r="A202" s="678" t="s">
        <v>1166</v>
      </c>
      <c r="B202" s="451">
        <v>10</v>
      </c>
      <c r="C202" s="155">
        <v>2.1339999999999999</v>
      </c>
      <c r="D202" s="68">
        <v>2.1162162162162164E-2</v>
      </c>
      <c r="E202" s="27">
        <v>0</v>
      </c>
      <c r="F202" s="30">
        <v>7.0540540540540526E-3</v>
      </c>
      <c r="G202" s="2696">
        <v>0</v>
      </c>
      <c r="H202" s="1175">
        <v>6.7088906777871618E-2</v>
      </c>
      <c r="I202" s="1176">
        <v>8.3861133472339523E-3</v>
      </c>
      <c r="J202" s="129">
        <v>13.34</v>
      </c>
      <c r="K202" s="28">
        <v>8.3861133472339523E-3</v>
      </c>
      <c r="L202" s="146">
        <v>3</v>
      </c>
      <c r="M202" s="571">
        <v>6</v>
      </c>
      <c r="N202" s="2293">
        <v>1</v>
      </c>
      <c r="O202" s="2507" t="s">
        <v>541</v>
      </c>
      <c r="P202" s="182">
        <f>SUM(D202:I202,K202)</f>
        <v>0.11207734968855573</v>
      </c>
      <c r="Q202" s="1087"/>
      <c r="R202" s="3207"/>
      <c r="S202" s="3207"/>
      <c r="T202" s="129">
        <f>C202</f>
        <v>2.1339999999999999</v>
      </c>
      <c r="U202" s="68">
        <f t="shared" si="397"/>
        <v>4.4742857142857147E-2</v>
      </c>
      <c r="V202" s="27">
        <f t="shared" si="397"/>
        <v>0</v>
      </c>
      <c r="W202" s="363">
        <f t="shared" si="397"/>
        <v>1.4914285714285712E-2</v>
      </c>
      <c r="X202" s="363">
        <f t="shared" si="397"/>
        <v>0</v>
      </c>
      <c r="Y202" s="363">
        <f t="shared" si="397"/>
        <v>0.14184511718749998</v>
      </c>
      <c r="Z202" s="28">
        <f t="shared" si="397"/>
        <v>1.7730639648437498E-2</v>
      </c>
      <c r="AA202" s="129">
        <f>J202</f>
        <v>13.34</v>
      </c>
      <c r="AB202" s="28">
        <f>K202*$K$3/$AB$3</f>
        <v>1.7730639648437498E-2</v>
      </c>
      <c r="AC202" s="364">
        <f>L202</f>
        <v>3</v>
      </c>
      <c r="AD202" s="182">
        <f>SUM(U202:Z202,AB202)</f>
        <v>0.23696353934151781</v>
      </c>
      <c r="AE202" s="1087"/>
      <c r="AF202" s="1166" t="s">
        <v>1080</v>
      </c>
      <c r="AG202" s="2526"/>
      <c r="AH202" s="1343">
        <f>1-SUM(AI202:AN202)</f>
        <v>0.18881747490432521</v>
      </c>
      <c r="AI202" s="1344">
        <f t="shared" si="398"/>
        <v>0</v>
      </c>
      <c r="AJ202" s="1345">
        <f t="shared" si="398"/>
        <v>6.2939158301441755E-2</v>
      </c>
      <c r="AK202" s="1345">
        <f t="shared" si="398"/>
        <v>0</v>
      </c>
      <c r="AL202" s="1345">
        <f t="shared" si="398"/>
        <v>0.5985946934353864</v>
      </c>
      <c r="AM202" s="1346">
        <f t="shared" si="398"/>
        <v>7.4824336679423301E-2</v>
      </c>
      <c r="AN202" s="1347">
        <f>K202/$P202</f>
        <v>7.4824336679423301E-2</v>
      </c>
      <c r="AO202" s="1084"/>
      <c r="AP202" s="2006"/>
      <c r="AQ202" s="2006"/>
      <c r="AR202" s="2006"/>
      <c r="AS202" s="2006"/>
      <c r="AT202" s="2006"/>
      <c r="AU202" s="2006"/>
      <c r="AV202" s="2006"/>
      <c r="AW202" s="2006"/>
      <c r="AX202" s="2006"/>
      <c r="AY202" s="2006"/>
      <c r="AZ202" s="2007"/>
      <c r="BA202" s="2007"/>
    </row>
    <row r="203" spans="1:55" ht="15" hidden="1" customHeight="1" outlineLevel="1" collapsed="1" x14ac:dyDescent="0.2">
      <c r="A203" s="457" t="s">
        <v>534</v>
      </c>
      <c r="B203" s="450" t="str">
        <f t="shared" ref="B203:K203" si="399">B$6</f>
        <v>Trips</v>
      </c>
      <c r="C203" s="172" t="str">
        <f t="shared" si="399"/>
        <v>Mbpd</v>
      </c>
      <c r="D203" s="2556" t="str">
        <f t="shared" si="399"/>
        <v>Client</v>
      </c>
      <c r="E203" s="2556" t="str">
        <f t="shared" si="399"/>
        <v>Citrix</v>
      </c>
      <c r="F203" s="2556" t="str">
        <f t="shared" si="399"/>
        <v>Web</v>
      </c>
      <c r="G203" s="2709" t="str">
        <f t="shared" si="399"/>
        <v>Portal</v>
      </c>
      <c r="H203" s="2556" t="str">
        <f t="shared" si="399"/>
        <v>SOC</v>
      </c>
      <c r="I203" s="2556" t="str">
        <f t="shared" si="399"/>
        <v>DS/MDS</v>
      </c>
      <c r="J203" s="2556" t="str">
        <f t="shared" si="399"/>
        <v>Mbpd</v>
      </c>
      <c r="K203" s="2556" t="str">
        <f t="shared" si="399"/>
        <v>DBMS</v>
      </c>
      <c r="L203" s="178" t="s">
        <v>299</v>
      </c>
      <c r="M203" s="572" t="str">
        <f>M$6</f>
        <v>DPM/c</v>
      </c>
      <c r="N203" s="2292" t="str">
        <f>N$6</f>
        <v>MT</v>
      </c>
      <c r="O203" s="2506" t="str">
        <f>O$8</f>
        <v xml:space="preserve">WF </v>
      </c>
      <c r="P203" s="181" t="s">
        <v>273</v>
      </c>
      <c r="Q203" s="1087"/>
      <c r="R203" s="3207"/>
      <c r="S203" s="3207"/>
      <c r="T203" s="1270" t="s">
        <v>308</v>
      </c>
      <c r="U203" s="2556" t="s">
        <v>303</v>
      </c>
      <c r="V203" s="2556" t="str">
        <f>V$6</f>
        <v xml:space="preserve">WTS </v>
      </c>
      <c r="W203" s="2556" t="str">
        <f>+W$6</f>
        <v>Web</v>
      </c>
      <c r="X203" s="2556" t="str">
        <f>+X$6</f>
        <v>Portal</v>
      </c>
      <c r="Y203" s="2556" t="s">
        <v>312</v>
      </c>
      <c r="Z203" s="2556" t="s">
        <v>330</v>
      </c>
      <c r="AA203" s="2556" t="s">
        <v>308</v>
      </c>
      <c r="AB203" s="2556" t="s">
        <v>309</v>
      </c>
      <c r="AC203" s="178" t="s">
        <v>299</v>
      </c>
      <c r="AD203" s="181" t="s">
        <v>273</v>
      </c>
      <c r="AE203" s="2583"/>
      <c r="AF203" s="404" t="str">
        <f>A203</f>
        <v>ArcGIS for Desktop 10.1  =========</v>
      </c>
      <c r="AG203" s="2526"/>
      <c r="AH203" s="1339" t="str">
        <f t="shared" ref="AH203:AM203" si="400">D203</f>
        <v>Client</v>
      </c>
      <c r="AI203" s="1339" t="str">
        <f t="shared" si="400"/>
        <v>Citrix</v>
      </c>
      <c r="AJ203" s="1339" t="str">
        <f t="shared" si="400"/>
        <v>Web</v>
      </c>
      <c r="AK203" s="1339" t="str">
        <f t="shared" si="400"/>
        <v>Portal</v>
      </c>
      <c r="AL203" s="1340" t="str">
        <f t="shared" si="400"/>
        <v>SOC</v>
      </c>
      <c r="AM203" s="1341" t="str">
        <f t="shared" si="400"/>
        <v>DS/MDS</v>
      </c>
      <c r="AN203" s="1342" t="str">
        <f>K203</f>
        <v>DBMS</v>
      </c>
      <c r="AO203" s="1084"/>
      <c r="AP203" s="2006"/>
      <c r="AQ203" s="2006"/>
      <c r="AR203" s="2006"/>
      <c r="AS203" s="2006"/>
      <c r="AT203" s="2006"/>
      <c r="AU203" s="2006"/>
      <c r="AV203" s="2006"/>
      <c r="AW203" s="2006"/>
      <c r="AX203" s="2006"/>
      <c r="AY203" s="2006"/>
      <c r="AZ203" s="2007"/>
      <c r="BA203" s="2007"/>
    </row>
    <row r="204" spans="1:55" ht="15" hidden="1" customHeight="1" outlineLevel="2" x14ac:dyDescent="0.2">
      <c r="A204" s="458" t="s">
        <v>1147</v>
      </c>
      <c r="B204" s="451">
        <v>100</v>
      </c>
      <c r="C204" s="155">
        <v>13.183999999999999</v>
      </c>
      <c r="D204" s="68">
        <v>0.16291259765624999</v>
      </c>
      <c r="E204" s="27">
        <v>0</v>
      </c>
      <c r="F204" s="29">
        <v>0</v>
      </c>
      <c r="G204" s="2695">
        <v>0</v>
      </c>
      <c r="H204" s="29">
        <v>0</v>
      </c>
      <c r="I204" s="28">
        <v>2.0364074707031249E-2</v>
      </c>
      <c r="J204" s="129">
        <v>13.183999999999999</v>
      </c>
      <c r="K204" s="28">
        <v>2.0364074707031249E-2</v>
      </c>
      <c r="L204" s="146">
        <v>3</v>
      </c>
      <c r="M204" s="571">
        <v>10</v>
      </c>
      <c r="N204" s="2293">
        <v>1</v>
      </c>
      <c r="O204" s="2507" t="s">
        <v>336</v>
      </c>
      <c r="P204" s="182">
        <f t="shared" ref="P204:P209" si="401">SUM(D204:I204,K204)</f>
        <v>0.20364074707031249</v>
      </c>
      <c r="Q204" s="1087"/>
      <c r="R204" s="3207"/>
      <c r="S204" s="3207"/>
      <c r="T204" s="129">
        <f t="shared" ref="T204:T209" si="402">C204</f>
        <v>13.183999999999999</v>
      </c>
      <c r="U204" s="68">
        <f t="shared" ref="U204:Z209" si="403">D204*$K$3/$AB$3</f>
        <v>0.34444377790178571</v>
      </c>
      <c r="V204" s="27">
        <f t="shared" si="403"/>
        <v>0</v>
      </c>
      <c r="W204" s="363">
        <f t="shared" si="403"/>
        <v>0</v>
      </c>
      <c r="X204" s="363">
        <f t="shared" si="403"/>
        <v>0</v>
      </c>
      <c r="Y204" s="363">
        <f t="shared" si="403"/>
        <v>0</v>
      </c>
      <c r="Z204" s="28">
        <f t="shared" si="403"/>
        <v>4.3055472237723214E-2</v>
      </c>
      <c r="AA204" s="129">
        <f t="shared" ref="AA204:AA209" si="404">J204</f>
        <v>13.183999999999999</v>
      </c>
      <c r="AB204" s="28">
        <f t="shared" ref="AB204:AB209" si="405">K204*$K$3/$AB$3</f>
        <v>4.3055472237723214E-2</v>
      </c>
      <c r="AC204" s="364">
        <f t="shared" ref="AC204:AC209" si="406">L204</f>
        <v>3</v>
      </c>
      <c r="AD204" s="182">
        <f t="shared" ref="AD204:AD209" si="407">SUM(U204:Z204,AB204)</f>
        <v>0.43055472237723214</v>
      </c>
      <c r="AE204" s="1087"/>
      <c r="AF204" s="463" t="s">
        <v>1147</v>
      </c>
      <c r="AG204" s="2526"/>
      <c r="AH204" s="1343">
        <f t="shared" ref="AH204:AH209" si="408">1-SUM(AI204:AN204)</f>
        <v>0.8</v>
      </c>
      <c r="AI204" s="1344">
        <f t="shared" ref="AI204:AM209" si="409">E204/$P204</f>
        <v>0</v>
      </c>
      <c r="AJ204" s="1345">
        <f t="shared" si="409"/>
        <v>0</v>
      </c>
      <c r="AK204" s="1345">
        <f t="shared" si="409"/>
        <v>0</v>
      </c>
      <c r="AL204" s="1345">
        <f t="shared" si="409"/>
        <v>0</v>
      </c>
      <c r="AM204" s="1346">
        <f t="shared" si="409"/>
        <v>0.1</v>
      </c>
      <c r="AN204" s="1347">
        <f t="shared" ref="AN204:AN209" si="410">K204/$P204</f>
        <v>0.1</v>
      </c>
      <c r="AO204" s="1084"/>
      <c r="AP204" s="2006"/>
      <c r="AQ204" s="2006"/>
      <c r="AR204" s="2006"/>
      <c r="AS204" s="2006"/>
      <c r="AT204" s="2006"/>
      <c r="AU204" s="2006"/>
      <c r="AV204" s="2006"/>
      <c r="AW204" s="2006"/>
      <c r="AX204" s="2006"/>
      <c r="AY204" s="2006"/>
      <c r="AZ204" s="2007"/>
      <c r="BA204" s="2007"/>
    </row>
    <row r="205" spans="1:55" ht="15" hidden="1" customHeight="1" outlineLevel="2" x14ac:dyDescent="0.2">
      <c r="A205" s="458" t="s">
        <v>1146</v>
      </c>
      <c r="B205" s="451">
        <v>200</v>
      </c>
      <c r="C205" s="155">
        <v>26.367000000000001</v>
      </c>
      <c r="D205" s="68">
        <v>0.32582519531249998</v>
      </c>
      <c r="E205" s="27">
        <v>0</v>
      </c>
      <c r="F205" s="29">
        <v>0</v>
      </c>
      <c r="G205" s="2695">
        <v>0</v>
      </c>
      <c r="H205" s="29">
        <v>0</v>
      </c>
      <c r="I205" s="28">
        <v>4.0728149414062498E-2</v>
      </c>
      <c r="J205" s="129">
        <v>26.367000000000001</v>
      </c>
      <c r="K205" s="28">
        <v>4.0728149414062498E-2</v>
      </c>
      <c r="L205" s="146">
        <v>3</v>
      </c>
      <c r="M205" s="571">
        <v>10</v>
      </c>
      <c r="N205" s="2293">
        <v>1</v>
      </c>
      <c r="O205" s="2507" t="s">
        <v>336</v>
      </c>
      <c r="P205" s="182">
        <f t="shared" si="401"/>
        <v>0.40728149414062498</v>
      </c>
      <c r="Q205" s="1087"/>
      <c r="R205" s="3207"/>
      <c r="S205" s="3207"/>
      <c r="T205" s="129">
        <f t="shared" si="402"/>
        <v>26.367000000000001</v>
      </c>
      <c r="U205" s="68">
        <f t="shared" si="403"/>
        <v>0.68888755580357142</v>
      </c>
      <c r="V205" s="27">
        <f t="shared" si="403"/>
        <v>0</v>
      </c>
      <c r="W205" s="363">
        <f t="shared" si="403"/>
        <v>0</v>
      </c>
      <c r="X205" s="363">
        <f t="shared" si="403"/>
        <v>0</v>
      </c>
      <c r="Y205" s="363">
        <f t="shared" si="403"/>
        <v>0</v>
      </c>
      <c r="Z205" s="28">
        <f t="shared" si="403"/>
        <v>8.6110944475446427E-2</v>
      </c>
      <c r="AA205" s="129">
        <f t="shared" si="404"/>
        <v>26.367000000000001</v>
      </c>
      <c r="AB205" s="28">
        <f t="shared" si="405"/>
        <v>8.6110944475446427E-2</v>
      </c>
      <c r="AC205" s="364">
        <f t="shared" si="406"/>
        <v>3</v>
      </c>
      <c r="AD205" s="182">
        <f t="shared" si="407"/>
        <v>0.86110944475446427</v>
      </c>
      <c r="AE205" s="1087"/>
      <c r="AF205" s="463" t="s">
        <v>1146</v>
      </c>
      <c r="AG205" s="2526"/>
      <c r="AH205" s="1343">
        <f t="shared" si="408"/>
        <v>0.8</v>
      </c>
      <c r="AI205" s="1344">
        <f t="shared" si="409"/>
        <v>0</v>
      </c>
      <c r="AJ205" s="1345">
        <f t="shared" si="409"/>
        <v>0</v>
      </c>
      <c r="AK205" s="1345">
        <f t="shared" si="409"/>
        <v>0</v>
      </c>
      <c r="AL205" s="1345">
        <f t="shared" si="409"/>
        <v>0</v>
      </c>
      <c r="AM205" s="1346">
        <f t="shared" si="409"/>
        <v>0.1</v>
      </c>
      <c r="AN205" s="1347">
        <f t="shared" si="410"/>
        <v>0.1</v>
      </c>
      <c r="AO205" s="1084"/>
      <c r="AP205" s="2006"/>
      <c r="AQ205" s="2006"/>
      <c r="AR205" s="2006"/>
      <c r="AS205" s="2006"/>
      <c r="AT205" s="2006"/>
      <c r="AU205" s="2006"/>
      <c r="AV205" s="2006"/>
      <c r="AW205" s="2006"/>
      <c r="AX205" s="2006"/>
      <c r="AY205" s="2006"/>
      <c r="AZ205" s="2007"/>
      <c r="BA205" s="2007"/>
    </row>
    <row r="206" spans="1:55" ht="15" hidden="1" customHeight="1" outlineLevel="2" x14ac:dyDescent="0.2">
      <c r="A206" s="458" t="s">
        <v>1148</v>
      </c>
      <c r="B206" s="451">
        <v>10</v>
      </c>
      <c r="C206" s="155">
        <v>0.36899999999999999</v>
      </c>
      <c r="D206" s="68">
        <v>2.1162162162162164E-2</v>
      </c>
      <c r="E206" s="27">
        <v>0.16291259765624999</v>
      </c>
      <c r="F206" s="29">
        <v>0</v>
      </c>
      <c r="G206" s="2695">
        <v>0</v>
      </c>
      <c r="H206" s="29">
        <v>0</v>
      </c>
      <c r="I206" s="28">
        <v>2.0364074707031249E-2</v>
      </c>
      <c r="J206" s="129">
        <v>13.183999999999999</v>
      </c>
      <c r="K206" s="28">
        <v>2.0364074707031249E-2</v>
      </c>
      <c r="L206" s="146">
        <v>3</v>
      </c>
      <c r="M206" s="571">
        <v>10</v>
      </c>
      <c r="N206" s="2293">
        <v>1</v>
      </c>
      <c r="O206" s="2507" t="s">
        <v>336</v>
      </c>
      <c r="P206" s="182">
        <f t="shared" si="401"/>
        <v>0.22480290923247465</v>
      </c>
      <c r="Q206" s="1087"/>
      <c r="R206" s="3207"/>
      <c r="S206" s="3207"/>
      <c r="T206" s="129">
        <f t="shared" si="402"/>
        <v>0.36899999999999999</v>
      </c>
      <c r="U206" s="68">
        <f t="shared" si="403"/>
        <v>4.4742857142857147E-2</v>
      </c>
      <c r="V206" s="27">
        <f t="shared" si="403"/>
        <v>0.34444377790178571</v>
      </c>
      <c r="W206" s="363">
        <f t="shared" si="403"/>
        <v>0</v>
      </c>
      <c r="X206" s="363">
        <f t="shared" si="403"/>
        <v>0</v>
      </c>
      <c r="Y206" s="363">
        <f t="shared" si="403"/>
        <v>0</v>
      </c>
      <c r="Z206" s="28">
        <f t="shared" si="403"/>
        <v>4.3055472237723214E-2</v>
      </c>
      <c r="AA206" s="129">
        <f t="shared" si="404"/>
        <v>13.183999999999999</v>
      </c>
      <c r="AB206" s="28">
        <f t="shared" si="405"/>
        <v>4.3055472237723214E-2</v>
      </c>
      <c r="AC206" s="364">
        <f t="shared" si="406"/>
        <v>3</v>
      </c>
      <c r="AD206" s="182">
        <f t="shared" si="407"/>
        <v>0.47529757952008928</v>
      </c>
      <c r="AE206" s="1087"/>
      <c r="AF206" s="463" t="s">
        <v>1148</v>
      </c>
      <c r="AG206" s="2526"/>
      <c r="AH206" s="1343">
        <f t="shared" si="408"/>
        <v>9.4136513777398734E-2</v>
      </c>
      <c r="AI206" s="1344">
        <f t="shared" si="409"/>
        <v>0.72469078897808104</v>
      </c>
      <c r="AJ206" s="1345">
        <f t="shared" si="409"/>
        <v>0</v>
      </c>
      <c r="AK206" s="1345">
        <f t="shared" si="409"/>
        <v>0</v>
      </c>
      <c r="AL206" s="1345">
        <f t="shared" si="409"/>
        <v>0</v>
      </c>
      <c r="AM206" s="1346">
        <f t="shared" si="409"/>
        <v>9.0586348622260129E-2</v>
      </c>
      <c r="AN206" s="1347">
        <f t="shared" si="410"/>
        <v>9.0586348622260129E-2</v>
      </c>
      <c r="AO206" s="1084"/>
      <c r="AP206" s="2006"/>
      <c r="AQ206" s="2006"/>
      <c r="AR206" s="2006"/>
      <c r="AS206" s="2006"/>
      <c r="AT206" s="2006"/>
      <c r="AU206" s="2006"/>
      <c r="AV206" s="2006"/>
      <c r="AW206" s="2006"/>
      <c r="AX206" s="2006"/>
      <c r="AY206" s="2006"/>
      <c r="AZ206" s="2007"/>
      <c r="BA206" s="2007"/>
    </row>
    <row r="207" spans="1:55" ht="15" hidden="1" customHeight="1" outlineLevel="2" x14ac:dyDescent="0.2">
      <c r="A207" s="458" t="s">
        <v>1149</v>
      </c>
      <c r="B207" s="451">
        <v>10</v>
      </c>
      <c r="C207" s="155">
        <v>0.73799999999999999</v>
      </c>
      <c r="D207" s="68">
        <v>2.1162162162162164E-2</v>
      </c>
      <c r="E207" s="27">
        <v>0.32582519531249998</v>
      </c>
      <c r="F207" s="29">
        <v>0</v>
      </c>
      <c r="G207" s="2695">
        <v>0</v>
      </c>
      <c r="H207" s="29">
        <v>0</v>
      </c>
      <c r="I207" s="28">
        <v>4.0728149414062498E-2</v>
      </c>
      <c r="J207" s="129">
        <v>26.367000000000001</v>
      </c>
      <c r="K207" s="28">
        <v>4.0728149414062498E-2</v>
      </c>
      <c r="L207" s="146">
        <v>3</v>
      </c>
      <c r="M207" s="571">
        <v>10</v>
      </c>
      <c r="N207" s="2293">
        <v>1</v>
      </c>
      <c r="O207" s="2507" t="s">
        <v>336</v>
      </c>
      <c r="P207" s="182">
        <f t="shared" si="401"/>
        <v>0.42844365630278713</v>
      </c>
      <c r="Q207" s="1087"/>
      <c r="R207" s="3207"/>
      <c r="S207" s="3207"/>
      <c r="T207" s="129">
        <f t="shared" si="402"/>
        <v>0.73799999999999999</v>
      </c>
      <c r="U207" s="68">
        <f t="shared" si="403"/>
        <v>4.4742857142857147E-2</v>
      </c>
      <c r="V207" s="27">
        <f t="shared" si="403"/>
        <v>0.68888755580357142</v>
      </c>
      <c r="W207" s="363">
        <f t="shared" si="403"/>
        <v>0</v>
      </c>
      <c r="X207" s="363">
        <f t="shared" si="403"/>
        <v>0</v>
      </c>
      <c r="Y207" s="363">
        <f t="shared" si="403"/>
        <v>0</v>
      </c>
      <c r="Z207" s="28">
        <f t="shared" si="403"/>
        <v>8.6110944475446427E-2</v>
      </c>
      <c r="AA207" s="129">
        <f t="shared" si="404"/>
        <v>26.367000000000001</v>
      </c>
      <c r="AB207" s="28">
        <f t="shared" si="405"/>
        <v>8.6110944475446427E-2</v>
      </c>
      <c r="AC207" s="364">
        <f t="shared" si="406"/>
        <v>3</v>
      </c>
      <c r="AD207" s="182">
        <f t="shared" si="407"/>
        <v>0.90585230189732147</v>
      </c>
      <c r="AE207" s="1087"/>
      <c r="AF207" s="463" t="s">
        <v>1149</v>
      </c>
      <c r="AG207" s="2526"/>
      <c r="AH207" s="1343">
        <f t="shared" si="408"/>
        <v>4.9393104205997518E-2</v>
      </c>
      <c r="AI207" s="1344">
        <f t="shared" si="409"/>
        <v>0.76048551663520192</v>
      </c>
      <c r="AJ207" s="1345">
        <f t="shared" si="409"/>
        <v>0</v>
      </c>
      <c r="AK207" s="1345">
        <f t="shared" si="409"/>
        <v>0</v>
      </c>
      <c r="AL207" s="1345">
        <f t="shared" si="409"/>
        <v>0</v>
      </c>
      <c r="AM207" s="1346">
        <f t="shared" si="409"/>
        <v>9.506068957940024E-2</v>
      </c>
      <c r="AN207" s="1347">
        <f t="shared" si="410"/>
        <v>9.506068957940024E-2</v>
      </c>
      <c r="AO207" s="1084"/>
      <c r="AP207" s="2006"/>
      <c r="AQ207" s="2006"/>
      <c r="AR207" s="2006"/>
      <c r="AS207" s="2006"/>
      <c r="AT207" s="2006"/>
      <c r="AU207" s="2006"/>
      <c r="AV207" s="2006"/>
      <c r="AW207" s="2006"/>
      <c r="AX207" s="2006"/>
      <c r="AY207" s="2006"/>
      <c r="AZ207" s="2007"/>
      <c r="BA207" s="2007"/>
    </row>
    <row r="208" spans="1:55" ht="15" hidden="1" customHeight="1" outlineLevel="2" x14ac:dyDescent="0.2">
      <c r="A208" s="458" t="s">
        <v>1151</v>
      </c>
      <c r="B208" s="451">
        <v>10</v>
      </c>
      <c r="C208" s="155">
        <v>2.637</v>
      </c>
      <c r="D208" s="68">
        <v>2.1162162162162164E-2</v>
      </c>
      <c r="E208" s="27">
        <v>0.16291259765624999</v>
      </c>
      <c r="F208" s="29">
        <v>0</v>
      </c>
      <c r="G208" s="2695">
        <v>0</v>
      </c>
      <c r="H208" s="29">
        <v>0</v>
      </c>
      <c r="I208" s="28">
        <v>2.0364074707031249E-2</v>
      </c>
      <c r="J208" s="129">
        <v>13.183999999999999</v>
      </c>
      <c r="K208" s="28">
        <v>2.0364074707031249E-2</v>
      </c>
      <c r="L208" s="146">
        <v>3</v>
      </c>
      <c r="M208" s="571">
        <v>10</v>
      </c>
      <c r="N208" s="2293">
        <v>1</v>
      </c>
      <c r="O208" s="2507" t="s">
        <v>336</v>
      </c>
      <c r="P208" s="182">
        <f t="shared" si="401"/>
        <v>0.22480290923247465</v>
      </c>
      <c r="Q208" s="1087"/>
      <c r="R208" s="3207"/>
      <c r="S208" s="3207"/>
      <c r="T208" s="129">
        <f t="shared" si="402"/>
        <v>2.637</v>
      </c>
      <c r="U208" s="68">
        <f t="shared" si="403"/>
        <v>4.4742857142857147E-2</v>
      </c>
      <c r="V208" s="27">
        <f t="shared" si="403"/>
        <v>0.34444377790178571</v>
      </c>
      <c r="W208" s="363">
        <f t="shared" si="403"/>
        <v>0</v>
      </c>
      <c r="X208" s="363">
        <f t="shared" si="403"/>
        <v>0</v>
      </c>
      <c r="Y208" s="363">
        <f t="shared" si="403"/>
        <v>0</v>
      </c>
      <c r="Z208" s="28">
        <f t="shared" si="403"/>
        <v>4.3055472237723214E-2</v>
      </c>
      <c r="AA208" s="129">
        <f t="shared" si="404"/>
        <v>13.183999999999999</v>
      </c>
      <c r="AB208" s="28">
        <f t="shared" si="405"/>
        <v>4.3055472237723214E-2</v>
      </c>
      <c r="AC208" s="364">
        <f t="shared" si="406"/>
        <v>3</v>
      </c>
      <c r="AD208" s="182">
        <f t="shared" si="407"/>
        <v>0.47529757952008928</v>
      </c>
      <c r="AE208" s="1087"/>
      <c r="AF208" s="463" t="s">
        <v>1151</v>
      </c>
      <c r="AG208" s="2526"/>
      <c r="AH208" s="1343">
        <f t="shared" si="408"/>
        <v>9.4136513777398734E-2</v>
      </c>
      <c r="AI208" s="1344">
        <f t="shared" si="409"/>
        <v>0.72469078897808104</v>
      </c>
      <c r="AJ208" s="1345">
        <f t="shared" si="409"/>
        <v>0</v>
      </c>
      <c r="AK208" s="1345">
        <f t="shared" si="409"/>
        <v>0</v>
      </c>
      <c r="AL208" s="1345">
        <f t="shared" si="409"/>
        <v>0</v>
      </c>
      <c r="AM208" s="1346">
        <f t="shared" si="409"/>
        <v>9.0586348622260129E-2</v>
      </c>
      <c r="AN208" s="1347">
        <f t="shared" si="410"/>
        <v>9.0586348622260129E-2</v>
      </c>
      <c r="AO208" s="1084"/>
      <c r="AP208" s="2006"/>
      <c r="AQ208" s="2006"/>
      <c r="AR208" s="2006"/>
      <c r="AS208" s="2006"/>
      <c r="AT208" s="2006"/>
      <c r="AU208" s="2006"/>
      <c r="AV208" s="2006"/>
      <c r="AW208" s="2006"/>
      <c r="AX208" s="2006"/>
      <c r="AY208" s="2006"/>
      <c r="AZ208" s="2007"/>
      <c r="BA208" s="2007"/>
    </row>
    <row r="209" spans="1:53" ht="16" hidden="1" outlineLevel="2" x14ac:dyDescent="0.2">
      <c r="A209" s="458" t="s">
        <v>1150</v>
      </c>
      <c r="B209" s="451">
        <v>10</v>
      </c>
      <c r="C209" s="155">
        <v>5.2729999999999997</v>
      </c>
      <c r="D209" s="68">
        <v>2.1162162162162164E-2</v>
      </c>
      <c r="E209" s="27">
        <v>0.32582519531249998</v>
      </c>
      <c r="F209" s="29">
        <v>0</v>
      </c>
      <c r="G209" s="2695">
        <v>0</v>
      </c>
      <c r="H209" s="29">
        <v>0</v>
      </c>
      <c r="I209" s="28">
        <v>4.0728149414062498E-2</v>
      </c>
      <c r="J209" s="129">
        <v>26.367000000000001</v>
      </c>
      <c r="K209" s="28">
        <v>4.0728149414062498E-2</v>
      </c>
      <c r="L209" s="146">
        <v>3</v>
      </c>
      <c r="M209" s="571">
        <v>10</v>
      </c>
      <c r="N209" s="2293">
        <v>1</v>
      </c>
      <c r="O209" s="2507" t="s">
        <v>336</v>
      </c>
      <c r="P209" s="182">
        <f t="shared" si="401"/>
        <v>0.42844365630278713</v>
      </c>
      <c r="Q209" s="1087"/>
      <c r="R209" s="3207"/>
      <c r="S209" s="3207"/>
      <c r="T209" s="129">
        <f t="shared" si="402"/>
        <v>5.2729999999999997</v>
      </c>
      <c r="U209" s="68">
        <f t="shared" si="403"/>
        <v>4.4742857142857147E-2</v>
      </c>
      <c r="V209" s="27">
        <f t="shared" si="403"/>
        <v>0.68888755580357142</v>
      </c>
      <c r="W209" s="363">
        <f t="shared" si="403"/>
        <v>0</v>
      </c>
      <c r="X209" s="363">
        <f t="shared" si="403"/>
        <v>0</v>
      </c>
      <c r="Y209" s="363">
        <f t="shared" si="403"/>
        <v>0</v>
      </c>
      <c r="Z209" s="28">
        <f t="shared" si="403"/>
        <v>8.6110944475446427E-2</v>
      </c>
      <c r="AA209" s="129">
        <f t="shared" si="404"/>
        <v>26.367000000000001</v>
      </c>
      <c r="AB209" s="28">
        <f t="shared" si="405"/>
        <v>8.6110944475446427E-2</v>
      </c>
      <c r="AC209" s="364">
        <f t="shared" si="406"/>
        <v>3</v>
      </c>
      <c r="AD209" s="182">
        <f t="shared" si="407"/>
        <v>0.90585230189732147</v>
      </c>
      <c r="AE209" s="1087"/>
      <c r="AF209" s="463" t="s">
        <v>1150</v>
      </c>
      <c r="AG209" s="2526"/>
      <c r="AH209" s="1343">
        <f t="shared" si="408"/>
        <v>4.9393104205997518E-2</v>
      </c>
      <c r="AI209" s="1344">
        <f t="shared" si="409"/>
        <v>0.76048551663520192</v>
      </c>
      <c r="AJ209" s="1345">
        <f t="shared" si="409"/>
        <v>0</v>
      </c>
      <c r="AK209" s="1345">
        <f t="shared" si="409"/>
        <v>0</v>
      </c>
      <c r="AL209" s="1345">
        <f t="shared" si="409"/>
        <v>0</v>
      </c>
      <c r="AM209" s="1346">
        <f t="shared" si="409"/>
        <v>9.506068957940024E-2</v>
      </c>
      <c r="AN209" s="1347">
        <f t="shared" si="410"/>
        <v>9.506068957940024E-2</v>
      </c>
      <c r="AO209" s="1084"/>
      <c r="AP209" s="2006"/>
      <c r="AQ209" s="2006"/>
      <c r="AR209" s="2006"/>
      <c r="AS209" s="2006"/>
      <c r="AT209" s="2006"/>
      <c r="AU209" s="2006"/>
      <c r="AV209" s="2006"/>
      <c r="AW209" s="2006"/>
      <c r="AX209" s="2006"/>
      <c r="AY209" s="2006"/>
      <c r="AZ209" s="2007"/>
      <c r="BA209" s="2007"/>
    </row>
    <row r="210" spans="1:53" ht="15" hidden="1" customHeight="1" outlineLevel="1" collapsed="1" x14ac:dyDescent="0.2">
      <c r="A210" s="457" t="s">
        <v>535</v>
      </c>
      <c r="B210" s="450" t="str">
        <f t="shared" ref="B210:C210" si="411">B$6</f>
        <v>Trips</v>
      </c>
      <c r="C210" s="172" t="str">
        <f t="shared" si="411"/>
        <v>Mbpd</v>
      </c>
      <c r="D210" s="2556" t="s">
        <v>303</v>
      </c>
      <c r="E210" s="2556" t="s">
        <v>9</v>
      </c>
      <c r="F210" s="2556" t="s">
        <v>304</v>
      </c>
      <c r="G210" s="2709" t="s">
        <v>970</v>
      </c>
      <c r="H210" s="2556" t="s">
        <v>312</v>
      </c>
      <c r="I210" s="2556" t="s">
        <v>330</v>
      </c>
      <c r="J210" s="2556" t="s">
        <v>308</v>
      </c>
      <c r="K210" s="2556" t="s">
        <v>309</v>
      </c>
      <c r="L210" s="178" t="s">
        <v>299</v>
      </c>
      <c r="M210" s="572" t="str">
        <f>M$6</f>
        <v>DPM/c</v>
      </c>
      <c r="N210" s="2292" t="str">
        <f>N$6</f>
        <v>MT</v>
      </c>
      <c r="O210" s="2506" t="str">
        <f>O$8</f>
        <v xml:space="preserve">WF </v>
      </c>
      <c r="P210" s="181" t="s">
        <v>273</v>
      </c>
      <c r="Q210" s="1087"/>
      <c r="R210" s="3207"/>
      <c r="S210" s="3207"/>
      <c r="T210" s="1270" t="s">
        <v>308</v>
      </c>
      <c r="U210" s="2556" t="s">
        <v>303</v>
      </c>
      <c r="V210" s="2556" t="str">
        <f>V$6</f>
        <v xml:space="preserve">WTS </v>
      </c>
      <c r="W210" s="2556" t="str">
        <f>+W$6</f>
        <v>Web</v>
      </c>
      <c r="X210" s="2556" t="str">
        <f>+X$6</f>
        <v>Portal</v>
      </c>
      <c r="Y210" s="2556" t="s">
        <v>312</v>
      </c>
      <c r="Z210" s="2556" t="s">
        <v>330</v>
      </c>
      <c r="AA210" s="2556" t="s">
        <v>308</v>
      </c>
      <c r="AB210" s="2556" t="s">
        <v>309</v>
      </c>
      <c r="AC210" s="178" t="s">
        <v>299</v>
      </c>
      <c r="AD210" s="181" t="s">
        <v>273</v>
      </c>
      <c r="AE210" s="1087"/>
      <c r="AF210" s="404" t="str">
        <f>A210</f>
        <v>ArcGIS for Server 10.1  =========</v>
      </c>
      <c r="AG210" s="2526"/>
      <c r="AH210" s="1339" t="str">
        <f t="shared" ref="AH210:AM210" si="412">D210</f>
        <v>Client</v>
      </c>
      <c r="AI210" s="1339" t="str">
        <f t="shared" si="412"/>
        <v xml:space="preserve">WTS </v>
      </c>
      <c r="AJ210" s="1339" t="str">
        <f t="shared" si="412"/>
        <v>Web</v>
      </c>
      <c r="AK210" s="1339" t="str">
        <f t="shared" si="412"/>
        <v>Portal</v>
      </c>
      <c r="AL210" s="1340" t="str">
        <f t="shared" si="412"/>
        <v>SOC</v>
      </c>
      <c r="AM210" s="1341" t="str">
        <f t="shared" si="412"/>
        <v>SDE</v>
      </c>
      <c r="AN210" s="1342" t="str">
        <f>K210</f>
        <v>DBMS</v>
      </c>
      <c r="AO210" s="1084"/>
      <c r="AP210" s="2006"/>
      <c r="AQ210" s="2006"/>
      <c r="AR210" s="2006"/>
      <c r="AS210" s="2006"/>
      <c r="AT210" s="2006"/>
      <c r="AU210" s="2006"/>
      <c r="AV210" s="2006"/>
      <c r="AW210" s="2006"/>
      <c r="AX210" s="2006"/>
      <c r="AY210" s="2006"/>
      <c r="AZ210" s="2007"/>
      <c r="BA210" s="2007"/>
    </row>
    <row r="211" spans="1:53" ht="15" hidden="1" customHeight="1" outlineLevel="2" x14ac:dyDescent="0.2">
      <c r="A211" s="459" t="s">
        <v>1152</v>
      </c>
      <c r="B211" s="451">
        <v>10</v>
      </c>
      <c r="C211" s="155">
        <v>2.1339999999999999</v>
      </c>
      <c r="D211" s="68">
        <v>2.1162162162162164E-2</v>
      </c>
      <c r="E211" s="27">
        <v>0</v>
      </c>
      <c r="F211" s="1931">
        <v>7.0540540540540526E-3</v>
      </c>
      <c r="G211" s="2697">
        <v>0</v>
      </c>
      <c r="H211" s="29">
        <v>5.5199733424831088E-2</v>
      </c>
      <c r="I211" s="28">
        <v>1.0615333350929054E-2</v>
      </c>
      <c r="J211" s="129">
        <v>6.67</v>
      </c>
      <c r="K211" s="28">
        <v>1.0615333350929054E-2</v>
      </c>
      <c r="L211" s="146">
        <v>3</v>
      </c>
      <c r="M211" s="571">
        <v>6</v>
      </c>
      <c r="N211" s="2293">
        <v>1</v>
      </c>
      <c r="O211" s="2507" t="s">
        <v>332</v>
      </c>
      <c r="P211" s="182">
        <f t="shared" ref="P211:P219" si="413">SUM(D211:I211,K211)</f>
        <v>0.10464661634290541</v>
      </c>
      <c r="Q211" s="1087"/>
      <c r="R211" s="3207"/>
      <c r="S211" s="3207"/>
      <c r="T211" s="129">
        <f>C211</f>
        <v>2.1339999999999999</v>
      </c>
      <c r="U211" s="68">
        <f t="shared" ref="U211:Z215" si="414">D211*$K$3/$AB$3</f>
        <v>4.4742857142857147E-2</v>
      </c>
      <c r="V211" s="27">
        <f t="shared" si="414"/>
        <v>0</v>
      </c>
      <c r="W211" s="363">
        <f t="shared" si="414"/>
        <v>1.4914285714285712E-2</v>
      </c>
      <c r="X211" s="363">
        <f t="shared" si="414"/>
        <v>0</v>
      </c>
      <c r="Y211" s="363">
        <f t="shared" si="414"/>
        <v>0.11670800781250001</v>
      </c>
      <c r="Z211" s="28">
        <f t="shared" si="414"/>
        <v>2.2443847656250002E-2</v>
      </c>
      <c r="AA211" s="129">
        <f>J211</f>
        <v>6.67</v>
      </c>
      <c r="AB211" s="28">
        <f>K211*$K$3/$AB$3</f>
        <v>2.2443847656250002E-2</v>
      </c>
      <c r="AC211" s="364">
        <f>L211</f>
        <v>3</v>
      </c>
      <c r="AD211" s="182">
        <f>SUM(U211:Z211,AB211)</f>
        <v>0.2212528459821429</v>
      </c>
      <c r="AE211" s="1087"/>
      <c r="AF211" s="462" t="s">
        <v>1152</v>
      </c>
      <c r="AG211" s="2526"/>
      <c r="AH211" s="1343">
        <f>1-SUM(AI211:AN211)</f>
        <v>0.20222500164571133</v>
      </c>
      <c r="AI211" s="1344">
        <f t="shared" ref="AI211:AM215" si="415">E211/$P211</f>
        <v>0</v>
      </c>
      <c r="AJ211" s="1345">
        <f t="shared" si="415"/>
        <v>6.7408333881903745E-2</v>
      </c>
      <c r="AK211" s="1345">
        <f t="shared" si="415"/>
        <v>0</v>
      </c>
      <c r="AL211" s="1345">
        <f t="shared" si="415"/>
        <v>0.52748703545227804</v>
      </c>
      <c r="AM211" s="1346">
        <f t="shared" si="415"/>
        <v>0.10143981451005346</v>
      </c>
      <c r="AN211" s="1347">
        <f>K211/$P211</f>
        <v>0.10143981451005346</v>
      </c>
      <c r="AO211" s="1084"/>
      <c r="AP211" s="2008"/>
      <c r="AQ211" s="2006"/>
      <c r="AR211" s="2006"/>
      <c r="AS211" s="2006"/>
      <c r="AT211" s="2006"/>
      <c r="AU211" s="2006"/>
      <c r="AV211" s="2006"/>
      <c r="AW211" s="2006"/>
      <c r="AX211" s="2006"/>
      <c r="AY211" s="2006"/>
      <c r="AZ211" s="2007"/>
      <c r="BA211" s="2007"/>
    </row>
    <row r="212" spans="1:53" ht="15" hidden="1" customHeight="1" outlineLevel="2" x14ac:dyDescent="0.2">
      <c r="A212" s="459" t="s">
        <v>1153</v>
      </c>
      <c r="B212" s="451">
        <v>10</v>
      </c>
      <c r="C212" s="155">
        <v>2.1339999999999999</v>
      </c>
      <c r="D212" s="68">
        <v>2.1162162162162164E-2</v>
      </c>
      <c r="E212" s="27">
        <v>0</v>
      </c>
      <c r="F212" s="1931">
        <v>7.0540540540540526E-3</v>
      </c>
      <c r="G212" s="2697">
        <v>0</v>
      </c>
      <c r="H212" s="29">
        <v>0.11039946684966218</v>
      </c>
      <c r="I212" s="28">
        <v>2.1230666701858109E-2</v>
      </c>
      <c r="J212" s="129">
        <v>13.34</v>
      </c>
      <c r="K212" s="28">
        <v>2.1230666701858109E-2</v>
      </c>
      <c r="L212" s="146">
        <v>3</v>
      </c>
      <c r="M212" s="571">
        <v>6</v>
      </c>
      <c r="N212" s="2293">
        <v>1</v>
      </c>
      <c r="O212" s="2507" t="s">
        <v>332</v>
      </c>
      <c r="P212" s="182">
        <f t="shared" si="413"/>
        <v>0.18107701646959462</v>
      </c>
      <c r="Q212" s="2584"/>
      <c r="R212" s="3214"/>
      <c r="S212" s="3214"/>
      <c r="T212" s="129">
        <f>C212</f>
        <v>2.1339999999999999</v>
      </c>
      <c r="U212" s="68">
        <f t="shared" si="414"/>
        <v>4.4742857142857147E-2</v>
      </c>
      <c r="V212" s="27">
        <f t="shared" si="414"/>
        <v>0</v>
      </c>
      <c r="W212" s="363">
        <f t="shared" si="414"/>
        <v>1.4914285714285712E-2</v>
      </c>
      <c r="X212" s="363">
        <f t="shared" si="414"/>
        <v>0</v>
      </c>
      <c r="Y212" s="363">
        <f t="shared" si="414"/>
        <v>0.23341601562500003</v>
      </c>
      <c r="Z212" s="28">
        <f t="shared" si="414"/>
        <v>4.4887695312500003E-2</v>
      </c>
      <c r="AA212" s="129">
        <f>J212</f>
        <v>13.34</v>
      </c>
      <c r="AB212" s="28">
        <f>K212*$K$3/$AB$3</f>
        <v>4.4887695312500003E-2</v>
      </c>
      <c r="AC212" s="364">
        <f>L212</f>
        <v>3</v>
      </c>
      <c r="AD212" s="182">
        <f>SUM(U212:Z212,AB212)</f>
        <v>0.38284854910714294</v>
      </c>
      <c r="AE212" s="1087"/>
      <c r="AF212" s="462" t="s">
        <v>1153</v>
      </c>
      <c r="AG212" s="2526"/>
      <c r="AH212" s="1343">
        <f>1-SUM(AI212:AN212)</f>
        <v>0.11686829490983808</v>
      </c>
      <c r="AI212" s="1344">
        <f t="shared" si="415"/>
        <v>0</v>
      </c>
      <c r="AJ212" s="1345">
        <f t="shared" si="415"/>
        <v>3.8956098303279299E-2</v>
      </c>
      <c r="AK212" s="1345">
        <f t="shared" si="415"/>
        <v>0</v>
      </c>
      <c r="AL212" s="1345">
        <f t="shared" si="415"/>
        <v>0.60968238267941532</v>
      </c>
      <c r="AM212" s="1346">
        <f t="shared" si="415"/>
        <v>0.1172466120537337</v>
      </c>
      <c r="AN212" s="1347">
        <f>K212/$P212</f>
        <v>0.1172466120537337</v>
      </c>
      <c r="AO212" s="1084"/>
      <c r="AP212" s="2008"/>
      <c r="AQ212" s="2006"/>
      <c r="AR212" s="2006"/>
      <c r="AS212" s="2006"/>
      <c r="AT212" s="2006"/>
      <c r="AU212" s="2006"/>
      <c r="AV212" s="2006"/>
      <c r="AW212" s="2006"/>
      <c r="AX212" s="2006"/>
      <c r="AY212" s="2006"/>
      <c r="AZ212" s="2007"/>
      <c r="BA212" s="2007"/>
    </row>
    <row r="213" spans="1:53" ht="15" hidden="1" customHeight="1" outlineLevel="2" x14ac:dyDescent="0.2">
      <c r="A213" s="459" t="s">
        <v>1154</v>
      </c>
      <c r="B213" s="451">
        <v>10</v>
      </c>
      <c r="C213" s="155">
        <v>1.994</v>
      </c>
      <c r="D213" s="68">
        <v>2.1162162162162164E-2</v>
      </c>
      <c r="E213" s="27">
        <v>0</v>
      </c>
      <c r="F213" s="1931">
        <v>7.0540540540540526E-3</v>
      </c>
      <c r="G213" s="2697">
        <v>0</v>
      </c>
      <c r="H213" s="29">
        <v>4.4159786739864877E-2</v>
      </c>
      <c r="I213" s="28">
        <v>8.4922666807432448E-3</v>
      </c>
      <c r="J213" s="129">
        <v>5.3360000000000003</v>
      </c>
      <c r="K213" s="28">
        <v>8.4922666807432448E-3</v>
      </c>
      <c r="L213" s="146">
        <v>3</v>
      </c>
      <c r="M213" s="571">
        <v>6</v>
      </c>
      <c r="N213" s="2293">
        <v>1</v>
      </c>
      <c r="O213" s="2507" t="s">
        <v>332</v>
      </c>
      <c r="P213" s="182">
        <f t="shared" si="413"/>
        <v>8.9360536317567574E-2</v>
      </c>
      <c r="Q213" s="1087"/>
      <c r="R213" s="3207"/>
      <c r="S213" s="3207"/>
      <c r="T213" s="129">
        <f>C213</f>
        <v>1.994</v>
      </c>
      <c r="U213" s="68">
        <f t="shared" si="414"/>
        <v>4.4742857142857147E-2</v>
      </c>
      <c r="V213" s="27">
        <f t="shared" si="414"/>
        <v>0</v>
      </c>
      <c r="W213" s="363">
        <f t="shared" si="414"/>
        <v>1.4914285714285712E-2</v>
      </c>
      <c r="X213" s="363">
        <f t="shared" si="414"/>
        <v>0</v>
      </c>
      <c r="Y213" s="363">
        <f t="shared" si="414"/>
        <v>9.336640625000002E-2</v>
      </c>
      <c r="Z213" s="28">
        <f t="shared" si="414"/>
        <v>1.7955078125000003E-2</v>
      </c>
      <c r="AA213" s="129">
        <f>J213</f>
        <v>5.3360000000000003</v>
      </c>
      <c r="AB213" s="28">
        <f>K213*$K$3/$AB$3</f>
        <v>1.7955078125000003E-2</v>
      </c>
      <c r="AC213" s="364">
        <f>L213</f>
        <v>3</v>
      </c>
      <c r="AD213" s="182">
        <f>SUM(U213:Z213,AB213)</f>
        <v>0.18893370535714288</v>
      </c>
      <c r="AE213" s="1087"/>
      <c r="AF213" s="462" t="s">
        <v>1154</v>
      </c>
      <c r="AG213" s="2526"/>
      <c r="AH213" s="1343">
        <f>1-SUM(AI213:AN213)</f>
        <v>0.23681776133209975</v>
      </c>
      <c r="AI213" s="1344">
        <f t="shared" si="415"/>
        <v>0</v>
      </c>
      <c r="AJ213" s="1345">
        <f t="shared" si="415"/>
        <v>7.8939253777366616E-2</v>
      </c>
      <c r="AK213" s="1345">
        <f t="shared" si="415"/>
        <v>0</v>
      </c>
      <c r="AL213" s="1345">
        <f t="shared" si="415"/>
        <v>0.49417548908760761</v>
      </c>
      <c r="AM213" s="1346">
        <f t="shared" si="415"/>
        <v>9.5033747901462989E-2</v>
      </c>
      <c r="AN213" s="1347">
        <f>K213/$P213</f>
        <v>9.5033747901462989E-2</v>
      </c>
      <c r="AO213" s="1084"/>
      <c r="AP213" s="2006"/>
      <c r="AQ213" s="2006"/>
      <c r="AR213" s="2006"/>
      <c r="AS213" s="2006"/>
      <c r="AT213" s="2006"/>
      <c r="AU213" s="2006"/>
      <c r="AV213" s="2006"/>
      <c r="AW213" s="2006"/>
      <c r="AX213" s="2006"/>
      <c r="AY213" s="2006"/>
      <c r="AZ213" s="2007"/>
      <c r="BA213" s="2007"/>
    </row>
    <row r="214" spans="1:53" ht="15" hidden="1" customHeight="1" outlineLevel="2" x14ac:dyDescent="0.2">
      <c r="A214" s="459" t="s">
        <v>1155</v>
      </c>
      <c r="B214" s="451">
        <v>10</v>
      </c>
      <c r="C214" s="155">
        <v>3.1680000000000001</v>
      </c>
      <c r="D214" s="68">
        <v>5.0104373416385156E-2</v>
      </c>
      <c r="E214" s="27">
        <v>0</v>
      </c>
      <c r="F214" s="1931">
        <v>7.0540540540540526E-3</v>
      </c>
      <c r="G214" s="2697">
        <v>0</v>
      </c>
      <c r="H214" s="29">
        <v>8.4922666807432465E-3</v>
      </c>
      <c r="I214" s="28">
        <v>4.2461333403716233E-3</v>
      </c>
      <c r="J214" s="129">
        <v>2.6680000000000001</v>
      </c>
      <c r="K214" s="28">
        <v>4.2461333403716233E-3</v>
      </c>
      <c r="L214" s="146">
        <v>3</v>
      </c>
      <c r="M214" s="571">
        <v>6</v>
      </c>
      <c r="N214" s="2293">
        <v>1</v>
      </c>
      <c r="O214" s="2507" t="s">
        <v>332</v>
      </c>
      <c r="P214" s="182">
        <f t="shared" si="413"/>
        <v>7.4142960831925689E-2</v>
      </c>
      <c r="Q214" s="1087"/>
      <c r="R214" s="3207"/>
      <c r="S214" s="3207"/>
      <c r="T214" s="129">
        <f>C214</f>
        <v>3.1680000000000001</v>
      </c>
      <c r="U214" s="68">
        <f t="shared" si="414"/>
        <v>0.10593496093750004</v>
      </c>
      <c r="V214" s="27">
        <f t="shared" si="414"/>
        <v>0</v>
      </c>
      <c r="W214" s="363">
        <f t="shared" si="414"/>
        <v>1.4914285714285712E-2</v>
      </c>
      <c r="X214" s="363">
        <f t="shared" si="414"/>
        <v>0</v>
      </c>
      <c r="Y214" s="363">
        <f t="shared" si="414"/>
        <v>1.7955078125000006E-2</v>
      </c>
      <c r="Z214" s="28">
        <f t="shared" si="414"/>
        <v>8.9775390625000031E-3</v>
      </c>
      <c r="AA214" s="129">
        <f>J214</f>
        <v>2.6680000000000001</v>
      </c>
      <c r="AB214" s="28">
        <f>K214*$K$3/$AB$3</f>
        <v>8.9775390625000031E-3</v>
      </c>
      <c r="AC214" s="364">
        <f>L214</f>
        <v>3</v>
      </c>
      <c r="AD214" s="182">
        <f>SUM(U214:Z214,AB214)</f>
        <v>0.15675940290178578</v>
      </c>
      <c r="AE214" s="1087"/>
      <c r="AF214" s="462" t="s">
        <v>1155</v>
      </c>
      <c r="AG214" s="2526"/>
      <c r="AH214" s="1343">
        <f>1-SUM(AI214:AN214)</f>
        <v>0.67578058461903756</v>
      </c>
      <c r="AI214" s="1344">
        <f t="shared" si="415"/>
        <v>0</v>
      </c>
      <c r="AJ214" s="1345">
        <f t="shared" si="415"/>
        <v>9.5141251103322583E-2</v>
      </c>
      <c r="AK214" s="1345">
        <f t="shared" si="415"/>
        <v>0</v>
      </c>
      <c r="AL214" s="1345">
        <f t="shared" si="415"/>
        <v>0.11453908213881994</v>
      </c>
      <c r="AM214" s="1346">
        <f t="shared" si="415"/>
        <v>5.7269541069409971E-2</v>
      </c>
      <c r="AN214" s="1347">
        <f>K214/$P214</f>
        <v>5.7269541069409971E-2</v>
      </c>
      <c r="AO214" s="1084"/>
      <c r="AP214" s="2006"/>
      <c r="AQ214" s="2006"/>
      <c r="AR214" s="2006"/>
      <c r="AS214" s="2006"/>
      <c r="AT214" s="2006"/>
      <c r="AU214" s="2006"/>
      <c r="AV214" s="2006"/>
      <c r="AW214" s="2006"/>
      <c r="AX214" s="2006"/>
      <c r="AY214" s="2006"/>
      <c r="AZ214" s="2007"/>
      <c r="BA214" s="2007"/>
    </row>
    <row r="215" spans="1:53" ht="15" hidden="1" customHeight="1" outlineLevel="2" x14ac:dyDescent="0.2">
      <c r="A215" s="459" t="s">
        <v>1156</v>
      </c>
      <c r="B215" s="451">
        <v>10</v>
      </c>
      <c r="C215" s="155">
        <v>2.1339999999999999</v>
      </c>
      <c r="D215" s="68">
        <v>2.1162162162162164E-2</v>
      </c>
      <c r="E215" s="27">
        <v>0</v>
      </c>
      <c r="F215" s="1931">
        <v>7.0540540540540526E-3</v>
      </c>
      <c r="G215" s="2695">
        <v>0</v>
      </c>
      <c r="H215" s="29">
        <v>0.1876790936444257</v>
      </c>
      <c r="I215" s="28">
        <v>2.1230666701858109E-2</v>
      </c>
      <c r="J215" s="129">
        <v>13.34</v>
      </c>
      <c r="K215" s="28">
        <v>2.1230666701858109E-2</v>
      </c>
      <c r="L215" s="146">
        <v>3</v>
      </c>
      <c r="M215" s="571">
        <v>6</v>
      </c>
      <c r="N215" s="2293">
        <v>1</v>
      </c>
      <c r="O215" s="2507" t="s">
        <v>332</v>
      </c>
      <c r="P215" s="182">
        <f t="shared" si="413"/>
        <v>0.25835664326435814</v>
      </c>
      <c r="Q215" s="1087"/>
      <c r="R215" s="3207"/>
      <c r="S215" s="3207"/>
      <c r="T215" s="129">
        <f>C215</f>
        <v>2.1339999999999999</v>
      </c>
      <c r="U215" s="68">
        <f t="shared" si="414"/>
        <v>4.4742857142857147E-2</v>
      </c>
      <c r="V215" s="27">
        <f t="shared" si="414"/>
        <v>0</v>
      </c>
      <c r="W215" s="363">
        <f t="shared" si="414"/>
        <v>1.4914285714285712E-2</v>
      </c>
      <c r="X215" s="363">
        <f t="shared" si="414"/>
        <v>0</v>
      </c>
      <c r="Y215" s="363">
        <f t="shared" si="414"/>
        <v>0.39680722656250006</v>
      </c>
      <c r="Z215" s="28">
        <f t="shared" si="414"/>
        <v>4.4887695312500003E-2</v>
      </c>
      <c r="AA215" s="129">
        <f>J215</f>
        <v>13.34</v>
      </c>
      <c r="AB215" s="28">
        <f>K215*$K$3/$AB$3</f>
        <v>4.4887695312500003E-2</v>
      </c>
      <c r="AC215" s="364">
        <f>L215</f>
        <v>3</v>
      </c>
      <c r="AD215" s="182">
        <f>SUM(U215:Z215,AB215)</f>
        <v>0.54623976004464292</v>
      </c>
      <c r="AE215" s="1087"/>
      <c r="AF215" s="462" t="s">
        <v>1156</v>
      </c>
      <c r="AG215" s="2526"/>
      <c r="AH215" s="1343">
        <f>1-SUM(AI215:AN215)</f>
        <v>8.1910656117746727E-2</v>
      </c>
      <c r="AI215" s="1344">
        <f t="shared" si="415"/>
        <v>0</v>
      </c>
      <c r="AJ215" s="1345">
        <f t="shared" si="415"/>
        <v>2.7303552039248846E-2</v>
      </c>
      <c r="AK215" s="1345">
        <f t="shared" si="415"/>
        <v>0</v>
      </c>
      <c r="AL215" s="1345">
        <f t="shared" si="415"/>
        <v>0.72643416973174912</v>
      </c>
      <c r="AM215" s="1346">
        <f t="shared" si="415"/>
        <v>8.2175811055627712E-2</v>
      </c>
      <c r="AN215" s="1347">
        <f>K215/$P215</f>
        <v>8.2175811055627712E-2</v>
      </c>
      <c r="AO215" s="1084"/>
      <c r="AP215" s="2006"/>
      <c r="AQ215" s="2006"/>
      <c r="AR215" s="2006"/>
      <c r="AS215" s="2006"/>
      <c r="AT215" s="2006"/>
      <c r="AU215" s="2006"/>
      <c r="AV215" s="2006"/>
      <c r="AW215" s="2006"/>
      <c r="AX215" s="2006"/>
      <c r="AY215" s="2006"/>
      <c r="AZ215" s="2007"/>
      <c r="BA215" s="2007"/>
    </row>
    <row r="216" spans="1:53" ht="15" hidden="1" customHeight="1" outlineLevel="1" collapsed="1" x14ac:dyDescent="0.2">
      <c r="A216" s="457" t="s">
        <v>536</v>
      </c>
      <c r="B216" s="450" t="str">
        <f t="shared" ref="B216:C216" si="416">B$6</f>
        <v>Trips</v>
      </c>
      <c r="C216" s="172" t="str">
        <f t="shared" si="416"/>
        <v>Mbpd</v>
      </c>
      <c r="D216" s="2556" t="s">
        <v>303</v>
      </c>
      <c r="E216" s="2556" t="s">
        <v>9</v>
      </c>
      <c r="F216" s="2556" t="s">
        <v>304</v>
      </c>
      <c r="G216" s="2709" t="s">
        <v>970</v>
      </c>
      <c r="H216" s="2556" t="s">
        <v>312</v>
      </c>
      <c r="I216" s="2556" t="s">
        <v>330</v>
      </c>
      <c r="J216" s="2556" t="s">
        <v>308</v>
      </c>
      <c r="K216" s="2556" t="s">
        <v>309</v>
      </c>
      <c r="L216" s="178" t="s">
        <v>299</v>
      </c>
      <c r="M216" s="572" t="str">
        <f>M$6</f>
        <v>DPM/c</v>
      </c>
      <c r="N216" s="2292" t="str">
        <f>N$6</f>
        <v>MT</v>
      </c>
      <c r="O216" s="2506" t="str">
        <f>O$8</f>
        <v xml:space="preserve">WF </v>
      </c>
      <c r="P216" s="181" t="s">
        <v>273</v>
      </c>
      <c r="Q216" s="1087"/>
      <c r="R216" s="3207"/>
      <c r="S216" s="3207"/>
      <c r="T216" s="1270" t="s">
        <v>308</v>
      </c>
      <c r="U216" s="2556" t="s">
        <v>303</v>
      </c>
      <c r="V216" s="2556" t="str">
        <f>V$6</f>
        <v xml:space="preserve">WTS </v>
      </c>
      <c r="W216" s="2556" t="str">
        <f>+W$6</f>
        <v>Web</v>
      </c>
      <c r="X216" s="2556" t="str">
        <f>+X$6</f>
        <v>Portal</v>
      </c>
      <c r="Y216" s="2556" t="s">
        <v>312</v>
      </c>
      <c r="Z216" s="2556" t="s">
        <v>330</v>
      </c>
      <c r="AA216" s="2556" t="s">
        <v>308</v>
      </c>
      <c r="AB216" s="2556" t="s">
        <v>309</v>
      </c>
      <c r="AC216" s="178" t="s">
        <v>299</v>
      </c>
      <c r="AD216" s="181" t="s">
        <v>273</v>
      </c>
      <c r="AE216" s="1087"/>
      <c r="AF216" s="404" t="str">
        <f>A216</f>
        <v>ArcGIS 10.1 for Mobile Services  =========</v>
      </c>
      <c r="AG216" s="2526"/>
      <c r="AH216" s="1339" t="str">
        <f t="shared" ref="AH216:AM216" si="417">D216</f>
        <v>Client</v>
      </c>
      <c r="AI216" s="1339" t="str">
        <f t="shared" si="417"/>
        <v xml:space="preserve">WTS </v>
      </c>
      <c r="AJ216" s="1339" t="str">
        <f t="shared" si="417"/>
        <v>Web</v>
      </c>
      <c r="AK216" s="1339" t="str">
        <f t="shared" si="417"/>
        <v>Portal</v>
      </c>
      <c r="AL216" s="1340" t="str">
        <f t="shared" si="417"/>
        <v>SOC</v>
      </c>
      <c r="AM216" s="1341" t="str">
        <f t="shared" si="417"/>
        <v>SDE</v>
      </c>
      <c r="AN216" s="1342" t="str">
        <f>K216</f>
        <v>DBMS</v>
      </c>
      <c r="AO216" s="1084"/>
      <c r="AP216" s="2006"/>
      <c r="AQ216" s="2006"/>
      <c r="AR216" s="2006"/>
      <c r="AS216" s="2006"/>
      <c r="AT216" s="2006"/>
      <c r="AU216" s="2006"/>
      <c r="AV216" s="2006"/>
      <c r="AW216" s="2006"/>
      <c r="AX216" s="2006"/>
      <c r="AY216" s="2006"/>
      <c r="AZ216" s="2007"/>
      <c r="BA216" s="2007"/>
    </row>
    <row r="217" spans="1:53" ht="15" hidden="1" customHeight="1" outlineLevel="2" x14ac:dyDescent="0.2">
      <c r="A217" s="459" t="s">
        <v>531</v>
      </c>
      <c r="B217" s="451"/>
      <c r="C217" s="155"/>
      <c r="D217" s="68">
        <v>0.11560810810810811</v>
      </c>
      <c r="E217" s="27">
        <v>0</v>
      </c>
      <c r="F217" s="30">
        <v>0</v>
      </c>
      <c r="G217" s="2710">
        <v>0</v>
      </c>
      <c r="H217" s="30">
        <v>0</v>
      </c>
      <c r="I217" s="28">
        <v>0</v>
      </c>
      <c r="J217" s="129">
        <v>0</v>
      </c>
      <c r="K217" s="28">
        <v>0</v>
      </c>
      <c r="L217" s="146">
        <v>3</v>
      </c>
      <c r="M217" s="571">
        <v>6</v>
      </c>
      <c r="N217" s="2293">
        <v>1</v>
      </c>
      <c r="O217" s="2507" t="s">
        <v>332</v>
      </c>
      <c r="P217" s="182">
        <f t="shared" si="413"/>
        <v>0.11560810810810811</v>
      </c>
      <c r="Q217" s="1087"/>
      <c r="R217" s="3207"/>
      <c r="S217" s="3207"/>
      <c r="T217" s="129">
        <f>C217</f>
        <v>0</v>
      </c>
      <c r="U217" s="68">
        <f t="shared" ref="U217:Z219" si="418">D217*$K$3/$AB$3</f>
        <v>0.24442857142857141</v>
      </c>
      <c r="V217" s="27">
        <f t="shared" si="418"/>
        <v>0</v>
      </c>
      <c r="W217" s="363">
        <f t="shared" si="418"/>
        <v>0</v>
      </c>
      <c r="X217" s="363">
        <f t="shared" si="418"/>
        <v>0</v>
      </c>
      <c r="Y217" s="363">
        <f t="shared" si="418"/>
        <v>0</v>
      </c>
      <c r="Z217" s="28">
        <f t="shared" si="418"/>
        <v>0</v>
      </c>
      <c r="AA217" s="129">
        <f>J217</f>
        <v>0</v>
      </c>
      <c r="AB217" s="28">
        <f>K217*$K$3/$AB$3</f>
        <v>0</v>
      </c>
      <c r="AC217" s="364">
        <f>L217</f>
        <v>3</v>
      </c>
      <c r="AD217" s="182">
        <f>SUM(U217:Z217,AB217)</f>
        <v>0.24442857142857141</v>
      </c>
      <c r="AE217" s="1087"/>
      <c r="AF217" s="1166" t="s">
        <v>1159</v>
      </c>
      <c r="AG217" s="2526"/>
      <c r="AH217" s="1343">
        <f>1-SUM(AI217:AN217)</f>
        <v>1</v>
      </c>
      <c r="AI217" s="1344">
        <f t="shared" ref="AI217:AM219" si="419">E217/$P217</f>
        <v>0</v>
      </c>
      <c r="AJ217" s="1345">
        <f t="shared" si="419"/>
        <v>0</v>
      </c>
      <c r="AK217" s="1345">
        <f t="shared" si="419"/>
        <v>0</v>
      </c>
      <c r="AL217" s="1345">
        <f t="shared" si="419"/>
        <v>0</v>
      </c>
      <c r="AM217" s="1346">
        <f t="shared" si="419"/>
        <v>0</v>
      </c>
      <c r="AN217" s="1347">
        <f>K217/$P217</f>
        <v>0</v>
      </c>
      <c r="AO217" s="1084"/>
      <c r="AP217" s="2006"/>
      <c r="AQ217" s="2006"/>
      <c r="AR217" s="2006"/>
      <c r="AS217" s="2006"/>
      <c r="AT217" s="2006"/>
      <c r="AU217" s="2006"/>
      <c r="AV217" s="2006"/>
      <c r="AW217" s="2006"/>
      <c r="AX217" s="2006"/>
      <c r="AY217" s="2006"/>
      <c r="AZ217" s="2007"/>
      <c r="BA217" s="2007"/>
    </row>
    <row r="218" spans="1:53" ht="15" hidden="1" customHeight="1" outlineLevel="2" x14ac:dyDescent="0.2">
      <c r="A218" s="460" t="s">
        <v>532</v>
      </c>
      <c r="B218" s="451">
        <v>10</v>
      </c>
      <c r="C218" s="155">
        <v>0.5</v>
      </c>
      <c r="D218" s="68">
        <v>1.1560810810810807E-2</v>
      </c>
      <c r="E218" s="27">
        <v>0</v>
      </c>
      <c r="F218" s="30">
        <v>7.0540540540540526E-3</v>
      </c>
      <c r="G218" s="2696">
        <v>0</v>
      </c>
      <c r="H218" s="1175">
        <v>1.6263513513513511E-3</v>
      </c>
      <c r="I218" s="28">
        <v>9.797297297297297E-4</v>
      </c>
      <c r="J218" s="129">
        <v>0.5</v>
      </c>
      <c r="K218" s="28">
        <v>9.797297297297297E-4</v>
      </c>
      <c r="L218" s="146">
        <v>3</v>
      </c>
      <c r="M218" s="571">
        <v>6</v>
      </c>
      <c r="N218" s="2293">
        <v>1</v>
      </c>
      <c r="O218" s="2507" t="s">
        <v>332</v>
      </c>
      <c r="P218" s="182">
        <f t="shared" si="413"/>
        <v>2.2200675675675671E-2</v>
      </c>
      <c r="Q218" s="1087"/>
      <c r="R218" s="3207"/>
      <c r="S218" s="3207"/>
      <c r="T218" s="129">
        <f>C218</f>
        <v>0.5</v>
      </c>
      <c r="U218" s="68">
        <f t="shared" si="418"/>
        <v>2.4442857142857134E-2</v>
      </c>
      <c r="V218" s="27">
        <f t="shared" si="418"/>
        <v>0</v>
      </c>
      <c r="W218" s="363">
        <f t="shared" si="418"/>
        <v>1.4914285714285712E-2</v>
      </c>
      <c r="X218" s="363">
        <f t="shared" si="418"/>
        <v>0</v>
      </c>
      <c r="Y218" s="363">
        <f t="shared" si="418"/>
        <v>3.438571428571428E-3</v>
      </c>
      <c r="Z218" s="28">
        <f t="shared" si="418"/>
        <v>2.0714285714285713E-3</v>
      </c>
      <c r="AA218" s="129">
        <f>J218</f>
        <v>0.5</v>
      </c>
      <c r="AB218" s="28">
        <f>K218*$K$3/$AB$3</f>
        <v>2.0714285714285713E-3</v>
      </c>
      <c r="AC218" s="364">
        <f>L218</f>
        <v>3</v>
      </c>
      <c r="AD218" s="182">
        <f>SUM(U218:Z218,AB218)</f>
        <v>4.693857142857142E-2</v>
      </c>
      <c r="AE218" s="1087"/>
      <c r="AF218" s="1166" t="s">
        <v>1157</v>
      </c>
      <c r="AG218" s="2526"/>
      <c r="AH218" s="1343">
        <f>1-SUM(AI218:AN218)</f>
        <v>0.52074139452780221</v>
      </c>
      <c r="AI218" s="1344">
        <f t="shared" si="419"/>
        <v>0</v>
      </c>
      <c r="AJ218" s="1345">
        <f t="shared" si="419"/>
        <v>0.3177405119152692</v>
      </c>
      <c r="AK218" s="1345">
        <f t="shared" si="419"/>
        <v>0</v>
      </c>
      <c r="AL218" s="1345">
        <f t="shared" si="419"/>
        <v>7.3256840247131513E-2</v>
      </c>
      <c r="AM218" s="1346">
        <f t="shared" si="419"/>
        <v>4.413062665489851E-2</v>
      </c>
      <c r="AN218" s="1347">
        <f>K218/$P218</f>
        <v>4.413062665489851E-2</v>
      </c>
      <c r="AO218" s="1084"/>
      <c r="AP218" s="2006"/>
      <c r="AQ218" s="2006"/>
      <c r="AR218" s="2006"/>
      <c r="AS218" s="2006"/>
      <c r="AT218" s="2006"/>
      <c r="AU218" s="2006"/>
      <c r="AV218" s="2006"/>
      <c r="AW218" s="2006"/>
      <c r="AX218" s="2006"/>
      <c r="AY218" s="2006"/>
      <c r="AZ218" s="2007"/>
      <c r="BA218" s="2007"/>
    </row>
    <row r="219" spans="1:53" ht="15" hidden="1" customHeight="1" outlineLevel="2" x14ac:dyDescent="0.2">
      <c r="A219" s="460" t="s">
        <v>533</v>
      </c>
      <c r="B219" s="451">
        <v>10</v>
      </c>
      <c r="C219" s="155">
        <v>5</v>
      </c>
      <c r="D219" s="68">
        <v>0.11560810810810811</v>
      </c>
      <c r="E219" s="27">
        <v>0</v>
      </c>
      <c r="F219" s="30">
        <v>7.0540540540540526E-3</v>
      </c>
      <c r="G219" s="2696">
        <v>0</v>
      </c>
      <c r="H219" s="1175">
        <v>1.6263513513513513E-2</v>
      </c>
      <c r="I219" s="28">
        <v>9.7972972972972978E-3</v>
      </c>
      <c r="J219" s="129">
        <v>5</v>
      </c>
      <c r="K219" s="28">
        <v>9.7972972972972978E-3</v>
      </c>
      <c r="L219" s="146">
        <v>3</v>
      </c>
      <c r="M219" s="571">
        <v>6</v>
      </c>
      <c r="N219" s="2293">
        <v>1</v>
      </c>
      <c r="O219" s="2507" t="s">
        <v>332</v>
      </c>
      <c r="P219" s="182">
        <f t="shared" si="413"/>
        <v>0.1585202702702703</v>
      </c>
      <c r="Q219" s="1087"/>
      <c r="R219" s="3207"/>
      <c r="S219" s="3207"/>
      <c r="T219" s="129">
        <f>C219</f>
        <v>5</v>
      </c>
      <c r="U219" s="68">
        <f t="shared" si="418"/>
        <v>0.24442857142857141</v>
      </c>
      <c r="V219" s="27">
        <f t="shared" si="418"/>
        <v>0</v>
      </c>
      <c r="W219" s="363">
        <f t="shared" si="418"/>
        <v>1.4914285714285712E-2</v>
      </c>
      <c r="X219" s="363">
        <f t="shared" si="418"/>
        <v>0</v>
      </c>
      <c r="Y219" s="363">
        <f t="shared" si="418"/>
        <v>3.4385714285714283E-2</v>
      </c>
      <c r="Z219" s="28">
        <f t="shared" si="418"/>
        <v>2.0714285714285716E-2</v>
      </c>
      <c r="AA219" s="129">
        <f>J219</f>
        <v>5</v>
      </c>
      <c r="AB219" s="28">
        <f>K219*$K$3/$AB$3</f>
        <v>2.0714285714285716E-2</v>
      </c>
      <c r="AC219" s="364">
        <f>L219</f>
        <v>3</v>
      </c>
      <c r="AD219" s="182">
        <f>SUM(U219:Z219,AB219)</f>
        <v>0.33515714285714288</v>
      </c>
      <c r="AE219" s="1087"/>
      <c r="AF219" s="1166" t="s">
        <v>1158</v>
      </c>
      <c r="AG219" s="2526"/>
      <c r="AH219" s="1343">
        <f>1-SUM(AI219:AN219)</f>
        <v>0.72929542645241052</v>
      </c>
      <c r="AI219" s="1344">
        <f t="shared" si="419"/>
        <v>0</v>
      </c>
      <c r="AJ219" s="1345">
        <f t="shared" si="419"/>
        <v>4.4499381953028411E-2</v>
      </c>
      <c r="AK219" s="1345">
        <f t="shared" si="419"/>
        <v>0</v>
      </c>
      <c r="AL219" s="1345">
        <f t="shared" si="419"/>
        <v>0.1025957972805933</v>
      </c>
      <c r="AM219" s="1346">
        <f t="shared" si="419"/>
        <v>6.1804697156983925E-2</v>
      </c>
      <c r="AN219" s="1347">
        <f>K219/$P219</f>
        <v>6.1804697156983925E-2</v>
      </c>
      <c r="AO219" s="1084"/>
      <c r="AP219" s="2006"/>
      <c r="AQ219" s="2006"/>
      <c r="AR219" s="2006"/>
      <c r="AS219" s="2006"/>
      <c r="AT219" s="2006"/>
      <c r="AU219" s="2006"/>
      <c r="AV219" s="2006"/>
      <c r="AW219" s="2006"/>
      <c r="AX219" s="2006"/>
      <c r="AY219" s="2006"/>
      <c r="AZ219" s="2007"/>
      <c r="BA219" s="2007"/>
    </row>
    <row r="220" spans="1:53" ht="15" hidden="1" customHeight="1" outlineLevel="1" collapsed="1" x14ac:dyDescent="0.2">
      <c r="A220" s="457" t="s">
        <v>537</v>
      </c>
      <c r="B220" s="450" t="str">
        <f t="shared" ref="B220:C220" si="420">B$6</f>
        <v>Trips</v>
      </c>
      <c r="C220" s="172" t="str">
        <f t="shared" si="420"/>
        <v>Mbpd</v>
      </c>
      <c r="D220" s="2556" t="s">
        <v>303</v>
      </c>
      <c r="E220" s="2556" t="s">
        <v>9</v>
      </c>
      <c r="F220" s="2556" t="s">
        <v>304</v>
      </c>
      <c r="G220" s="2709" t="s">
        <v>970</v>
      </c>
      <c r="H220" s="2556" t="s">
        <v>312</v>
      </c>
      <c r="I220" s="2556" t="s">
        <v>330</v>
      </c>
      <c r="J220" s="2556" t="s">
        <v>308</v>
      </c>
      <c r="K220" s="2556" t="s">
        <v>309</v>
      </c>
      <c r="L220" s="178" t="s">
        <v>299</v>
      </c>
      <c r="M220" s="572" t="str">
        <f>M$6</f>
        <v>DPM/c</v>
      </c>
      <c r="N220" s="2292" t="str">
        <f>N$6</f>
        <v>MT</v>
      </c>
      <c r="O220" s="2506" t="str">
        <f>O$8</f>
        <v xml:space="preserve">WF </v>
      </c>
      <c r="P220" s="181" t="s">
        <v>273</v>
      </c>
      <c r="Q220" s="1087"/>
      <c r="R220" s="3207"/>
      <c r="S220" s="3207"/>
      <c r="T220" s="1270" t="s">
        <v>308</v>
      </c>
      <c r="U220" s="2556" t="s">
        <v>303</v>
      </c>
      <c r="V220" s="2556" t="str">
        <f>V$6</f>
        <v xml:space="preserve">WTS </v>
      </c>
      <c r="W220" s="2556" t="str">
        <f>+W$6</f>
        <v>Web</v>
      </c>
      <c r="X220" s="2556" t="str">
        <f>+X$6</f>
        <v>Portal</v>
      </c>
      <c r="Y220" s="2556" t="s">
        <v>312</v>
      </c>
      <c r="Z220" s="2556" t="s">
        <v>330</v>
      </c>
      <c r="AA220" s="2556" t="s">
        <v>308</v>
      </c>
      <c r="AB220" s="2556" t="s">
        <v>309</v>
      </c>
      <c r="AC220" s="178" t="s">
        <v>299</v>
      </c>
      <c r="AD220" s="181" t="s">
        <v>273</v>
      </c>
      <c r="AE220" s="1087"/>
      <c r="AF220" s="1168" t="str">
        <f>A220</f>
        <v>ArcGIS 10.1 for Server Image Services  =========</v>
      </c>
      <c r="AG220" s="2526"/>
      <c r="AH220" s="1339" t="str">
        <f t="shared" ref="AH220:AM220" si="421">D220</f>
        <v>Client</v>
      </c>
      <c r="AI220" s="1339" t="str">
        <f t="shared" si="421"/>
        <v xml:space="preserve">WTS </v>
      </c>
      <c r="AJ220" s="1339" t="str">
        <f t="shared" si="421"/>
        <v>Web</v>
      </c>
      <c r="AK220" s="1339" t="str">
        <f t="shared" si="421"/>
        <v>Portal</v>
      </c>
      <c r="AL220" s="1340" t="str">
        <f t="shared" si="421"/>
        <v>SOC</v>
      </c>
      <c r="AM220" s="1341" t="str">
        <f t="shared" si="421"/>
        <v>SDE</v>
      </c>
      <c r="AN220" s="1342" t="str">
        <f>K220</f>
        <v>DBMS</v>
      </c>
      <c r="AO220" s="1084"/>
      <c r="AP220" s="2006"/>
      <c r="AQ220" s="2006"/>
      <c r="AR220" s="2006"/>
      <c r="AS220" s="2006"/>
      <c r="AT220" s="2006"/>
      <c r="AU220" s="2006"/>
      <c r="AV220" s="2006"/>
      <c r="AW220" s="2006"/>
      <c r="AX220" s="2006"/>
      <c r="AY220" s="2006"/>
      <c r="AZ220" s="2007"/>
      <c r="BA220" s="2007"/>
    </row>
    <row r="221" spans="1:53" ht="15" hidden="1" customHeight="1" outlineLevel="2" x14ac:dyDescent="0.2">
      <c r="A221" s="678" t="s">
        <v>1161</v>
      </c>
      <c r="B221" s="451">
        <v>10</v>
      </c>
      <c r="C221" s="155">
        <v>2.1339999999999999</v>
      </c>
      <c r="D221" s="68">
        <v>2.1162162162162164E-2</v>
      </c>
      <c r="E221" s="27">
        <v>0</v>
      </c>
      <c r="F221" s="30">
        <v>7.0540540540540526E-3</v>
      </c>
      <c r="G221" s="2696">
        <v>0</v>
      </c>
      <c r="H221" s="1175">
        <v>6.7088906777871618E-2</v>
      </c>
      <c r="I221" s="1176">
        <v>8.3861133472339523E-3</v>
      </c>
      <c r="J221" s="129">
        <v>13.34</v>
      </c>
      <c r="K221" s="28">
        <v>8.3861133472339523E-3</v>
      </c>
      <c r="L221" s="146">
        <v>3</v>
      </c>
      <c r="M221" s="571">
        <v>6</v>
      </c>
      <c r="N221" s="2293">
        <v>1</v>
      </c>
      <c r="O221" s="2507" t="s">
        <v>541</v>
      </c>
      <c r="P221" s="182">
        <f>SUM(D221:I221,K221)</f>
        <v>0.11207734968855573</v>
      </c>
      <c r="Q221" s="2527"/>
      <c r="R221" s="3213"/>
      <c r="S221" s="3213"/>
      <c r="T221" s="129">
        <f>C221</f>
        <v>2.1339999999999999</v>
      </c>
      <c r="U221" s="68">
        <f t="shared" ref="U221:Z223" si="422">D221*$K$3/$AB$3</f>
        <v>4.4742857142857147E-2</v>
      </c>
      <c r="V221" s="27">
        <f t="shared" si="422"/>
        <v>0</v>
      </c>
      <c r="W221" s="363">
        <f t="shared" si="422"/>
        <v>1.4914285714285712E-2</v>
      </c>
      <c r="X221" s="363">
        <f t="shared" si="422"/>
        <v>0</v>
      </c>
      <c r="Y221" s="363">
        <f t="shared" si="422"/>
        <v>0.14184511718749998</v>
      </c>
      <c r="Z221" s="28">
        <f t="shared" si="422"/>
        <v>1.7730639648437498E-2</v>
      </c>
      <c r="AA221" s="129">
        <f>J221</f>
        <v>13.34</v>
      </c>
      <c r="AB221" s="28">
        <f>K221*$K$3/$AB$3</f>
        <v>1.7730639648437498E-2</v>
      </c>
      <c r="AC221" s="364">
        <f>L221</f>
        <v>3</v>
      </c>
      <c r="AD221" s="182">
        <f>SUM(U221:Z221,AB221)</f>
        <v>0.23696353934151781</v>
      </c>
      <c r="AE221" s="1087"/>
      <c r="AF221" s="1166" t="s">
        <v>1163</v>
      </c>
      <c r="AG221" s="2526"/>
      <c r="AH221" s="1343">
        <f>1-SUM(AI221:AN221)</f>
        <v>0.18881747490432521</v>
      </c>
      <c r="AI221" s="1344">
        <f t="shared" ref="AI221:AM223" si="423">E221/$P221</f>
        <v>0</v>
      </c>
      <c r="AJ221" s="1345">
        <f t="shared" si="423"/>
        <v>6.2939158301441755E-2</v>
      </c>
      <c r="AK221" s="1345">
        <f t="shared" si="423"/>
        <v>0</v>
      </c>
      <c r="AL221" s="1345">
        <f t="shared" si="423"/>
        <v>0.5985946934353864</v>
      </c>
      <c r="AM221" s="1346">
        <f t="shared" si="423"/>
        <v>7.4824336679423301E-2</v>
      </c>
      <c r="AN221" s="1347">
        <f>K221/$P221</f>
        <v>7.4824336679423301E-2</v>
      </c>
      <c r="AO221" s="1084"/>
      <c r="AP221" s="2006" t="s">
        <v>877</v>
      </c>
      <c r="AQ221" s="2006"/>
      <c r="AR221" s="2006"/>
      <c r="AS221" s="2006"/>
      <c r="AT221" s="2006"/>
      <c r="AU221" s="2006"/>
      <c r="AV221" s="2006"/>
      <c r="AW221" s="2006"/>
      <c r="AX221" s="2006"/>
      <c r="AY221" s="2006"/>
      <c r="AZ221" s="2007"/>
      <c r="BA221" s="2007"/>
    </row>
    <row r="222" spans="1:53" ht="15" hidden="1" customHeight="1" outlineLevel="2" x14ac:dyDescent="0.2">
      <c r="A222" s="678" t="s">
        <v>1162</v>
      </c>
      <c r="B222" s="451">
        <v>10</v>
      </c>
      <c r="C222" s="155">
        <v>2.1339999999999999</v>
      </c>
      <c r="D222" s="68">
        <v>2.1162162162162164E-2</v>
      </c>
      <c r="E222" s="27">
        <v>0</v>
      </c>
      <c r="F222" s="30">
        <v>7.0540540540540526E-3</v>
      </c>
      <c r="G222" s="2696">
        <v>0</v>
      </c>
      <c r="H222" s="1175">
        <v>3.3544453388935809E-2</v>
      </c>
      <c r="I222" s="1176">
        <v>4.1930566736169761E-3</v>
      </c>
      <c r="J222" s="129">
        <v>6.67</v>
      </c>
      <c r="K222" s="28">
        <v>4.1930566736169761E-3</v>
      </c>
      <c r="L222" s="146">
        <v>3</v>
      </c>
      <c r="M222" s="571">
        <v>6</v>
      </c>
      <c r="N222" s="2293">
        <v>1</v>
      </c>
      <c r="O222" s="2507" t="s">
        <v>541</v>
      </c>
      <c r="P222" s="182">
        <f>SUM(D222:I222,K222)</f>
        <v>7.0146782952385994E-2</v>
      </c>
      <c r="Q222" s="1087"/>
      <c r="R222" s="3207"/>
      <c r="S222" s="3207"/>
      <c r="T222" s="129">
        <f>C222</f>
        <v>2.1339999999999999</v>
      </c>
      <c r="U222" s="68">
        <f t="shared" si="422"/>
        <v>4.4742857142857147E-2</v>
      </c>
      <c r="V222" s="27">
        <f t="shared" si="422"/>
        <v>0</v>
      </c>
      <c r="W222" s="363">
        <f t="shared" si="422"/>
        <v>1.4914285714285712E-2</v>
      </c>
      <c r="X222" s="363">
        <f t="shared" si="422"/>
        <v>0</v>
      </c>
      <c r="Y222" s="363">
        <f t="shared" si="422"/>
        <v>7.092255859374999E-2</v>
      </c>
      <c r="Z222" s="28">
        <f t="shared" si="422"/>
        <v>8.8653198242187488E-3</v>
      </c>
      <c r="AA222" s="129">
        <f>J222</f>
        <v>6.67</v>
      </c>
      <c r="AB222" s="28">
        <f>K222*$K$3/$AB$3</f>
        <v>8.8653198242187488E-3</v>
      </c>
      <c r="AC222" s="364">
        <f>L222</f>
        <v>3</v>
      </c>
      <c r="AD222" s="182">
        <f>SUM(U222:Z222,AB222)</f>
        <v>0.14831034109933036</v>
      </c>
      <c r="AE222" s="1087"/>
      <c r="AF222" s="1166" t="s">
        <v>1079</v>
      </c>
      <c r="AG222" s="2526"/>
      <c r="AH222" s="1343">
        <f>1-SUM(AI222:AN222)</f>
        <v>0.30168400133939943</v>
      </c>
      <c r="AI222" s="1344">
        <f t="shared" si="423"/>
        <v>0</v>
      </c>
      <c r="AJ222" s="1345">
        <f t="shared" si="423"/>
        <v>0.10056133377979971</v>
      </c>
      <c r="AK222" s="1345">
        <f t="shared" si="423"/>
        <v>0</v>
      </c>
      <c r="AL222" s="1345">
        <f t="shared" si="423"/>
        <v>0.47820373190464066</v>
      </c>
      <c r="AM222" s="1346">
        <f t="shared" si="423"/>
        <v>5.9775466488080083E-2</v>
      </c>
      <c r="AN222" s="1347">
        <f>K222/$P222</f>
        <v>5.9775466488080083E-2</v>
      </c>
      <c r="AO222" s="1084"/>
      <c r="AP222" s="2006"/>
      <c r="AQ222" s="2006"/>
      <c r="AR222" s="2006"/>
      <c r="AS222" s="2006"/>
      <c r="AT222" s="2006"/>
      <c r="AU222" s="2006"/>
      <c r="AV222" s="2006"/>
      <c r="AW222" s="2006"/>
      <c r="AX222" s="2006"/>
      <c r="AY222" s="2006"/>
      <c r="AZ222" s="2007"/>
      <c r="BA222" s="2007"/>
    </row>
    <row r="223" spans="1:53" ht="15" hidden="1" customHeight="1" outlineLevel="2" x14ac:dyDescent="0.2">
      <c r="A223" s="678" t="s">
        <v>1160</v>
      </c>
      <c r="B223" s="451">
        <v>10</v>
      </c>
      <c r="C223" s="155">
        <v>2.1339999999999999</v>
      </c>
      <c r="D223" s="68">
        <v>2.1162162162162164E-2</v>
      </c>
      <c r="E223" s="27">
        <v>0</v>
      </c>
      <c r="F223" s="30">
        <v>7.0540540540540526E-3</v>
      </c>
      <c r="G223" s="2696">
        <v>0</v>
      </c>
      <c r="H223" s="1175">
        <v>6.7088906777871618E-2</v>
      </c>
      <c r="I223" s="1176">
        <v>8.3861133472339523E-3</v>
      </c>
      <c r="J223" s="129">
        <v>13.34</v>
      </c>
      <c r="K223" s="28">
        <v>8.3861133472339523E-3</v>
      </c>
      <c r="L223" s="146">
        <v>3</v>
      </c>
      <c r="M223" s="571">
        <v>6</v>
      </c>
      <c r="N223" s="2293">
        <v>1</v>
      </c>
      <c r="O223" s="2507" t="s">
        <v>541</v>
      </c>
      <c r="P223" s="182">
        <f>SUM(D223:I223,K223)</f>
        <v>0.11207734968855573</v>
      </c>
      <c r="Q223" s="1087"/>
      <c r="R223" s="3207"/>
      <c r="S223" s="3207"/>
      <c r="T223" s="129">
        <f>C223</f>
        <v>2.1339999999999999</v>
      </c>
      <c r="U223" s="68">
        <f t="shared" si="422"/>
        <v>4.4742857142857147E-2</v>
      </c>
      <c r="V223" s="27">
        <f t="shared" si="422"/>
        <v>0</v>
      </c>
      <c r="W223" s="363">
        <f t="shared" si="422"/>
        <v>1.4914285714285712E-2</v>
      </c>
      <c r="X223" s="363">
        <f t="shared" si="422"/>
        <v>0</v>
      </c>
      <c r="Y223" s="363">
        <f t="shared" si="422"/>
        <v>0.14184511718749998</v>
      </c>
      <c r="Z223" s="28">
        <f t="shared" si="422"/>
        <v>1.7730639648437498E-2</v>
      </c>
      <c r="AA223" s="129">
        <f>J223</f>
        <v>13.34</v>
      </c>
      <c r="AB223" s="28">
        <f>K223*$K$3/$AB$3</f>
        <v>1.7730639648437498E-2</v>
      </c>
      <c r="AC223" s="364">
        <f>L223</f>
        <v>3</v>
      </c>
      <c r="AD223" s="182">
        <f>SUM(U223:Z223,AB223)</f>
        <v>0.23696353934151781</v>
      </c>
      <c r="AE223" s="1087"/>
      <c r="AF223" s="1166" t="s">
        <v>1080</v>
      </c>
      <c r="AG223" s="2526"/>
      <c r="AH223" s="1343">
        <f>1-SUM(AI223:AN223)</f>
        <v>0.18881747490432521</v>
      </c>
      <c r="AI223" s="1344">
        <f t="shared" si="423"/>
        <v>0</v>
      </c>
      <c r="AJ223" s="1345">
        <f t="shared" si="423"/>
        <v>6.2939158301441755E-2</v>
      </c>
      <c r="AK223" s="1345">
        <f t="shared" si="423"/>
        <v>0</v>
      </c>
      <c r="AL223" s="1345">
        <f t="shared" si="423"/>
        <v>0.5985946934353864</v>
      </c>
      <c r="AM223" s="1346">
        <f t="shared" si="423"/>
        <v>7.4824336679423301E-2</v>
      </c>
      <c r="AN223" s="1347">
        <f>K223/$P223</f>
        <v>7.4824336679423301E-2</v>
      </c>
      <c r="AO223" s="1084"/>
      <c r="AP223" s="2006"/>
      <c r="AQ223" s="2006"/>
      <c r="AR223" s="2006"/>
      <c r="AS223" s="2006"/>
      <c r="AT223" s="2006"/>
      <c r="AU223" s="2006"/>
      <c r="AV223" s="2006"/>
      <c r="AW223" s="2006"/>
      <c r="AX223" s="2006"/>
      <c r="AY223" s="2006"/>
      <c r="AZ223" s="2007"/>
      <c r="BA223" s="2007"/>
    </row>
    <row r="224" spans="1:53" ht="15" hidden="1" customHeight="1" outlineLevel="1" collapsed="1" x14ac:dyDescent="0.2">
      <c r="A224" s="457" t="s">
        <v>538</v>
      </c>
      <c r="B224" s="450" t="str">
        <f t="shared" ref="B224:C224" si="424">B$6</f>
        <v>Trips</v>
      </c>
      <c r="C224" s="172" t="str">
        <f t="shared" si="424"/>
        <v>Mbpd</v>
      </c>
      <c r="D224" s="173" t="s">
        <v>303</v>
      </c>
      <c r="E224" s="173" t="s">
        <v>9</v>
      </c>
      <c r="F224" s="173" t="s">
        <v>304</v>
      </c>
      <c r="G224" s="2694" t="s">
        <v>970</v>
      </c>
      <c r="H224" s="173" t="s">
        <v>312</v>
      </c>
      <c r="I224" s="173" t="s">
        <v>330</v>
      </c>
      <c r="J224" s="173" t="s">
        <v>308</v>
      </c>
      <c r="K224" s="173" t="s">
        <v>309</v>
      </c>
      <c r="L224" s="178" t="s">
        <v>299</v>
      </c>
      <c r="M224" s="572" t="str">
        <f>M$6</f>
        <v>DPM/c</v>
      </c>
      <c r="N224" s="572" t="str">
        <f>N$6</f>
        <v>MT</v>
      </c>
      <c r="O224" s="572" t="str">
        <f>O$6</f>
        <v xml:space="preserve">WF </v>
      </c>
      <c r="P224" s="181" t="s">
        <v>273</v>
      </c>
      <c r="Q224" s="2583"/>
      <c r="R224" s="3215"/>
      <c r="S224" s="3215"/>
      <c r="T224" s="1270" t="s">
        <v>308</v>
      </c>
      <c r="U224" s="173" t="s">
        <v>303</v>
      </c>
      <c r="V224" s="173" t="str">
        <f>V$6</f>
        <v xml:space="preserve">WTS </v>
      </c>
      <c r="W224" s="173" t="str">
        <f>+W$6</f>
        <v>Web</v>
      </c>
      <c r="X224" s="173" t="str">
        <f>+X$6</f>
        <v>Portal</v>
      </c>
      <c r="Y224" s="173" t="s">
        <v>312</v>
      </c>
      <c r="Z224" s="173" t="s">
        <v>330</v>
      </c>
      <c r="AA224" s="173" t="s">
        <v>308</v>
      </c>
      <c r="AB224" s="173" t="s">
        <v>309</v>
      </c>
      <c r="AC224" s="178" t="s">
        <v>299</v>
      </c>
      <c r="AD224" s="181" t="s">
        <v>273</v>
      </c>
      <c r="AE224" s="2583"/>
      <c r="AF224" s="404" t="str">
        <f>A224</f>
        <v>ArcGIS Desktop 10  =========</v>
      </c>
      <c r="AG224" s="2526"/>
      <c r="AH224" s="1339" t="str">
        <f t="shared" ref="AH224:AM224" si="425">D224</f>
        <v>Client</v>
      </c>
      <c r="AI224" s="1339" t="str">
        <f t="shared" si="425"/>
        <v xml:space="preserve">WTS </v>
      </c>
      <c r="AJ224" s="1339" t="str">
        <f t="shared" si="425"/>
        <v>Web</v>
      </c>
      <c r="AK224" s="1339" t="str">
        <f t="shared" si="425"/>
        <v>Portal</v>
      </c>
      <c r="AL224" s="1340" t="str">
        <f t="shared" si="425"/>
        <v>SOC</v>
      </c>
      <c r="AM224" s="1341" t="str">
        <f t="shared" si="425"/>
        <v>SDE</v>
      </c>
      <c r="AN224" s="1342" t="str">
        <f>K224</f>
        <v>DBMS</v>
      </c>
      <c r="AO224" s="1084"/>
      <c r="AP224" s="2006"/>
      <c r="AQ224" s="2006"/>
      <c r="AR224" s="2006"/>
      <c r="AS224" s="2006"/>
      <c r="AT224" s="2006"/>
      <c r="AU224" s="2006"/>
      <c r="AV224" s="2006"/>
      <c r="AW224" s="2006"/>
      <c r="AX224" s="2006"/>
      <c r="AY224" s="2006"/>
      <c r="AZ224" s="2007"/>
      <c r="BA224" s="2007"/>
    </row>
    <row r="225" spans="1:53" ht="15" hidden="1" customHeight="1" outlineLevel="2" x14ac:dyDescent="0.2">
      <c r="A225" s="458" t="s">
        <v>565</v>
      </c>
      <c r="B225" s="451">
        <v>100</v>
      </c>
      <c r="C225" s="155">
        <v>5</v>
      </c>
      <c r="D225" s="68">
        <v>0.10277702702702703</v>
      </c>
      <c r="E225" s="27">
        <v>0</v>
      </c>
      <c r="F225" s="29">
        <v>0</v>
      </c>
      <c r="G225" s="2695">
        <v>0</v>
      </c>
      <c r="H225" s="29">
        <v>0</v>
      </c>
      <c r="I225" s="28">
        <v>1.2847128378378378E-2</v>
      </c>
      <c r="J225" s="129">
        <v>5</v>
      </c>
      <c r="K225" s="28">
        <v>1.2847128378378378E-2</v>
      </c>
      <c r="L225" s="146">
        <v>3</v>
      </c>
      <c r="M225" s="571">
        <v>10</v>
      </c>
      <c r="N225" s="2302">
        <v>1</v>
      </c>
      <c r="O225" s="2507" t="s">
        <v>336</v>
      </c>
      <c r="P225" s="182">
        <f t="shared" ref="P225:P230" si="426">SUM(D225:I225,K225)</f>
        <v>0.12847128378378378</v>
      </c>
      <c r="Q225" s="2585"/>
      <c r="R225" s="3206"/>
      <c r="S225" s="3206"/>
      <c r="T225" s="129">
        <f t="shared" ref="T225:T230" si="427">C225</f>
        <v>5</v>
      </c>
      <c r="U225" s="68">
        <f t="shared" ref="U225:Z230" si="428">D225*$K$3/$AB$3</f>
        <v>0.21729999999999999</v>
      </c>
      <c r="V225" s="27">
        <f t="shared" si="428"/>
        <v>0</v>
      </c>
      <c r="W225" s="363">
        <f t="shared" si="428"/>
        <v>0</v>
      </c>
      <c r="X225" s="363">
        <f t="shared" si="428"/>
        <v>0</v>
      </c>
      <c r="Y225" s="363">
        <f t="shared" si="428"/>
        <v>0</v>
      </c>
      <c r="Z225" s="28">
        <f t="shared" si="428"/>
        <v>2.7162499999999999E-2</v>
      </c>
      <c r="AA225" s="129">
        <f t="shared" ref="AA225:AA230" si="429">J225</f>
        <v>5</v>
      </c>
      <c r="AB225" s="28">
        <f t="shared" ref="AB225:AB230" si="430">K225*$K$3/$AB$3</f>
        <v>2.7162499999999999E-2</v>
      </c>
      <c r="AC225" s="364">
        <f t="shared" ref="AC225:AC230" si="431">L225</f>
        <v>3</v>
      </c>
      <c r="AD225" s="182">
        <f t="shared" ref="AD225:AD230" si="432">SUM(U225:Z225,AB225)</f>
        <v>0.27162500000000001</v>
      </c>
      <c r="AE225" s="1087"/>
      <c r="AF225" s="463" t="s">
        <v>565</v>
      </c>
      <c r="AG225" s="2526"/>
      <c r="AH225" s="1343">
        <f t="shared" ref="AH225:AH230" si="433">1-SUM(AI225:AN225)</f>
        <v>0.8</v>
      </c>
      <c r="AI225" s="1344">
        <f t="shared" ref="AI225:AM230" si="434">E225/$P225</f>
        <v>0</v>
      </c>
      <c r="AJ225" s="1345">
        <f t="shared" si="434"/>
        <v>0</v>
      </c>
      <c r="AK225" s="1345">
        <f t="shared" si="434"/>
        <v>0</v>
      </c>
      <c r="AL225" s="1345">
        <f t="shared" si="434"/>
        <v>0</v>
      </c>
      <c r="AM225" s="1346">
        <f t="shared" si="434"/>
        <v>0.1</v>
      </c>
      <c r="AN225" s="1347">
        <f t="shared" ref="AN225:AN230" si="435">K225/$P225</f>
        <v>0.1</v>
      </c>
      <c r="AO225" s="1084"/>
      <c r="AP225" s="2006"/>
      <c r="AQ225" s="2006"/>
      <c r="AR225" s="2006"/>
      <c r="AS225" s="2006"/>
      <c r="AT225" s="2006"/>
      <c r="AU225" s="2006"/>
      <c r="AV225" s="2006"/>
      <c r="AW225" s="2006"/>
      <c r="AX225" s="2006"/>
      <c r="AY225" s="2006"/>
      <c r="AZ225" s="2007"/>
      <c r="BA225" s="2007"/>
    </row>
    <row r="226" spans="1:53" ht="15" hidden="1" customHeight="1" outlineLevel="2" x14ac:dyDescent="0.2">
      <c r="A226" s="458" t="s">
        <v>566</v>
      </c>
      <c r="B226" s="451">
        <v>200</v>
      </c>
      <c r="C226" s="155">
        <v>10</v>
      </c>
      <c r="D226" s="68">
        <v>0.20555405405405405</v>
      </c>
      <c r="E226" s="27">
        <v>0</v>
      </c>
      <c r="F226" s="29">
        <v>0</v>
      </c>
      <c r="G226" s="2695">
        <v>0</v>
      </c>
      <c r="H226" s="29">
        <v>0</v>
      </c>
      <c r="I226" s="28">
        <v>2.5694256756756757E-2</v>
      </c>
      <c r="J226" s="129">
        <v>10</v>
      </c>
      <c r="K226" s="28">
        <v>2.5694256756756757E-2</v>
      </c>
      <c r="L226" s="146">
        <v>3</v>
      </c>
      <c r="M226" s="571">
        <v>10</v>
      </c>
      <c r="N226" s="2302">
        <v>1</v>
      </c>
      <c r="O226" s="2507" t="s">
        <v>336</v>
      </c>
      <c r="P226" s="182">
        <f t="shared" si="426"/>
        <v>0.25694256756756756</v>
      </c>
      <c r="Q226" s="2585"/>
      <c r="R226" s="3206"/>
      <c r="S226" s="3206"/>
      <c r="T226" s="129">
        <f t="shared" si="427"/>
        <v>10</v>
      </c>
      <c r="U226" s="68">
        <f t="shared" si="428"/>
        <v>0.43459999999999999</v>
      </c>
      <c r="V226" s="27">
        <f t="shared" si="428"/>
        <v>0</v>
      </c>
      <c r="W226" s="363">
        <f t="shared" si="428"/>
        <v>0</v>
      </c>
      <c r="X226" s="363">
        <f t="shared" si="428"/>
        <v>0</v>
      </c>
      <c r="Y226" s="363">
        <f t="shared" si="428"/>
        <v>0</v>
      </c>
      <c r="Z226" s="28">
        <f t="shared" si="428"/>
        <v>5.4324999999999998E-2</v>
      </c>
      <c r="AA226" s="129">
        <f t="shared" si="429"/>
        <v>10</v>
      </c>
      <c r="AB226" s="28">
        <f t="shared" si="430"/>
        <v>5.4324999999999998E-2</v>
      </c>
      <c r="AC226" s="364">
        <f t="shared" si="431"/>
        <v>3</v>
      </c>
      <c r="AD226" s="182">
        <f t="shared" si="432"/>
        <v>0.54325000000000001</v>
      </c>
      <c r="AE226" s="1087"/>
      <c r="AF226" s="463" t="s">
        <v>566</v>
      </c>
      <c r="AG226" s="2526"/>
      <c r="AH226" s="1343">
        <f t="shared" si="433"/>
        <v>0.8</v>
      </c>
      <c r="AI226" s="1344">
        <f t="shared" si="434"/>
        <v>0</v>
      </c>
      <c r="AJ226" s="1345">
        <f t="shared" si="434"/>
        <v>0</v>
      </c>
      <c r="AK226" s="1345">
        <f t="shared" si="434"/>
        <v>0</v>
      </c>
      <c r="AL226" s="1345">
        <f t="shared" si="434"/>
        <v>0</v>
      </c>
      <c r="AM226" s="1346">
        <f t="shared" si="434"/>
        <v>0.1</v>
      </c>
      <c r="AN226" s="1347">
        <f t="shared" si="435"/>
        <v>0.1</v>
      </c>
      <c r="AO226" s="1084"/>
      <c r="AP226" s="2006"/>
      <c r="AQ226" s="2006"/>
      <c r="AR226" s="2006"/>
      <c r="AS226" s="2006"/>
      <c r="AT226" s="2006"/>
      <c r="AU226" s="2006"/>
      <c r="AV226" s="2006"/>
      <c r="AW226" s="2006"/>
      <c r="AX226" s="2006"/>
      <c r="AY226" s="2006"/>
      <c r="AZ226" s="2007"/>
      <c r="BA226" s="2007"/>
    </row>
    <row r="227" spans="1:53" ht="15" hidden="1" customHeight="1" outlineLevel="2" x14ac:dyDescent="0.2">
      <c r="A227" s="458" t="s">
        <v>578</v>
      </c>
      <c r="B227" s="451">
        <v>10</v>
      </c>
      <c r="C227" s="155">
        <v>0.28000000000000003</v>
      </c>
      <c r="D227" s="68">
        <v>2.1486486486486486E-2</v>
      </c>
      <c r="E227" s="27">
        <v>0.10277702702702703</v>
      </c>
      <c r="F227" s="29">
        <v>0</v>
      </c>
      <c r="G227" s="2695">
        <v>0</v>
      </c>
      <c r="H227" s="29">
        <v>0</v>
      </c>
      <c r="I227" s="28">
        <v>1.2847128378378378E-2</v>
      </c>
      <c r="J227" s="129">
        <v>5</v>
      </c>
      <c r="K227" s="28">
        <v>1.2847128378378378E-2</v>
      </c>
      <c r="L227" s="146">
        <v>3</v>
      </c>
      <c r="M227" s="571">
        <v>10</v>
      </c>
      <c r="N227" s="2302">
        <v>1</v>
      </c>
      <c r="O227" s="2507" t="s">
        <v>336</v>
      </c>
      <c r="P227" s="182">
        <f t="shared" si="426"/>
        <v>0.14995777027027027</v>
      </c>
      <c r="Q227" s="1087"/>
      <c r="R227" s="3207"/>
      <c r="S227" s="3207"/>
      <c r="T227" s="129">
        <f t="shared" si="427"/>
        <v>0.28000000000000003</v>
      </c>
      <c r="U227" s="68">
        <f t="shared" si="428"/>
        <v>4.5428571428571422E-2</v>
      </c>
      <c r="V227" s="27">
        <f t="shared" si="428"/>
        <v>0.21729999999999999</v>
      </c>
      <c r="W227" s="363">
        <f t="shared" si="428"/>
        <v>0</v>
      </c>
      <c r="X227" s="363">
        <f t="shared" si="428"/>
        <v>0</v>
      </c>
      <c r="Y227" s="363">
        <f t="shared" si="428"/>
        <v>0</v>
      </c>
      <c r="Z227" s="28">
        <f t="shared" si="428"/>
        <v>2.7162499999999999E-2</v>
      </c>
      <c r="AA227" s="129">
        <f t="shared" si="429"/>
        <v>5</v>
      </c>
      <c r="AB227" s="28">
        <f t="shared" si="430"/>
        <v>2.7162499999999999E-2</v>
      </c>
      <c r="AC227" s="364">
        <f t="shared" si="431"/>
        <v>3</v>
      </c>
      <c r="AD227" s="182">
        <f t="shared" si="432"/>
        <v>0.31705357142857138</v>
      </c>
      <c r="AE227" s="1087"/>
      <c r="AF227" s="463" t="s">
        <v>578</v>
      </c>
      <c r="AG227" s="2526"/>
      <c r="AH227" s="1343">
        <f t="shared" si="433"/>
        <v>0.14328358208955216</v>
      </c>
      <c r="AI227" s="1344">
        <f t="shared" si="434"/>
        <v>0.68537313432835822</v>
      </c>
      <c r="AJ227" s="1345">
        <f t="shared" si="434"/>
        <v>0</v>
      </c>
      <c r="AK227" s="1345">
        <f t="shared" si="434"/>
        <v>0</v>
      </c>
      <c r="AL227" s="1345">
        <f t="shared" si="434"/>
        <v>0</v>
      </c>
      <c r="AM227" s="1346">
        <f t="shared" si="434"/>
        <v>8.5671641791044778E-2</v>
      </c>
      <c r="AN227" s="1347">
        <f t="shared" si="435"/>
        <v>8.5671641791044778E-2</v>
      </c>
      <c r="AO227" s="1084"/>
      <c r="AP227" s="2006"/>
      <c r="AQ227" s="2006"/>
      <c r="AR227" s="2006"/>
      <c r="AS227" s="2006"/>
      <c r="AT227" s="2006"/>
      <c r="AU227" s="2006"/>
      <c r="AV227" s="2006"/>
      <c r="AW227" s="2006"/>
      <c r="AX227" s="2006"/>
      <c r="AY227" s="2006"/>
      <c r="AZ227" s="2007"/>
      <c r="BA227" s="2007"/>
    </row>
    <row r="228" spans="1:53" ht="15" hidden="1" customHeight="1" outlineLevel="2" x14ac:dyDescent="0.2">
      <c r="A228" s="458" t="s">
        <v>579</v>
      </c>
      <c r="B228" s="451">
        <v>10</v>
      </c>
      <c r="C228" s="155">
        <v>0.28000000000000003</v>
      </c>
      <c r="D228" s="68">
        <v>2.1486486486486486E-2</v>
      </c>
      <c r="E228" s="27">
        <v>0.20555405405405405</v>
      </c>
      <c r="F228" s="29">
        <v>0</v>
      </c>
      <c r="G228" s="2695">
        <v>0</v>
      </c>
      <c r="H228" s="29">
        <v>0</v>
      </c>
      <c r="I228" s="28">
        <v>2.5694256756756757E-2</v>
      </c>
      <c r="J228" s="129">
        <v>10</v>
      </c>
      <c r="K228" s="28">
        <v>2.5694256756756757E-2</v>
      </c>
      <c r="L228" s="146">
        <v>3</v>
      </c>
      <c r="M228" s="571">
        <v>10</v>
      </c>
      <c r="N228" s="2302">
        <v>1</v>
      </c>
      <c r="O228" s="2507" t="s">
        <v>336</v>
      </c>
      <c r="P228" s="182">
        <f t="shared" si="426"/>
        <v>0.27842905405405405</v>
      </c>
      <c r="Q228" s="1087"/>
      <c r="R228" s="3207"/>
      <c r="S228" s="3207"/>
      <c r="T228" s="129">
        <f t="shared" si="427"/>
        <v>0.28000000000000003</v>
      </c>
      <c r="U228" s="68">
        <f t="shared" si="428"/>
        <v>4.5428571428571422E-2</v>
      </c>
      <c r="V228" s="27">
        <f t="shared" si="428"/>
        <v>0.43459999999999999</v>
      </c>
      <c r="W228" s="363">
        <f t="shared" si="428"/>
        <v>0</v>
      </c>
      <c r="X228" s="363">
        <f t="shared" si="428"/>
        <v>0</v>
      </c>
      <c r="Y228" s="363">
        <f t="shared" si="428"/>
        <v>0</v>
      </c>
      <c r="Z228" s="28">
        <f t="shared" si="428"/>
        <v>5.4324999999999998E-2</v>
      </c>
      <c r="AA228" s="129">
        <f t="shared" si="429"/>
        <v>10</v>
      </c>
      <c r="AB228" s="28">
        <f t="shared" si="430"/>
        <v>5.4324999999999998E-2</v>
      </c>
      <c r="AC228" s="364">
        <f t="shared" si="431"/>
        <v>3</v>
      </c>
      <c r="AD228" s="182">
        <f t="shared" si="432"/>
        <v>0.58867857142857138</v>
      </c>
      <c r="AE228" s="1087"/>
      <c r="AF228" s="463" t="s">
        <v>579</v>
      </c>
      <c r="AG228" s="2526"/>
      <c r="AH228" s="1343">
        <f t="shared" si="433"/>
        <v>7.7170418006430763E-2</v>
      </c>
      <c r="AI228" s="1344">
        <f t="shared" si="434"/>
        <v>0.73826366559485535</v>
      </c>
      <c r="AJ228" s="1345">
        <f t="shared" si="434"/>
        <v>0</v>
      </c>
      <c r="AK228" s="1345">
        <f t="shared" si="434"/>
        <v>0</v>
      </c>
      <c r="AL228" s="1345">
        <f t="shared" si="434"/>
        <v>0</v>
      </c>
      <c r="AM228" s="1346">
        <f t="shared" si="434"/>
        <v>9.2282958199356918E-2</v>
      </c>
      <c r="AN228" s="1347">
        <f t="shared" si="435"/>
        <v>9.2282958199356918E-2</v>
      </c>
      <c r="AO228" s="1084"/>
      <c r="AP228" s="2006"/>
      <c r="AQ228" s="2006"/>
      <c r="AR228" s="2006"/>
      <c r="AS228" s="2006"/>
      <c r="AT228" s="2006"/>
      <c r="AU228" s="2006"/>
      <c r="AV228" s="2006"/>
      <c r="AW228" s="2006"/>
      <c r="AX228" s="2006"/>
      <c r="AY228" s="2006"/>
      <c r="AZ228" s="2007"/>
      <c r="BA228" s="2007"/>
    </row>
    <row r="229" spans="1:53" ht="15" hidden="1" customHeight="1" outlineLevel="2" x14ac:dyDescent="0.2">
      <c r="A229" s="458" t="s">
        <v>580</v>
      </c>
      <c r="B229" s="451">
        <v>10</v>
      </c>
      <c r="C229" s="155">
        <v>1</v>
      </c>
      <c r="D229" s="68">
        <v>2.1486486486486486E-2</v>
      </c>
      <c r="E229" s="27">
        <v>0.10277702702702703</v>
      </c>
      <c r="F229" s="29">
        <v>0</v>
      </c>
      <c r="G229" s="2695">
        <v>0</v>
      </c>
      <c r="H229" s="29">
        <v>0</v>
      </c>
      <c r="I229" s="28">
        <v>1.2847128378378378E-2</v>
      </c>
      <c r="J229" s="129">
        <v>5</v>
      </c>
      <c r="K229" s="28">
        <v>1.2847128378378378E-2</v>
      </c>
      <c r="L229" s="146">
        <v>3</v>
      </c>
      <c r="M229" s="571">
        <v>10</v>
      </c>
      <c r="N229" s="2302">
        <v>1</v>
      </c>
      <c r="O229" s="2507" t="s">
        <v>336</v>
      </c>
      <c r="P229" s="182">
        <f t="shared" si="426"/>
        <v>0.14995777027027027</v>
      </c>
      <c r="Q229" s="1087"/>
      <c r="R229" s="3207"/>
      <c r="S229" s="3207"/>
      <c r="T229" s="129">
        <f t="shared" si="427"/>
        <v>1</v>
      </c>
      <c r="U229" s="68">
        <f t="shared" si="428"/>
        <v>4.5428571428571422E-2</v>
      </c>
      <c r="V229" s="27">
        <f t="shared" si="428"/>
        <v>0.21729999999999999</v>
      </c>
      <c r="W229" s="363">
        <f t="shared" si="428"/>
        <v>0</v>
      </c>
      <c r="X229" s="363">
        <f t="shared" si="428"/>
        <v>0</v>
      </c>
      <c r="Y229" s="363">
        <f t="shared" si="428"/>
        <v>0</v>
      </c>
      <c r="Z229" s="28">
        <f t="shared" si="428"/>
        <v>2.7162499999999999E-2</v>
      </c>
      <c r="AA229" s="129">
        <f t="shared" si="429"/>
        <v>5</v>
      </c>
      <c r="AB229" s="28">
        <f t="shared" si="430"/>
        <v>2.7162499999999999E-2</v>
      </c>
      <c r="AC229" s="364">
        <f t="shared" si="431"/>
        <v>3</v>
      </c>
      <c r="AD229" s="182">
        <f t="shared" si="432"/>
        <v>0.31705357142857138</v>
      </c>
      <c r="AE229" s="1087"/>
      <c r="AF229" s="463" t="s">
        <v>580</v>
      </c>
      <c r="AG229" s="2526"/>
      <c r="AH229" s="1343">
        <f t="shared" si="433"/>
        <v>0.14328358208955216</v>
      </c>
      <c r="AI229" s="1344">
        <f t="shared" si="434"/>
        <v>0.68537313432835822</v>
      </c>
      <c r="AJ229" s="1345">
        <f t="shared" si="434"/>
        <v>0</v>
      </c>
      <c r="AK229" s="1345">
        <f t="shared" si="434"/>
        <v>0</v>
      </c>
      <c r="AL229" s="1345">
        <f t="shared" si="434"/>
        <v>0</v>
      </c>
      <c r="AM229" s="1346">
        <f t="shared" si="434"/>
        <v>8.5671641791044778E-2</v>
      </c>
      <c r="AN229" s="1347">
        <f t="shared" si="435"/>
        <v>8.5671641791044778E-2</v>
      </c>
      <c r="AO229" s="1084"/>
      <c r="AP229" s="2006"/>
      <c r="AQ229" s="2006"/>
      <c r="AR229" s="2006"/>
      <c r="AS229" s="2006"/>
      <c r="AT229" s="2006"/>
      <c r="AU229" s="2006"/>
      <c r="AV229" s="2006"/>
      <c r="AW229" s="2006"/>
      <c r="AX229" s="2006"/>
      <c r="AY229" s="2006"/>
      <c r="AZ229" s="2007"/>
      <c r="BA229" s="2007"/>
    </row>
    <row r="230" spans="1:53" ht="16" hidden="1" outlineLevel="2" x14ac:dyDescent="0.2">
      <c r="A230" s="458" t="s">
        <v>581</v>
      </c>
      <c r="B230" s="451">
        <v>10</v>
      </c>
      <c r="C230" s="155">
        <v>1</v>
      </c>
      <c r="D230" s="68">
        <v>2.1486486486486486E-2</v>
      </c>
      <c r="E230" s="27">
        <v>0.20555405405405405</v>
      </c>
      <c r="F230" s="29">
        <v>0</v>
      </c>
      <c r="G230" s="2695">
        <v>0</v>
      </c>
      <c r="H230" s="29">
        <v>0</v>
      </c>
      <c r="I230" s="28">
        <v>2.5694256756756757E-2</v>
      </c>
      <c r="J230" s="129">
        <v>10</v>
      </c>
      <c r="K230" s="28">
        <v>2.5694256756756757E-2</v>
      </c>
      <c r="L230" s="146">
        <v>3</v>
      </c>
      <c r="M230" s="571">
        <v>10</v>
      </c>
      <c r="N230" s="2302">
        <v>1</v>
      </c>
      <c r="O230" s="2507" t="s">
        <v>336</v>
      </c>
      <c r="P230" s="182">
        <f t="shared" si="426"/>
        <v>0.27842905405405405</v>
      </c>
      <c r="Q230" s="1087"/>
      <c r="R230" s="3207"/>
      <c r="S230" s="3207"/>
      <c r="T230" s="129">
        <f t="shared" si="427"/>
        <v>1</v>
      </c>
      <c r="U230" s="68">
        <f t="shared" si="428"/>
        <v>4.5428571428571422E-2</v>
      </c>
      <c r="V230" s="27">
        <f t="shared" si="428"/>
        <v>0.43459999999999999</v>
      </c>
      <c r="W230" s="363">
        <f t="shared" si="428"/>
        <v>0</v>
      </c>
      <c r="X230" s="363">
        <f t="shared" si="428"/>
        <v>0</v>
      </c>
      <c r="Y230" s="363">
        <f t="shared" si="428"/>
        <v>0</v>
      </c>
      <c r="Z230" s="28">
        <f t="shared" si="428"/>
        <v>5.4324999999999998E-2</v>
      </c>
      <c r="AA230" s="129">
        <f t="shared" si="429"/>
        <v>10</v>
      </c>
      <c r="AB230" s="28">
        <f t="shared" si="430"/>
        <v>5.4324999999999998E-2</v>
      </c>
      <c r="AC230" s="364">
        <f t="shared" si="431"/>
        <v>3</v>
      </c>
      <c r="AD230" s="182">
        <f t="shared" si="432"/>
        <v>0.58867857142857138</v>
      </c>
      <c r="AE230" s="1087"/>
      <c r="AF230" s="463" t="s">
        <v>581</v>
      </c>
      <c r="AG230" s="2526"/>
      <c r="AH230" s="1343">
        <f t="shared" si="433"/>
        <v>7.7170418006430763E-2</v>
      </c>
      <c r="AI230" s="1344">
        <f t="shared" si="434"/>
        <v>0.73826366559485535</v>
      </c>
      <c r="AJ230" s="1345">
        <f t="shared" si="434"/>
        <v>0</v>
      </c>
      <c r="AK230" s="1345">
        <f t="shared" si="434"/>
        <v>0</v>
      </c>
      <c r="AL230" s="1345">
        <f t="shared" si="434"/>
        <v>0</v>
      </c>
      <c r="AM230" s="1346">
        <f t="shared" si="434"/>
        <v>9.2282958199356918E-2</v>
      </c>
      <c r="AN230" s="1347">
        <f t="shared" si="435"/>
        <v>9.2282958199356918E-2</v>
      </c>
      <c r="AO230" s="1084"/>
      <c r="AP230" s="2006"/>
      <c r="AQ230" s="2006"/>
      <c r="AR230" s="2006"/>
      <c r="AS230" s="2006"/>
      <c r="AT230" s="2006"/>
      <c r="AU230" s="2006"/>
      <c r="AV230" s="2006"/>
      <c r="AW230" s="2006"/>
      <c r="AX230" s="2006"/>
      <c r="AY230" s="2006"/>
      <c r="AZ230" s="2007"/>
      <c r="BA230" s="2007"/>
    </row>
    <row r="231" spans="1:53" ht="15" hidden="1" customHeight="1" outlineLevel="1" collapsed="1" x14ac:dyDescent="0.2">
      <c r="A231" s="457" t="s">
        <v>146</v>
      </c>
      <c r="B231" s="450" t="str">
        <f t="shared" ref="B231:K231" si="436">B$6</f>
        <v>Trips</v>
      </c>
      <c r="C231" s="172" t="str">
        <f t="shared" si="436"/>
        <v>Mbpd</v>
      </c>
      <c r="D231" s="173" t="str">
        <f t="shared" si="436"/>
        <v>Client</v>
      </c>
      <c r="E231" s="173" t="str">
        <f t="shared" si="436"/>
        <v>Citrix</v>
      </c>
      <c r="F231" s="173" t="str">
        <f t="shared" si="436"/>
        <v>Web</v>
      </c>
      <c r="G231" s="2694" t="str">
        <f t="shared" si="436"/>
        <v>Portal</v>
      </c>
      <c r="H231" s="173" t="str">
        <f t="shared" si="436"/>
        <v>SOC</v>
      </c>
      <c r="I231" s="173" t="str">
        <f t="shared" si="436"/>
        <v>DS/MDS</v>
      </c>
      <c r="J231" s="173" t="str">
        <f t="shared" si="436"/>
        <v>Mbpd</v>
      </c>
      <c r="K231" s="173" t="str">
        <f t="shared" si="436"/>
        <v>DBMS</v>
      </c>
      <c r="L231" s="178" t="s">
        <v>299</v>
      </c>
      <c r="M231" s="572" t="str">
        <f>M$6</f>
        <v>DPM/c</v>
      </c>
      <c r="N231" s="572" t="str">
        <f>N$6</f>
        <v>MT</v>
      </c>
      <c r="O231" s="572" t="str">
        <f>O$6</f>
        <v xml:space="preserve">WF </v>
      </c>
      <c r="P231" s="181" t="s">
        <v>273</v>
      </c>
      <c r="Q231" s="1087"/>
      <c r="R231" s="3207"/>
      <c r="S231" s="3207"/>
      <c r="T231" s="1270" t="s">
        <v>308</v>
      </c>
      <c r="U231" s="173" t="s">
        <v>303</v>
      </c>
      <c r="V231" s="173" t="str">
        <f>V$6</f>
        <v xml:space="preserve">WTS </v>
      </c>
      <c r="W231" s="173" t="str">
        <f>+W$6</f>
        <v>Web</v>
      </c>
      <c r="X231" s="173" t="str">
        <f>+X$6</f>
        <v>Portal</v>
      </c>
      <c r="Y231" s="173" t="s">
        <v>312</v>
      </c>
      <c r="Z231" s="173" t="s">
        <v>330</v>
      </c>
      <c r="AA231" s="173" t="s">
        <v>308</v>
      </c>
      <c r="AB231" s="173" t="s">
        <v>309</v>
      </c>
      <c r="AC231" s="178" t="s">
        <v>299</v>
      </c>
      <c r="AD231" s="181" t="s">
        <v>273</v>
      </c>
      <c r="AE231" s="1087"/>
      <c r="AF231" s="404" t="str">
        <f>A231</f>
        <v>ArcGIS Server 10  =========</v>
      </c>
      <c r="AG231" s="2526"/>
      <c r="AH231" s="1339" t="str">
        <f t="shared" ref="AH231:AM231" si="437">D231</f>
        <v>Client</v>
      </c>
      <c r="AI231" s="1339" t="str">
        <f t="shared" si="437"/>
        <v>Citrix</v>
      </c>
      <c r="AJ231" s="1339" t="str">
        <f t="shared" si="437"/>
        <v>Web</v>
      </c>
      <c r="AK231" s="1339" t="str">
        <f t="shared" si="437"/>
        <v>Portal</v>
      </c>
      <c r="AL231" s="1340" t="str">
        <f t="shared" si="437"/>
        <v>SOC</v>
      </c>
      <c r="AM231" s="1341" t="str">
        <f t="shared" si="437"/>
        <v>DS/MDS</v>
      </c>
      <c r="AN231" s="1342" t="str">
        <f>K231</f>
        <v>DBMS</v>
      </c>
      <c r="AO231" s="1084"/>
      <c r="AP231" s="2006"/>
      <c r="AQ231" s="2006"/>
      <c r="AR231" s="2006"/>
      <c r="AS231" s="2006"/>
      <c r="AT231" s="2006"/>
      <c r="AU231" s="2006"/>
      <c r="AV231" s="2006"/>
      <c r="AW231" s="2006"/>
      <c r="AX231" s="2006"/>
      <c r="AY231" s="2006"/>
      <c r="AZ231" s="2007"/>
      <c r="BA231" s="2007"/>
    </row>
    <row r="232" spans="1:53" ht="15" hidden="1" customHeight="1" outlineLevel="2" x14ac:dyDescent="0.2">
      <c r="A232" s="459" t="s">
        <v>1214</v>
      </c>
      <c r="B232" s="451">
        <v>10</v>
      </c>
      <c r="C232" s="155">
        <v>1.6</v>
      </c>
      <c r="D232" s="68">
        <v>2.1486486486486486E-2</v>
      </c>
      <c r="E232" s="60">
        <v>0</v>
      </c>
      <c r="F232" s="29">
        <v>6.9831081081081084E-3</v>
      </c>
      <c r="G232" s="2697">
        <v>0</v>
      </c>
      <c r="H232" s="29">
        <v>9.0780405405405398E-2</v>
      </c>
      <c r="I232" s="28">
        <v>8.7288851351351362E-3</v>
      </c>
      <c r="J232" s="129">
        <v>5</v>
      </c>
      <c r="K232" s="28">
        <v>8.7288851351351362E-3</v>
      </c>
      <c r="L232" s="146">
        <v>3</v>
      </c>
      <c r="M232" s="571">
        <v>6</v>
      </c>
      <c r="N232" s="2302">
        <v>1</v>
      </c>
      <c r="O232" s="2507" t="s">
        <v>332</v>
      </c>
      <c r="P232" s="182">
        <f t="shared" ref="P232:P241" si="438">SUM(D232:I232,K232)</f>
        <v>0.13670777027027028</v>
      </c>
      <c r="Q232" s="2585"/>
      <c r="R232" s="3206"/>
      <c r="S232" s="3206"/>
      <c r="T232" s="129">
        <f t="shared" ref="T232:T241" si="439">C232</f>
        <v>1.6</v>
      </c>
      <c r="U232" s="68">
        <f t="shared" ref="U232:U241" si="440">D232*$K$3/$AB$3</f>
        <v>4.5428571428571422E-2</v>
      </c>
      <c r="V232" s="27">
        <f t="shared" ref="V232:V241" si="441">E232*$K$3/$AB$3</f>
        <v>0</v>
      </c>
      <c r="W232" s="363">
        <f t="shared" ref="W232:W241" si="442">F232*$K$3/$AB$3</f>
        <v>1.4764285714285716E-2</v>
      </c>
      <c r="X232" s="363">
        <f t="shared" ref="X232:X241" si="443">G232*$K$3/$AB$3</f>
        <v>0</v>
      </c>
      <c r="Y232" s="363">
        <f t="shared" ref="Y232:Y241" si="444">H232*$K$3/$AB$3</f>
        <v>0.19193571428571427</v>
      </c>
      <c r="Z232" s="28">
        <f t="shared" ref="Z232:Z241" si="445">I232*$K$3/$AB$3</f>
        <v>1.8455357142857145E-2</v>
      </c>
      <c r="AA232" s="129">
        <f t="shared" ref="AA232:AA241" si="446">J232</f>
        <v>5</v>
      </c>
      <c r="AB232" s="28">
        <f t="shared" ref="AB232:AB241" si="447">K232*$K$3/$AB$3</f>
        <v>1.8455357142857145E-2</v>
      </c>
      <c r="AC232" s="364">
        <f t="shared" ref="AC232:AC241" si="448">L232</f>
        <v>3</v>
      </c>
      <c r="AD232" s="182">
        <f t="shared" ref="AD232:AD241" si="449">SUM(U232:Z232,AB232)</f>
        <v>0.28903928571428567</v>
      </c>
      <c r="AE232" s="1087"/>
      <c r="AF232" s="462" t="s">
        <v>1214</v>
      </c>
      <c r="AG232" s="2526"/>
      <c r="AH232" s="1343">
        <f t="shared" ref="AH232:AH237" si="450">1-SUM(AI232:AN232)</f>
        <v>0.15717092337917493</v>
      </c>
      <c r="AI232" s="1344">
        <f t="shared" ref="AI232:AI241" si="451">E232/$P232</f>
        <v>0</v>
      </c>
      <c r="AJ232" s="1345">
        <f t="shared" ref="AJ232:AJ241" si="452">F232/$P232</f>
        <v>5.1080550098231821E-2</v>
      </c>
      <c r="AK232" s="1345">
        <f t="shared" ref="AK232:AK241" si="453">G232/$P232</f>
        <v>0</v>
      </c>
      <c r="AL232" s="1345">
        <f t="shared" ref="AL232:AL241" si="454">H232/$P232</f>
        <v>0.66404715127701364</v>
      </c>
      <c r="AM232" s="1346">
        <f t="shared" ref="AM232:AM241" si="455">I232/$P232</f>
        <v>6.3850687622789781E-2</v>
      </c>
      <c r="AN232" s="1347">
        <f t="shared" ref="AN232:AN241" si="456">K232/$P232</f>
        <v>6.3850687622789781E-2</v>
      </c>
      <c r="AO232" s="1084"/>
      <c r="AP232" s="2006"/>
      <c r="AQ232" s="2006"/>
      <c r="AR232" s="2006"/>
      <c r="AS232" s="2006"/>
      <c r="AT232" s="2006"/>
      <c r="AU232" s="2006"/>
      <c r="AV232" s="2006"/>
      <c r="AW232" s="2006"/>
      <c r="AX232" s="2006"/>
      <c r="AY232" s="2006"/>
      <c r="AZ232" s="2007"/>
      <c r="BA232" s="2007"/>
    </row>
    <row r="233" spans="1:53" ht="15" hidden="1" customHeight="1" outlineLevel="2" x14ac:dyDescent="0.2">
      <c r="A233" s="459" t="s">
        <v>942</v>
      </c>
      <c r="B233" s="451">
        <v>10</v>
      </c>
      <c r="C233" s="155">
        <v>1.6</v>
      </c>
      <c r="D233" s="68">
        <v>2.1486486486486486E-2</v>
      </c>
      <c r="E233" s="27">
        <v>0</v>
      </c>
      <c r="F233" s="29">
        <v>6.9831081081081084E-3</v>
      </c>
      <c r="G233" s="2697">
        <v>0</v>
      </c>
      <c r="H233" s="29">
        <v>0.1815608108108108</v>
      </c>
      <c r="I233" s="28">
        <v>1.7457770270270272E-2</v>
      </c>
      <c r="J233" s="129">
        <v>10</v>
      </c>
      <c r="K233" s="28">
        <v>1.7457770270270272E-2</v>
      </c>
      <c r="L233" s="146">
        <v>3</v>
      </c>
      <c r="M233" s="571">
        <v>6</v>
      </c>
      <c r="N233" s="2302">
        <v>1</v>
      </c>
      <c r="O233" s="2507" t="s">
        <v>332</v>
      </c>
      <c r="P233" s="182">
        <f t="shared" si="438"/>
        <v>0.2449459459459459</v>
      </c>
      <c r="Q233" s="2585"/>
      <c r="R233" s="3206"/>
      <c r="S233" s="3206"/>
      <c r="T233" s="129">
        <f t="shared" si="439"/>
        <v>1.6</v>
      </c>
      <c r="U233" s="68">
        <f t="shared" si="440"/>
        <v>4.5428571428571422E-2</v>
      </c>
      <c r="V233" s="27">
        <f t="shared" si="441"/>
        <v>0</v>
      </c>
      <c r="W233" s="363">
        <f t="shared" si="442"/>
        <v>1.4764285714285716E-2</v>
      </c>
      <c r="X233" s="363">
        <f t="shared" si="443"/>
        <v>0</v>
      </c>
      <c r="Y233" s="363">
        <f t="shared" si="444"/>
        <v>0.38387142857142853</v>
      </c>
      <c r="Z233" s="28">
        <f t="shared" si="445"/>
        <v>3.691071428571429E-2</v>
      </c>
      <c r="AA233" s="129">
        <f t="shared" si="446"/>
        <v>10</v>
      </c>
      <c r="AB233" s="28">
        <f t="shared" si="447"/>
        <v>3.691071428571429E-2</v>
      </c>
      <c r="AC233" s="364">
        <f t="shared" si="448"/>
        <v>3</v>
      </c>
      <c r="AD233" s="182">
        <f t="shared" si="449"/>
        <v>0.51788571428571428</v>
      </c>
      <c r="AE233" s="1087"/>
      <c r="AF233" s="462" t="s">
        <v>942</v>
      </c>
      <c r="AG233" s="2526"/>
      <c r="AH233" s="1343">
        <f t="shared" si="450"/>
        <v>8.7719298245613864E-2</v>
      </c>
      <c r="AI233" s="1344">
        <f t="shared" si="451"/>
        <v>0</v>
      </c>
      <c r="AJ233" s="1345">
        <f t="shared" si="452"/>
        <v>2.8508771929824567E-2</v>
      </c>
      <c r="AK233" s="1345">
        <f t="shared" si="453"/>
        <v>0</v>
      </c>
      <c r="AL233" s="1345">
        <f t="shared" si="454"/>
        <v>0.74122807017543868</v>
      </c>
      <c r="AM233" s="1346">
        <f t="shared" si="455"/>
        <v>7.1271929824561431E-2</v>
      </c>
      <c r="AN233" s="1347">
        <f t="shared" si="456"/>
        <v>7.1271929824561431E-2</v>
      </c>
      <c r="AO233" s="1084"/>
      <c r="AP233" s="2008"/>
      <c r="AQ233" s="2006"/>
      <c r="AR233" s="2006"/>
      <c r="AS233" s="2006"/>
      <c r="AT233" s="2006"/>
      <c r="AU233" s="2006"/>
      <c r="AV233" s="2006"/>
      <c r="AW233" s="2006"/>
      <c r="AX233" s="2006"/>
      <c r="AY233" s="2006"/>
      <c r="AZ233" s="2007"/>
      <c r="BA233" s="2007"/>
    </row>
    <row r="234" spans="1:53" ht="15" hidden="1" customHeight="1" outlineLevel="2" x14ac:dyDescent="0.2">
      <c r="A234" s="459" t="s">
        <v>1215</v>
      </c>
      <c r="B234" s="451">
        <v>10</v>
      </c>
      <c r="C234" s="155">
        <v>1.6</v>
      </c>
      <c r="D234" s="68">
        <v>2.1486486486486486E-2</v>
      </c>
      <c r="E234" s="27">
        <v>0</v>
      </c>
      <c r="F234" s="29">
        <v>6.9831081081081084E-3</v>
      </c>
      <c r="G234" s="2697">
        <v>0</v>
      </c>
      <c r="H234" s="29">
        <v>4.5390202702702699E-2</v>
      </c>
      <c r="I234" s="28">
        <v>8.7288851351351362E-3</v>
      </c>
      <c r="J234" s="129">
        <v>5</v>
      </c>
      <c r="K234" s="28">
        <v>8.7288851351351362E-3</v>
      </c>
      <c r="L234" s="146">
        <v>3</v>
      </c>
      <c r="M234" s="571">
        <v>6</v>
      </c>
      <c r="N234" s="2302">
        <v>1</v>
      </c>
      <c r="O234" s="2507" t="s">
        <v>332</v>
      </c>
      <c r="P234" s="182">
        <f t="shared" si="438"/>
        <v>9.1317567567567551E-2</v>
      </c>
      <c r="Q234" s="2585"/>
      <c r="R234" s="3206"/>
      <c r="S234" s="3206"/>
      <c r="T234" s="129">
        <f t="shared" si="439"/>
        <v>1.6</v>
      </c>
      <c r="U234" s="68">
        <f t="shared" si="440"/>
        <v>4.5428571428571422E-2</v>
      </c>
      <c r="V234" s="27">
        <f t="shared" si="441"/>
        <v>0</v>
      </c>
      <c r="W234" s="363">
        <f t="shared" si="442"/>
        <v>1.4764285714285716E-2</v>
      </c>
      <c r="X234" s="363">
        <f t="shared" si="443"/>
        <v>0</v>
      </c>
      <c r="Y234" s="363">
        <f t="shared" si="444"/>
        <v>9.5967857142857133E-2</v>
      </c>
      <c r="Z234" s="28">
        <f t="shared" si="445"/>
        <v>1.8455357142857145E-2</v>
      </c>
      <c r="AA234" s="129">
        <f t="shared" si="446"/>
        <v>5</v>
      </c>
      <c r="AB234" s="28">
        <f t="shared" si="447"/>
        <v>1.8455357142857145E-2</v>
      </c>
      <c r="AC234" s="364">
        <f t="shared" si="448"/>
        <v>3</v>
      </c>
      <c r="AD234" s="182">
        <f t="shared" si="449"/>
        <v>0.19307142857142856</v>
      </c>
      <c r="AE234" s="1087"/>
      <c r="AF234" s="462" t="s">
        <v>1215</v>
      </c>
      <c r="AG234" s="2526"/>
      <c r="AH234" s="1343">
        <f t="shared" si="450"/>
        <v>0.23529411764705876</v>
      </c>
      <c r="AI234" s="1344">
        <f t="shared" si="451"/>
        <v>0</v>
      </c>
      <c r="AJ234" s="1345">
        <f t="shared" si="452"/>
        <v>7.6470588235294137E-2</v>
      </c>
      <c r="AK234" s="1345">
        <f t="shared" si="453"/>
        <v>0</v>
      </c>
      <c r="AL234" s="1345">
        <f t="shared" si="454"/>
        <v>0.49705882352941183</v>
      </c>
      <c r="AM234" s="1346">
        <f t="shared" si="455"/>
        <v>9.5588235294117682E-2</v>
      </c>
      <c r="AN234" s="1347">
        <f t="shared" si="456"/>
        <v>9.5588235294117682E-2</v>
      </c>
      <c r="AO234" s="1084"/>
      <c r="AP234" s="2008"/>
      <c r="AQ234" s="2006"/>
      <c r="AR234" s="2006"/>
      <c r="AS234" s="2006"/>
      <c r="AT234" s="2006"/>
      <c r="AU234" s="2006"/>
      <c r="AV234" s="2006"/>
      <c r="AW234" s="2006"/>
      <c r="AX234" s="2006"/>
      <c r="AY234" s="2006"/>
      <c r="AZ234" s="2007"/>
      <c r="BA234" s="2007"/>
    </row>
    <row r="235" spans="1:53" ht="15" hidden="1" customHeight="1" outlineLevel="2" x14ac:dyDescent="0.2">
      <c r="A235" s="459" t="s">
        <v>1216</v>
      </c>
      <c r="B235" s="451">
        <v>10</v>
      </c>
      <c r="C235" s="155">
        <v>1.6</v>
      </c>
      <c r="D235" s="68">
        <v>2.1486486486486486E-2</v>
      </c>
      <c r="E235" s="27">
        <v>0</v>
      </c>
      <c r="F235" s="29">
        <v>6.9831081081081084E-3</v>
      </c>
      <c r="G235" s="2697">
        <v>0</v>
      </c>
      <c r="H235" s="29">
        <v>9.0780405405405398E-2</v>
      </c>
      <c r="I235" s="28">
        <v>1.7457770270270272E-2</v>
      </c>
      <c r="J235" s="129">
        <v>10</v>
      </c>
      <c r="K235" s="28">
        <v>1.7457770270270272E-2</v>
      </c>
      <c r="L235" s="146">
        <v>3</v>
      </c>
      <c r="M235" s="571">
        <v>6</v>
      </c>
      <c r="N235" s="2302">
        <v>1</v>
      </c>
      <c r="O235" s="2507" t="s">
        <v>332</v>
      </c>
      <c r="P235" s="182">
        <f t="shared" si="438"/>
        <v>0.15416554054054052</v>
      </c>
      <c r="Q235" s="2585"/>
      <c r="R235" s="3206"/>
      <c r="S235" s="3206"/>
      <c r="T235" s="129">
        <f t="shared" si="439"/>
        <v>1.6</v>
      </c>
      <c r="U235" s="68">
        <f t="shared" si="440"/>
        <v>4.5428571428571422E-2</v>
      </c>
      <c r="V235" s="27">
        <f t="shared" si="441"/>
        <v>0</v>
      </c>
      <c r="W235" s="363">
        <f t="shared" si="442"/>
        <v>1.4764285714285716E-2</v>
      </c>
      <c r="X235" s="363">
        <f t="shared" si="443"/>
        <v>0</v>
      </c>
      <c r="Y235" s="363">
        <f t="shared" si="444"/>
        <v>0.19193571428571427</v>
      </c>
      <c r="Z235" s="28">
        <f t="shared" si="445"/>
        <v>3.691071428571429E-2</v>
      </c>
      <c r="AA235" s="129">
        <f t="shared" si="446"/>
        <v>10</v>
      </c>
      <c r="AB235" s="28">
        <f t="shared" si="447"/>
        <v>3.691071428571429E-2</v>
      </c>
      <c r="AC235" s="364">
        <f t="shared" si="448"/>
        <v>3</v>
      </c>
      <c r="AD235" s="182">
        <f t="shared" si="449"/>
        <v>0.32595000000000002</v>
      </c>
      <c r="AE235" s="1087"/>
      <c r="AF235" s="462" t="s">
        <v>1216</v>
      </c>
      <c r="AG235" s="2526"/>
      <c r="AH235" s="1343">
        <f t="shared" si="450"/>
        <v>0.13937282229965142</v>
      </c>
      <c r="AI235" s="1344">
        <f t="shared" si="451"/>
        <v>0</v>
      </c>
      <c r="AJ235" s="1345">
        <f t="shared" si="452"/>
        <v>4.5296167247386769E-2</v>
      </c>
      <c r="AK235" s="1345">
        <f t="shared" si="453"/>
        <v>0</v>
      </c>
      <c r="AL235" s="1345">
        <f t="shared" si="454"/>
        <v>0.58885017421602792</v>
      </c>
      <c r="AM235" s="1346">
        <f t="shared" si="455"/>
        <v>0.11324041811846693</v>
      </c>
      <c r="AN235" s="1347">
        <f t="shared" si="456"/>
        <v>0.11324041811846693</v>
      </c>
      <c r="AO235" s="1084"/>
      <c r="AP235" s="2008"/>
      <c r="AQ235" s="2006"/>
      <c r="AR235" s="2006"/>
      <c r="AS235" s="2006"/>
      <c r="AT235" s="2006"/>
      <c r="AU235" s="2006"/>
      <c r="AV235" s="2006"/>
      <c r="AW235" s="2006"/>
      <c r="AX235" s="2006"/>
      <c r="AY235" s="2006"/>
      <c r="AZ235" s="2007"/>
      <c r="BA235" s="2007"/>
    </row>
    <row r="236" spans="1:53" ht="15" hidden="1" customHeight="1" outlineLevel="2" x14ac:dyDescent="0.2">
      <c r="A236" s="459" t="s">
        <v>567</v>
      </c>
      <c r="B236" s="451">
        <v>10</v>
      </c>
      <c r="C236" s="155">
        <v>1.62</v>
      </c>
      <c r="D236" s="68">
        <v>2.1486486486486486E-2</v>
      </c>
      <c r="E236" s="27">
        <v>0</v>
      </c>
      <c r="F236" s="29">
        <v>7.1621621621621627E-3</v>
      </c>
      <c r="G236" s="2697">
        <v>0</v>
      </c>
      <c r="H236" s="29">
        <v>3.6312162162162168E-2</v>
      </c>
      <c r="I236" s="28">
        <v>6.9831081081081084E-3</v>
      </c>
      <c r="J236" s="129">
        <v>4</v>
      </c>
      <c r="K236" s="28">
        <v>6.9831081081081084E-3</v>
      </c>
      <c r="L236" s="146">
        <v>3</v>
      </c>
      <c r="M236" s="571">
        <v>6</v>
      </c>
      <c r="N236" s="2302">
        <v>1</v>
      </c>
      <c r="O236" s="2507" t="s">
        <v>332</v>
      </c>
      <c r="P236" s="182">
        <f t="shared" si="438"/>
        <v>7.892702702702703E-2</v>
      </c>
      <c r="Q236" s="1087"/>
      <c r="R236" s="3207"/>
      <c r="S236" s="3207"/>
      <c r="T236" s="129">
        <f t="shared" si="439"/>
        <v>1.62</v>
      </c>
      <c r="U236" s="68">
        <f t="shared" si="440"/>
        <v>4.5428571428571422E-2</v>
      </c>
      <c r="V236" s="27">
        <f t="shared" si="441"/>
        <v>0</v>
      </c>
      <c r="W236" s="363">
        <f t="shared" si="442"/>
        <v>1.5142857142857144E-2</v>
      </c>
      <c r="X236" s="363">
        <f t="shared" si="443"/>
        <v>0</v>
      </c>
      <c r="Y236" s="363">
        <f t="shared" si="444"/>
        <v>7.6774285714285725E-2</v>
      </c>
      <c r="Z236" s="28">
        <f t="shared" si="445"/>
        <v>1.4764285714285716E-2</v>
      </c>
      <c r="AA236" s="129">
        <f t="shared" si="446"/>
        <v>4</v>
      </c>
      <c r="AB236" s="28">
        <f t="shared" si="447"/>
        <v>1.4764285714285716E-2</v>
      </c>
      <c r="AC236" s="364">
        <f t="shared" si="448"/>
        <v>3</v>
      </c>
      <c r="AD236" s="182">
        <f t="shared" si="449"/>
        <v>0.16687428571428575</v>
      </c>
      <c r="AE236" s="1087"/>
      <c r="AF236" s="462" t="s">
        <v>567</v>
      </c>
      <c r="AG236" s="2526"/>
      <c r="AH236" s="1343">
        <f t="shared" si="450"/>
        <v>0.27223230490018135</v>
      </c>
      <c r="AI236" s="1344">
        <f t="shared" si="451"/>
        <v>0</v>
      </c>
      <c r="AJ236" s="1345">
        <f t="shared" si="452"/>
        <v>9.0744101633393831E-2</v>
      </c>
      <c r="AK236" s="1345">
        <f t="shared" si="453"/>
        <v>0</v>
      </c>
      <c r="AL236" s="1345">
        <f t="shared" si="454"/>
        <v>0.46007259528130678</v>
      </c>
      <c r="AM236" s="1346">
        <f t="shared" si="455"/>
        <v>8.8475499092558987E-2</v>
      </c>
      <c r="AN236" s="1347">
        <f t="shared" si="456"/>
        <v>8.8475499092558987E-2</v>
      </c>
      <c r="AO236" s="1084"/>
      <c r="AP236" s="2006"/>
      <c r="AQ236" s="2006"/>
      <c r="AR236" s="2006"/>
      <c r="AS236" s="2006"/>
      <c r="AT236" s="2006"/>
      <c r="AU236" s="2006"/>
      <c r="AV236" s="2006"/>
      <c r="AW236" s="2006"/>
      <c r="AX236" s="2006"/>
      <c r="AY236" s="2006"/>
      <c r="AZ236" s="2007"/>
      <c r="BA236" s="2007"/>
    </row>
    <row r="237" spans="1:53" ht="15" hidden="1" customHeight="1" outlineLevel="2" x14ac:dyDescent="0.2">
      <c r="A237" s="459" t="s">
        <v>568</v>
      </c>
      <c r="B237" s="451">
        <v>10</v>
      </c>
      <c r="C237" s="155">
        <v>1.3</v>
      </c>
      <c r="D237" s="68">
        <v>2.1486486486486486E-2</v>
      </c>
      <c r="E237" s="27">
        <v>0</v>
      </c>
      <c r="F237" s="29">
        <v>7.1621621621621627E-3</v>
      </c>
      <c r="G237" s="2697">
        <v>0</v>
      </c>
      <c r="H237" s="29">
        <v>2.7932432432432441E-2</v>
      </c>
      <c r="I237" s="28">
        <v>3.4915540540540551E-3</v>
      </c>
      <c r="J237" s="129">
        <v>2.0000000000000009</v>
      </c>
      <c r="K237" s="28">
        <v>3.4915540540540551E-3</v>
      </c>
      <c r="L237" s="146">
        <v>3</v>
      </c>
      <c r="M237" s="571">
        <v>6</v>
      </c>
      <c r="N237" s="2302">
        <v>1</v>
      </c>
      <c r="O237" s="2507" t="s">
        <v>332</v>
      </c>
      <c r="P237" s="182">
        <f t="shared" si="438"/>
        <v>6.3564189189189199E-2</v>
      </c>
      <c r="Q237" s="1087"/>
      <c r="R237" s="3207"/>
      <c r="S237" s="3207"/>
      <c r="T237" s="129">
        <f t="shared" si="439"/>
        <v>1.3</v>
      </c>
      <c r="U237" s="68">
        <f t="shared" si="440"/>
        <v>4.5428571428571422E-2</v>
      </c>
      <c r="V237" s="27">
        <f t="shared" si="441"/>
        <v>0</v>
      </c>
      <c r="W237" s="363">
        <f t="shared" si="442"/>
        <v>1.5142857142857144E-2</v>
      </c>
      <c r="X237" s="363">
        <f t="shared" si="443"/>
        <v>0</v>
      </c>
      <c r="Y237" s="363">
        <f t="shared" si="444"/>
        <v>5.9057142857142877E-2</v>
      </c>
      <c r="Z237" s="28">
        <f t="shared" si="445"/>
        <v>7.3821428571428597E-3</v>
      </c>
      <c r="AA237" s="129">
        <f t="shared" si="446"/>
        <v>2.0000000000000009</v>
      </c>
      <c r="AB237" s="28">
        <f t="shared" si="447"/>
        <v>7.3821428571428597E-3</v>
      </c>
      <c r="AC237" s="364">
        <f t="shared" si="448"/>
        <v>3</v>
      </c>
      <c r="AD237" s="182">
        <f t="shared" si="449"/>
        <v>0.13439285714285717</v>
      </c>
      <c r="AE237" s="1087"/>
      <c r="AF237" s="462" t="s">
        <v>568</v>
      </c>
      <c r="AG237" s="2526"/>
      <c r="AH237" s="1343">
        <f t="shared" si="450"/>
        <v>0.33802816901408439</v>
      </c>
      <c r="AI237" s="1344">
        <f t="shared" si="451"/>
        <v>0</v>
      </c>
      <c r="AJ237" s="1345">
        <f t="shared" si="452"/>
        <v>0.11267605633802816</v>
      </c>
      <c r="AK237" s="1345">
        <f t="shared" si="453"/>
        <v>0</v>
      </c>
      <c r="AL237" s="1345">
        <f t="shared" si="454"/>
        <v>0.43943661971830994</v>
      </c>
      <c r="AM237" s="1346">
        <f t="shared" si="455"/>
        <v>5.4929577464788742E-2</v>
      </c>
      <c r="AN237" s="1347">
        <f t="shared" si="456"/>
        <v>5.4929577464788742E-2</v>
      </c>
      <c r="AO237" s="1084"/>
      <c r="AP237" s="2006"/>
      <c r="AQ237" s="2006"/>
      <c r="AR237" s="2006"/>
      <c r="AS237" s="2006"/>
      <c r="AT237" s="2006"/>
      <c r="AU237" s="2006"/>
      <c r="AV237" s="2006"/>
      <c r="AW237" s="2006"/>
      <c r="AX237" s="2006"/>
      <c r="AY237" s="2006"/>
      <c r="AZ237" s="2007"/>
      <c r="BA237" s="2007"/>
    </row>
    <row r="238" spans="1:53" ht="15" hidden="1" customHeight="1" outlineLevel="2" x14ac:dyDescent="0.2">
      <c r="A238" s="459" t="s">
        <v>93</v>
      </c>
      <c r="B238" s="451">
        <v>10</v>
      </c>
      <c r="C238" s="155">
        <v>0.5</v>
      </c>
      <c r="D238" s="68">
        <v>2.1486486486486486E-2</v>
      </c>
      <c r="E238" s="27">
        <v>0</v>
      </c>
      <c r="F238" s="29">
        <v>7.1621621621621627E-3</v>
      </c>
      <c r="G238" s="2695">
        <v>0</v>
      </c>
      <c r="H238" s="29">
        <v>7.1621621621621627E-3</v>
      </c>
      <c r="I238" s="28">
        <v>0</v>
      </c>
      <c r="J238" s="129">
        <v>10</v>
      </c>
      <c r="K238" s="28">
        <v>0</v>
      </c>
      <c r="L238" s="146">
        <v>3</v>
      </c>
      <c r="M238" s="571">
        <v>6</v>
      </c>
      <c r="N238" s="2302">
        <v>1</v>
      </c>
      <c r="O238" s="2507" t="s">
        <v>332</v>
      </c>
      <c r="P238" s="182">
        <f t="shared" si="438"/>
        <v>3.5810810810810813E-2</v>
      </c>
      <c r="Q238" s="1087"/>
      <c r="R238" s="3207"/>
      <c r="S238" s="3207"/>
      <c r="T238" s="129">
        <f t="shared" si="439"/>
        <v>0.5</v>
      </c>
      <c r="U238" s="68">
        <f t="shared" si="440"/>
        <v>4.5428571428571422E-2</v>
      </c>
      <c r="V238" s="27">
        <f t="shared" si="441"/>
        <v>0</v>
      </c>
      <c r="W238" s="363">
        <f t="shared" si="442"/>
        <v>1.5142857142857144E-2</v>
      </c>
      <c r="X238" s="363">
        <f t="shared" si="443"/>
        <v>0</v>
      </c>
      <c r="Y238" s="363">
        <f t="shared" si="444"/>
        <v>1.5142857142857144E-2</v>
      </c>
      <c r="Z238" s="28">
        <f t="shared" si="445"/>
        <v>0</v>
      </c>
      <c r="AA238" s="129">
        <f t="shared" si="446"/>
        <v>10</v>
      </c>
      <c r="AB238" s="28">
        <f t="shared" si="447"/>
        <v>0</v>
      </c>
      <c r="AC238" s="364">
        <f t="shared" si="448"/>
        <v>3</v>
      </c>
      <c r="AD238" s="182">
        <f t="shared" si="449"/>
        <v>7.5714285714285706E-2</v>
      </c>
      <c r="AE238" s="1087"/>
      <c r="AF238" s="462" t="s">
        <v>93</v>
      </c>
      <c r="AG238" s="2526"/>
      <c r="AH238" s="1343">
        <f>1-SUM(AI238:AN238)</f>
        <v>0.6</v>
      </c>
      <c r="AI238" s="1344">
        <f t="shared" si="451"/>
        <v>0</v>
      </c>
      <c r="AJ238" s="1345">
        <f t="shared" si="452"/>
        <v>0.2</v>
      </c>
      <c r="AK238" s="1345">
        <f t="shared" si="453"/>
        <v>0</v>
      </c>
      <c r="AL238" s="1345">
        <f t="shared" si="454"/>
        <v>0.2</v>
      </c>
      <c r="AM238" s="1346">
        <f t="shared" si="455"/>
        <v>0</v>
      </c>
      <c r="AN238" s="1347">
        <f t="shared" si="456"/>
        <v>0</v>
      </c>
      <c r="AO238" s="1084"/>
      <c r="AP238" s="2006"/>
      <c r="AQ238" s="2006"/>
      <c r="AR238" s="2006"/>
      <c r="AS238" s="2006"/>
      <c r="AT238" s="2006"/>
      <c r="AU238" s="2006"/>
      <c r="AV238" s="2006"/>
      <c r="AW238" s="2006"/>
      <c r="AX238" s="2006"/>
      <c r="AY238" s="2006"/>
      <c r="AZ238" s="2007"/>
      <c r="BA238" s="2007"/>
    </row>
    <row r="239" spans="1:53" ht="15" hidden="1" customHeight="1" outlineLevel="2" x14ac:dyDescent="0.2">
      <c r="A239" s="459" t="s">
        <v>703</v>
      </c>
      <c r="B239" s="451">
        <v>10</v>
      </c>
      <c r="C239" s="155">
        <v>1.6</v>
      </c>
      <c r="D239" s="68">
        <v>2.1486486486486486E-2</v>
      </c>
      <c r="E239" s="27">
        <v>0</v>
      </c>
      <c r="F239" s="29">
        <v>7.1621621621621627E-3</v>
      </c>
      <c r="G239" s="2695">
        <v>0</v>
      </c>
      <c r="H239" s="29">
        <v>0.15432668918918921</v>
      </c>
      <c r="I239" s="28">
        <v>1.7457770270270272E-2</v>
      </c>
      <c r="J239" s="129">
        <v>10</v>
      </c>
      <c r="K239" s="28">
        <v>1.7457770270270272E-2</v>
      </c>
      <c r="L239" s="146">
        <v>3</v>
      </c>
      <c r="M239" s="571">
        <v>6</v>
      </c>
      <c r="N239" s="2302">
        <v>1</v>
      </c>
      <c r="O239" s="2507" t="s">
        <v>332</v>
      </c>
      <c r="P239" s="182">
        <f t="shared" si="438"/>
        <v>0.21789087837837839</v>
      </c>
      <c r="Q239" s="1087"/>
      <c r="R239" s="3207"/>
      <c r="S239" s="3207"/>
      <c r="T239" s="129">
        <f t="shared" si="439"/>
        <v>1.6</v>
      </c>
      <c r="U239" s="68">
        <f t="shared" si="440"/>
        <v>4.5428571428571422E-2</v>
      </c>
      <c r="V239" s="27">
        <f t="shared" si="441"/>
        <v>0</v>
      </c>
      <c r="W239" s="363">
        <f t="shared" si="442"/>
        <v>1.5142857142857144E-2</v>
      </c>
      <c r="X239" s="363">
        <f t="shared" si="443"/>
        <v>0</v>
      </c>
      <c r="Y239" s="363">
        <f t="shared" si="444"/>
        <v>0.32629071428571432</v>
      </c>
      <c r="Z239" s="28">
        <f t="shared" si="445"/>
        <v>3.691071428571429E-2</v>
      </c>
      <c r="AA239" s="129">
        <f t="shared" si="446"/>
        <v>10</v>
      </c>
      <c r="AB239" s="28">
        <f t="shared" si="447"/>
        <v>3.691071428571429E-2</v>
      </c>
      <c r="AC239" s="364">
        <f t="shared" si="448"/>
        <v>3</v>
      </c>
      <c r="AD239" s="182">
        <f t="shared" si="449"/>
        <v>0.46068357142857147</v>
      </c>
      <c r="AE239" s="1087"/>
      <c r="AF239" s="462" t="s">
        <v>703</v>
      </c>
      <c r="AG239" s="2526"/>
      <c r="AH239" s="1343">
        <f>1-SUM(AI239:AN239)</f>
        <v>9.8611225244473522E-2</v>
      </c>
      <c r="AI239" s="1344">
        <f t="shared" si="451"/>
        <v>0</v>
      </c>
      <c r="AJ239" s="1345">
        <f t="shared" si="452"/>
        <v>3.2870408414824553E-2</v>
      </c>
      <c r="AK239" s="1345">
        <f t="shared" si="453"/>
        <v>0</v>
      </c>
      <c r="AL239" s="1345">
        <f t="shared" si="454"/>
        <v>0.70827512531843217</v>
      </c>
      <c r="AM239" s="1346">
        <f t="shared" si="455"/>
        <v>8.0121620511134861E-2</v>
      </c>
      <c r="AN239" s="1347">
        <f t="shared" si="456"/>
        <v>8.0121620511134861E-2</v>
      </c>
      <c r="AO239" s="1084"/>
      <c r="AP239" s="2006"/>
      <c r="AQ239" s="2006"/>
      <c r="AR239" s="2006"/>
      <c r="AS239" s="2006"/>
      <c r="AT239" s="2006"/>
      <c r="AU239" s="2006"/>
      <c r="AV239" s="2006"/>
      <c r="AW239" s="2006"/>
      <c r="AX239" s="2006"/>
      <c r="AY239" s="2006"/>
      <c r="AZ239" s="2007"/>
      <c r="BA239" s="2007"/>
    </row>
    <row r="240" spans="1:53" ht="15" hidden="1" customHeight="1" outlineLevel="2" x14ac:dyDescent="0.2">
      <c r="A240" s="459" t="s">
        <v>1217</v>
      </c>
      <c r="B240" s="451">
        <v>10</v>
      </c>
      <c r="C240" s="155">
        <v>1.6</v>
      </c>
      <c r="D240" s="68">
        <v>2.1486486486486486E-2</v>
      </c>
      <c r="E240" s="27">
        <v>0</v>
      </c>
      <c r="F240" s="2586">
        <v>4.1898648648648645E-2</v>
      </c>
      <c r="G240" s="2695">
        <v>0</v>
      </c>
      <c r="H240" s="29">
        <v>9.0780405405405398E-2</v>
      </c>
      <c r="I240" s="28">
        <v>8.7288851351351362E-3</v>
      </c>
      <c r="J240" s="129">
        <v>5</v>
      </c>
      <c r="K240" s="28">
        <v>8.7288851351351362E-3</v>
      </c>
      <c r="L240" s="146">
        <v>3</v>
      </c>
      <c r="M240" s="571">
        <v>6</v>
      </c>
      <c r="N240" s="2302">
        <v>1</v>
      </c>
      <c r="O240" s="2507" t="s">
        <v>332</v>
      </c>
      <c r="P240" s="182">
        <f t="shared" si="438"/>
        <v>0.17162331081081084</v>
      </c>
      <c r="Q240" s="1087"/>
      <c r="R240" s="3207"/>
      <c r="S240" s="3207"/>
      <c r="T240" s="129">
        <f t="shared" si="439"/>
        <v>1.6</v>
      </c>
      <c r="U240" s="68">
        <f t="shared" si="440"/>
        <v>4.5428571428571422E-2</v>
      </c>
      <c r="V240" s="27">
        <f t="shared" si="441"/>
        <v>0</v>
      </c>
      <c r="W240" s="363">
        <f t="shared" si="442"/>
        <v>8.8585714285714282E-2</v>
      </c>
      <c r="X240" s="363">
        <f t="shared" si="443"/>
        <v>0</v>
      </c>
      <c r="Y240" s="363">
        <f t="shared" si="444"/>
        <v>0.19193571428571427</v>
      </c>
      <c r="Z240" s="28">
        <f t="shared" si="445"/>
        <v>1.8455357142857145E-2</v>
      </c>
      <c r="AA240" s="129">
        <f t="shared" si="446"/>
        <v>5</v>
      </c>
      <c r="AB240" s="28">
        <f t="shared" si="447"/>
        <v>1.8455357142857145E-2</v>
      </c>
      <c r="AC240" s="364">
        <f t="shared" si="448"/>
        <v>3</v>
      </c>
      <c r="AD240" s="182">
        <f t="shared" si="449"/>
        <v>0.3628607142857142</v>
      </c>
      <c r="AE240" s="1087"/>
      <c r="AF240" s="462" t="s">
        <v>1217</v>
      </c>
      <c r="AG240" s="2526"/>
      <c r="AH240" s="1343">
        <f>1-SUM(AI240:AN240)</f>
        <v>0.12519561815336488</v>
      </c>
      <c r="AI240" s="1344">
        <f t="shared" si="451"/>
        <v>0</v>
      </c>
      <c r="AJ240" s="1345">
        <f t="shared" si="452"/>
        <v>0.24413145539906098</v>
      </c>
      <c r="AK240" s="1345">
        <f t="shared" si="453"/>
        <v>0</v>
      </c>
      <c r="AL240" s="1345">
        <f t="shared" si="454"/>
        <v>0.52895148669796543</v>
      </c>
      <c r="AM240" s="1346">
        <f t="shared" si="455"/>
        <v>5.086071987480438E-2</v>
      </c>
      <c r="AN240" s="1347">
        <f t="shared" si="456"/>
        <v>5.086071987480438E-2</v>
      </c>
      <c r="AO240" s="1084"/>
      <c r="AP240" s="2006"/>
      <c r="AQ240" s="2006"/>
      <c r="AR240" s="2006"/>
      <c r="AS240" s="2006"/>
      <c r="AT240" s="2006"/>
      <c r="AU240" s="2006"/>
      <c r="AV240" s="2006"/>
      <c r="AW240" s="2006"/>
      <c r="AX240" s="2006"/>
      <c r="AY240" s="2006"/>
      <c r="AZ240" s="2007"/>
      <c r="BA240" s="2007"/>
    </row>
    <row r="241" spans="1:53" ht="16" hidden="1" outlineLevel="2" x14ac:dyDescent="0.2">
      <c r="A241" s="459" t="s">
        <v>1218</v>
      </c>
      <c r="B241" s="451">
        <v>10</v>
      </c>
      <c r="C241" s="155">
        <v>1.6</v>
      </c>
      <c r="D241" s="68">
        <v>2.1486486486486486E-2</v>
      </c>
      <c r="E241" s="27">
        <v>0</v>
      </c>
      <c r="F241" s="2586">
        <v>4.1898648648648645E-2</v>
      </c>
      <c r="G241" s="2695">
        <v>0</v>
      </c>
      <c r="H241" s="29">
        <v>0.1815608108108108</v>
      </c>
      <c r="I241" s="28">
        <v>1.7457770270270272E-2</v>
      </c>
      <c r="J241" s="129">
        <v>10</v>
      </c>
      <c r="K241" s="28">
        <v>1.7457770270270272E-2</v>
      </c>
      <c r="L241" s="146">
        <v>3</v>
      </c>
      <c r="M241" s="571">
        <v>6</v>
      </c>
      <c r="N241" s="2302">
        <v>1</v>
      </c>
      <c r="O241" s="2507" t="s">
        <v>332</v>
      </c>
      <c r="P241" s="182">
        <f t="shared" si="438"/>
        <v>0.27986148648648651</v>
      </c>
      <c r="Q241" s="1087"/>
      <c r="R241" s="3207"/>
      <c r="S241" s="3207"/>
      <c r="T241" s="129">
        <f t="shared" si="439"/>
        <v>1.6</v>
      </c>
      <c r="U241" s="68">
        <f t="shared" si="440"/>
        <v>4.5428571428571422E-2</v>
      </c>
      <c r="V241" s="27">
        <f t="shared" si="441"/>
        <v>0</v>
      </c>
      <c r="W241" s="363">
        <f t="shared" si="442"/>
        <v>8.8585714285714282E-2</v>
      </c>
      <c r="X241" s="363">
        <f t="shared" si="443"/>
        <v>0</v>
      </c>
      <c r="Y241" s="363">
        <f t="shared" si="444"/>
        <v>0.38387142857142853</v>
      </c>
      <c r="Z241" s="28">
        <f t="shared" si="445"/>
        <v>3.691071428571429E-2</v>
      </c>
      <c r="AA241" s="129">
        <f t="shared" si="446"/>
        <v>10</v>
      </c>
      <c r="AB241" s="28">
        <f t="shared" si="447"/>
        <v>3.691071428571429E-2</v>
      </c>
      <c r="AC241" s="364">
        <f t="shared" si="448"/>
        <v>3</v>
      </c>
      <c r="AD241" s="182">
        <f t="shared" si="449"/>
        <v>0.59170714285714276</v>
      </c>
      <c r="AE241" s="1087"/>
      <c r="AF241" s="462" t="s">
        <v>1218</v>
      </c>
      <c r="AG241" s="2526"/>
      <c r="AH241" s="1343">
        <f>1-SUM(AI241:AN241)</f>
        <v>7.6775431861804466E-2</v>
      </c>
      <c r="AI241" s="1344">
        <f t="shared" si="451"/>
        <v>0</v>
      </c>
      <c r="AJ241" s="1345">
        <f t="shared" si="452"/>
        <v>0.1497120921305182</v>
      </c>
      <c r="AK241" s="1345">
        <f t="shared" si="453"/>
        <v>0</v>
      </c>
      <c r="AL241" s="1345">
        <f t="shared" si="454"/>
        <v>0.64875239923224559</v>
      </c>
      <c r="AM241" s="1346">
        <f t="shared" si="455"/>
        <v>6.2380038387715935E-2</v>
      </c>
      <c r="AN241" s="1347">
        <f t="shared" si="456"/>
        <v>6.2380038387715935E-2</v>
      </c>
      <c r="AO241" s="1084"/>
      <c r="AP241" s="2006"/>
      <c r="AQ241" s="2006"/>
      <c r="AR241" s="2006"/>
      <c r="AS241" s="2006"/>
      <c r="AT241" s="2006"/>
      <c r="AU241" s="2006"/>
      <c r="AV241" s="2006"/>
      <c r="AW241" s="2006"/>
      <c r="AX241" s="2006"/>
      <c r="AY241" s="2006"/>
      <c r="AZ241" s="2007"/>
      <c r="BA241" s="2007"/>
    </row>
    <row r="242" spans="1:53" ht="15" hidden="1" customHeight="1" outlineLevel="1" collapsed="1" x14ac:dyDescent="0.2">
      <c r="A242" s="457" t="s">
        <v>148</v>
      </c>
      <c r="B242" s="450" t="str">
        <f t="shared" ref="B242:C242" si="457">B$6</f>
        <v>Trips</v>
      </c>
      <c r="C242" s="172" t="str">
        <f t="shared" si="457"/>
        <v>Mbpd</v>
      </c>
      <c r="D242" s="173" t="s">
        <v>303</v>
      </c>
      <c r="E242" s="173" t="s">
        <v>9</v>
      </c>
      <c r="F242" s="173" t="s">
        <v>304</v>
      </c>
      <c r="G242" s="2694" t="s">
        <v>970</v>
      </c>
      <c r="H242" s="173" t="s">
        <v>312</v>
      </c>
      <c r="I242" s="173" t="s">
        <v>330</v>
      </c>
      <c r="J242" s="173" t="s">
        <v>308</v>
      </c>
      <c r="K242" s="173" t="s">
        <v>309</v>
      </c>
      <c r="L242" s="178" t="s">
        <v>299</v>
      </c>
      <c r="M242" s="572" t="str">
        <f>M$6</f>
        <v>DPM/c</v>
      </c>
      <c r="N242" s="572" t="str">
        <f>N$6</f>
        <v>MT</v>
      </c>
      <c r="O242" s="572" t="str">
        <f>O$6</f>
        <v xml:space="preserve">WF </v>
      </c>
      <c r="P242" s="181" t="s">
        <v>273</v>
      </c>
      <c r="Q242" s="1087"/>
      <c r="R242" s="3207"/>
      <c r="S242" s="3207"/>
      <c r="T242" s="1270" t="s">
        <v>308</v>
      </c>
      <c r="U242" s="173" t="s">
        <v>303</v>
      </c>
      <c r="V242" s="173" t="str">
        <f>V$6</f>
        <v xml:space="preserve">WTS </v>
      </c>
      <c r="W242" s="173" t="str">
        <f>+W$6</f>
        <v>Web</v>
      </c>
      <c r="X242" s="173" t="str">
        <f>+X$6</f>
        <v>Portal</v>
      </c>
      <c r="Y242" s="173" t="s">
        <v>312</v>
      </c>
      <c r="Z242" s="173" t="s">
        <v>330</v>
      </c>
      <c r="AA242" s="173" t="s">
        <v>308</v>
      </c>
      <c r="AB242" s="173" t="s">
        <v>309</v>
      </c>
      <c r="AC242" s="178" t="s">
        <v>299</v>
      </c>
      <c r="AD242" s="181" t="s">
        <v>273</v>
      </c>
      <c r="AE242" s="1087"/>
      <c r="AF242" s="404" t="str">
        <f>A242</f>
        <v>ArcGIS 10 Mobile Services  =========</v>
      </c>
      <c r="AG242" s="2526"/>
      <c r="AH242" s="1339" t="str">
        <f t="shared" ref="AH242:AM242" si="458">D242</f>
        <v>Client</v>
      </c>
      <c r="AI242" s="1339" t="str">
        <f t="shared" si="458"/>
        <v xml:space="preserve">WTS </v>
      </c>
      <c r="AJ242" s="1339" t="str">
        <f t="shared" si="458"/>
        <v>Web</v>
      </c>
      <c r="AK242" s="1339" t="str">
        <f t="shared" si="458"/>
        <v>Portal</v>
      </c>
      <c r="AL242" s="1340" t="str">
        <f t="shared" si="458"/>
        <v>SOC</v>
      </c>
      <c r="AM242" s="1341" t="str">
        <f t="shared" si="458"/>
        <v>SDE</v>
      </c>
      <c r="AN242" s="1342" t="str">
        <f>K242</f>
        <v>DBMS</v>
      </c>
      <c r="AO242" s="1084"/>
      <c r="AP242" s="2006"/>
      <c r="AQ242" s="2006"/>
      <c r="AR242" s="2006"/>
      <c r="AS242" s="2006"/>
      <c r="AT242" s="2006"/>
      <c r="AU242" s="2006"/>
      <c r="AV242" s="2006"/>
      <c r="AW242" s="2006"/>
      <c r="AX242" s="2006"/>
      <c r="AY242" s="2006"/>
      <c r="AZ242" s="2007"/>
      <c r="BA242" s="2007"/>
    </row>
    <row r="243" spans="1:53" ht="15" hidden="1" customHeight="1" outlineLevel="2" x14ac:dyDescent="0.2">
      <c r="A243" s="459" t="s">
        <v>147</v>
      </c>
      <c r="B243" s="451">
        <v>10</v>
      </c>
      <c r="C243" s="155"/>
      <c r="D243" s="68">
        <v>0.10313513513513511</v>
      </c>
      <c r="E243" s="27">
        <v>0</v>
      </c>
      <c r="F243" s="30">
        <v>0</v>
      </c>
      <c r="G243" s="2710">
        <v>0</v>
      </c>
      <c r="H243" s="30">
        <v>0</v>
      </c>
      <c r="I243" s="28">
        <v>0</v>
      </c>
      <c r="J243" s="129">
        <v>0</v>
      </c>
      <c r="K243" s="28">
        <v>0</v>
      </c>
      <c r="L243" s="146">
        <v>3</v>
      </c>
      <c r="M243" s="571">
        <v>6</v>
      </c>
      <c r="N243" s="2302">
        <v>1</v>
      </c>
      <c r="O243" s="2507" t="s">
        <v>332</v>
      </c>
      <c r="P243" s="182">
        <f>SUM(D243:I243,K243)</f>
        <v>0.10313513513513511</v>
      </c>
      <c r="Q243" s="1087"/>
      <c r="R243" s="3207"/>
      <c r="S243" s="3207"/>
      <c r="T243" s="129">
        <f>C243</f>
        <v>0</v>
      </c>
      <c r="U243" s="68">
        <f t="shared" ref="U243:Z245" si="459">D243*$K$3/$AB$3</f>
        <v>0.21805714285714281</v>
      </c>
      <c r="V243" s="27">
        <f t="shared" si="459"/>
        <v>0</v>
      </c>
      <c r="W243" s="363">
        <f t="shared" si="459"/>
        <v>0</v>
      </c>
      <c r="X243" s="363">
        <f t="shared" si="459"/>
        <v>0</v>
      </c>
      <c r="Y243" s="363">
        <f t="shared" si="459"/>
        <v>0</v>
      </c>
      <c r="Z243" s="28">
        <f t="shared" si="459"/>
        <v>0</v>
      </c>
      <c r="AA243" s="129">
        <f>J243</f>
        <v>0</v>
      </c>
      <c r="AB243" s="28">
        <f>K243*$K$3/$AB$3</f>
        <v>0</v>
      </c>
      <c r="AC243" s="364">
        <f>L243</f>
        <v>3</v>
      </c>
      <c r="AD243" s="182">
        <f>SUM(U243:Z243,AB243)</f>
        <v>0.21805714285714281</v>
      </c>
      <c r="AE243" s="1087"/>
      <c r="AF243" s="1166" t="s">
        <v>469</v>
      </c>
      <c r="AG243" s="2526"/>
      <c r="AH243" s="1343">
        <f>1-SUM(AI243:AN243)</f>
        <v>1</v>
      </c>
      <c r="AI243" s="1344">
        <f t="shared" ref="AI243:AM245" si="460">E243/$P243</f>
        <v>0</v>
      </c>
      <c r="AJ243" s="1345">
        <f t="shared" si="460"/>
        <v>0</v>
      </c>
      <c r="AK243" s="1345">
        <f t="shared" si="460"/>
        <v>0</v>
      </c>
      <c r="AL243" s="1345">
        <f t="shared" si="460"/>
        <v>0</v>
      </c>
      <c r="AM243" s="1346">
        <f t="shared" si="460"/>
        <v>0</v>
      </c>
      <c r="AN243" s="1347">
        <f>K243/$P243</f>
        <v>0</v>
      </c>
      <c r="AO243" s="1084"/>
      <c r="AP243" s="2006"/>
      <c r="AQ243" s="2006"/>
      <c r="AR243" s="2006"/>
      <c r="AS243" s="2006"/>
      <c r="AT243" s="2006"/>
      <c r="AU243" s="2006"/>
      <c r="AV243" s="2006"/>
      <c r="AW243" s="2006"/>
      <c r="AX243" s="2006"/>
      <c r="AY243" s="2006"/>
      <c r="AZ243" s="2007"/>
      <c r="BA243" s="2007"/>
    </row>
    <row r="244" spans="1:53" ht="15" hidden="1" customHeight="1" outlineLevel="2" x14ac:dyDescent="0.2">
      <c r="A244" s="460" t="s">
        <v>149</v>
      </c>
      <c r="B244" s="451">
        <v>10</v>
      </c>
      <c r="C244" s="155">
        <v>3.1E-2</v>
      </c>
      <c r="D244" s="68">
        <v>2.1486486486486486E-2</v>
      </c>
      <c r="E244" s="27">
        <v>0</v>
      </c>
      <c r="F244" s="30">
        <v>7.1621621621621627E-3</v>
      </c>
      <c r="G244" s="2696">
        <v>0</v>
      </c>
      <c r="H244" s="1175">
        <v>1.1007431030273435E-2</v>
      </c>
      <c r="I244" s="28">
        <v>6.8796443939208966E-4</v>
      </c>
      <c r="J244" s="129">
        <v>0.49999999999999989</v>
      </c>
      <c r="K244" s="28">
        <v>6.8796443939208966E-4</v>
      </c>
      <c r="L244" s="146">
        <v>3</v>
      </c>
      <c r="M244" s="571">
        <v>6</v>
      </c>
      <c r="N244" s="2302">
        <v>1</v>
      </c>
      <c r="O244" s="2507" t="s">
        <v>332</v>
      </c>
      <c r="P244" s="182">
        <f>SUM(D244:I244,K244)</f>
        <v>4.1032008557706265E-2</v>
      </c>
      <c r="Q244" s="1087"/>
      <c r="R244" s="3207"/>
      <c r="S244" s="3207"/>
      <c r="T244" s="129">
        <f>C244</f>
        <v>3.1E-2</v>
      </c>
      <c r="U244" s="68">
        <f t="shared" si="459"/>
        <v>4.5428571428571422E-2</v>
      </c>
      <c r="V244" s="27">
        <f t="shared" si="459"/>
        <v>0</v>
      </c>
      <c r="W244" s="363">
        <f t="shared" si="459"/>
        <v>1.5142857142857144E-2</v>
      </c>
      <c r="X244" s="363">
        <f t="shared" si="459"/>
        <v>0</v>
      </c>
      <c r="Y244" s="363">
        <f t="shared" si="459"/>
        <v>2.3272854178292408E-2</v>
      </c>
      <c r="Z244" s="28">
        <f t="shared" si="459"/>
        <v>1.4545533861432755E-3</v>
      </c>
      <c r="AA244" s="129">
        <f>J244</f>
        <v>0.49999999999999989</v>
      </c>
      <c r="AB244" s="28">
        <f>K244*$K$3/$AB$3</f>
        <v>1.4545533861432755E-3</v>
      </c>
      <c r="AC244" s="364">
        <f>L244</f>
        <v>3</v>
      </c>
      <c r="AD244" s="182">
        <f>SUM(U244:Z244,AB244)</f>
        <v>8.6753389522007535E-2</v>
      </c>
      <c r="AE244" s="1087"/>
      <c r="AF244" s="1166" t="s">
        <v>569</v>
      </c>
      <c r="AG244" s="2526"/>
      <c r="AH244" s="1343">
        <f>1-SUM(AI244:AN244)</f>
        <v>0.52365183284333983</v>
      </c>
      <c r="AI244" s="1344">
        <f t="shared" si="460"/>
        <v>0</v>
      </c>
      <c r="AJ244" s="1345">
        <f t="shared" si="460"/>
        <v>0.17455061094777993</v>
      </c>
      <c r="AK244" s="1345">
        <f t="shared" si="460"/>
        <v>0</v>
      </c>
      <c r="AL244" s="1345">
        <f t="shared" si="460"/>
        <v>0.26826449440789357</v>
      </c>
      <c r="AM244" s="1346">
        <f t="shared" si="460"/>
        <v>1.6766530900493348E-2</v>
      </c>
      <c r="AN244" s="1347">
        <f>K244/$P244</f>
        <v>1.6766530900493348E-2</v>
      </c>
      <c r="AO244" s="1084"/>
      <c r="AP244" s="2006"/>
      <c r="AQ244" s="2006"/>
      <c r="AR244" s="2006"/>
      <c r="AS244" s="2006"/>
      <c r="AT244" s="2006"/>
      <c r="AU244" s="2006"/>
      <c r="AV244" s="2006"/>
      <c r="AW244" s="2006"/>
      <c r="AX244" s="2006"/>
      <c r="AY244" s="2006"/>
      <c r="AZ244" s="2007"/>
      <c r="BA244" s="2007"/>
    </row>
    <row r="245" spans="1:53" ht="15" hidden="1" customHeight="1" outlineLevel="2" x14ac:dyDescent="0.2">
      <c r="A245" s="460" t="s">
        <v>150</v>
      </c>
      <c r="B245" s="451">
        <v>10</v>
      </c>
      <c r="C245" s="155">
        <v>0.30499999999999999</v>
      </c>
      <c r="D245" s="68">
        <v>2.1486486486486486E-2</v>
      </c>
      <c r="E245" s="27">
        <v>0</v>
      </c>
      <c r="F245" s="30">
        <v>7.1621621621621627E-3</v>
      </c>
      <c r="G245" s="2696">
        <v>0</v>
      </c>
      <c r="H245" s="1175">
        <v>0.11007431030273439</v>
      </c>
      <c r="I245" s="28">
        <v>6.8796443939208992E-3</v>
      </c>
      <c r="J245" s="129">
        <v>5</v>
      </c>
      <c r="K245" s="28">
        <v>6.8796443939208992E-3</v>
      </c>
      <c r="L245" s="146">
        <v>3</v>
      </c>
      <c r="M245" s="571">
        <v>6</v>
      </c>
      <c r="N245" s="2302">
        <v>1</v>
      </c>
      <c r="O245" s="2507" t="s">
        <v>332</v>
      </c>
      <c r="P245" s="182">
        <f>SUM(D245:I245,K245)</f>
        <v>0.15248224773922481</v>
      </c>
      <c r="Q245" s="1087"/>
      <c r="R245" s="3207"/>
      <c r="S245" s="3207"/>
      <c r="T245" s="129">
        <f>C245</f>
        <v>0.30499999999999999</v>
      </c>
      <c r="U245" s="68">
        <f t="shared" si="459"/>
        <v>4.5428571428571422E-2</v>
      </c>
      <c r="V245" s="27">
        <f t="shared" si="459"/>
        <v>0</v>
      </c>
      <c r="W245" s="363">
        <f t="shared" si="459"/>
        <v>1.5142857142857144E-2</v>
      </c>
      <c r="X245" s="363">
        <f t="shared" si="459"/>
        <v>0</v>
      </c>
      <c r="Y245" s="363">
        <f t="shared" si="459"/>
        <v>0.23272854178292413</v>
      </c>
      <c r="Z245" s="28">
        <f t="shared" si="459"/>
        <v>1.4545533861432758E-2</v>
      </c>
      <c r="AA245" s="129">
        <f>J245</f>
        <v>5</v>
      </c>
      <c r="AB245" s="28">
        <f>K245*$K$3/$AB$3</f>
        <v>1.4545533861432758E-2</v>
      </c>
      <c r="AC245" s="364">
        <f>L245</f>
        <v>3</v>
      </c>
      <c r="AD245" s="182">
        <f>SUM(U245:Z245,AB245)</f>
        <v>0.32239103807721819</v>
      </c>
      <c r="AE245" s="1087"/>
      <c r="AF245" s="1166" t="s">
        <v>570</v>
      </c>
      <c r="AG245" s="2526"/>
      <c r="AH245" s="1343">
        <f>1-SUM(AI245:AN245)</f>
        <v>0.14091139660554231</v>
      </c>
      <c r="AI245" s="1344">
        <f t="shared" si="460"/>
        <v>0</v>
      </c>
      <c r="AJ245" s="1345">
        <f t="shared" si="460"/>
        <v>4.6970465535180819E-2</v>
      </c>
      <c r="AK245" s="1345">
        <f t="shared" si="460"/>
        <v>0</v>
      </c>
      <c r="AL245" s="1345">
        <f t="shared" si="460"/>
        <v>0.72188278920824611</v>
      </c>
      <c r="AM245" s="1346">
        <f t="shared" si="460"/>
        <v>4.5117674325515382E-2</v>
      </c>
      <c r="AN245" s="1347">
        <f>K245/$P245</f>
        <v>4.5117674325515382E-2</v>
      </c>
      <c r="AO245" s="1084"/>
      <c r="AP245" s="2006"/>
      <c r="AQ245" s="2006"/>
      <c r="AR245" s="2006"/>
      <c r="AS245" s="2006"/>
      <c r="AT245" s="2006"/>
      <c r="AU245" s="2006"/>
      <c r="AV245" s="2006"/>
      <c r="AW245" s="2006"/>
      <c r="AX245" s="2006"/>
      <c r="AY245" s="2006"/>
      <c r="AZ245" s="2007"/>
      <c r="BA245" s="2007"/>
    </row>
    <row r="246" spans="1:53" ht="15" hidden="1" customHeight="1" outlineLevel="1" collapsed="1" x14ac:dyDescent="0.2">
      <c r="A246" s="457" t="s">
        <v>151</v>
      </c>
      <c r="B246" s="450" t="str">
        <f t="shared" ref="B246:C246" si="461">B$6</f>
        <v>Trips</v>
      </c>
      <c r="C246" s="172" t="str">
        <f t="shared" si="461"/>
        <v>Mbpd</v>
      </c>
      <c r="D246" s="173" t="s">
        <v>303</v>
      </c>
      <c r="E246" s="173" t="s">
        <v>9</v>
      </c>
      <c r="F246" s="173" t="s">
        <v>304</v>
      </c>
      <c r="G246" s="2694" t="s">
        <v>970</v>
      </c>
      <c r="H246" s="173" t="s">
        <v>312</v>
      </c>
      <c r="I246" s="173" t="s">
        <v>330</v>
      </c>
      <c r="J246" s="173" t="s">
        <v>308</v>
      </c>
      <c r="K246" s="173" t="s">
        <v>309</v>
      </c>
      <c r="L246" s="178" t="s">
        <v>299</v>
      </c>
      <c r="M246" s="572" t="str">
        <f>M$6</f>
        <v>DPM/c</v>
      </c>
      <c r="N246" s="572" t="str">
        <f>N$6</f>
        <v>MT</v>
      </c>
      <c r="O246" s="572" t="str">
        <f>O$6</f>
        <v xml:space="preserve">WF </v>
      </c>
      <c r="P246" s="181" t="s">
        <v>273</v>
      </c>
      <c r="Q246" s="1087"/>
      <c r="R246" s="3207"/>
      <c r="S246" s="3207"/>
      <c r="T246" s="1270" t="s">
        <v>308</v>
      </c>
      <c r="U246" s="173" t="s">
        <v>303</v>
      </c>
      <c r="V246" s="173" t="str">
        <f>V$6</f>
        <v xml:space="preserve">WTS </v>
      </c>
      <c r="W246" s="173" t="str">
        <f>+W$6</f>
        <v>Web</v>
      </c>
      <c r="X246" s="173" t="str">
        <f>+X$6</f>
        <v>Portal</v>
      </c>
      <c r="Y246" s="173" t="s">
        <v>312</v>
      </c>
      <c r="Z246" s="173" t="s">
        <v>330</v>
      </c>
      <c r="AA246" s="173" t="s">
        <v>308</v>
      </c>
      <c r="AB246" s="173" t="s">
        <v>309</v>
      </c>
      <c r="AC246" s="178" t="s">
        <v>299</v>
      </c>
      <c r="AD246" s="181" t="s">
        <v>273</v>
      </c>
      <c r="AE246" s="1087"/>
      <c r="AF246" s="1168" t="str">
        <f>A246</f>
        <v>ArcGIS 10 Image Services  =========</v>
      </c>
      <c r="AG246" s="2526"/>
      <c r="AH246" s="1339" t="str">
        <f t="shared" ref="AH246:AM246" si="462">D246</f>
        <v>Client</v>
      </c>
      <c r="AI246" s="1339" t="str">
        <f t="shared" si="462"/>
        <v xml:space="preserve">WTS </v>
      </c>
      <c r="AJ246" s="1339" t="str">
        <f t="shared" si="462"/>
        <v>Web</v>
      </c>
      <c r="AK246" s="1339" t="str">
        <f t="shared" si="462"/>
        <v>Portal</v>
      </c>
      <c r="AL246" s="1340" t="str">
        <f t="shared" si="462"/>
        <v>SOC</v>
      </c>
      <c r="AM246" s="1341" t="str">
        <f t="shared" si="462"/>
        <v>SDE</v>
      </c>
      <c r="AN246" s="1342" t="str">
        <f>K246</f>
        <v>DBMS</v>
      </c>
      <c r="AO246" s="1084"/>
      <c r="AP246" s="2006"/>
      <c r="AQ246" s="2006"/>
      <c r="AR246" s="2006"/>
      <c r="AS246" s="2006"/>
      <c r="AT246" s="2006"/>
      <c r="AU246" s="2006"/>
      <c r="AV246" s="2006"/>
      <c r="AW246" s="2006"/>
      <c r="AX246" s="2006"/>
      <c r="AY246" s="2006"/>
      <c r="AZ246" s="2007"/>
      <c r="BA246" s="2007"/>
    </row>
    <row r="247" spans="1:53" ht="15" hidden="1" customHeight="1" outlineLevel="2" x14ac:dyDescent="0.2">
      <c r="A247" s="678" t="s">
        <v>574</v>
      </c>
      <c r="B247" s="451">
        <v>10</v>
      </c>
      <c r="C247" s="155">
        <v>2</v>
      </c>
      <c r="D247" s="68">
        <v>2.1486486486486486E-2</v>
      </c>
      <c r="E247" s="27">
        <v>0</v>
      </c>
      <c r="F247" s="1175">
        <v>7.1621621621621627E-3</v>
      </c>
      <c r="G247" s="2696">
        <v>0</v>
      </c>
      <c r="H247" s="1175">
        <v>6.1594594594594591E-2</v>
      </c>
      <c r="I247" s="1176">
        <v>7.6993243243243239E-3</v>
      </c>
      <c r="J247" s="129">
        <v>10</v>
      </c>
      <c r="K247" s="28">
        <v>7.6993243243243239E-3</v>
      </c>
      <c r="L247" s="146">
        <v>3</v>
      </c>
      <c r="M247" s="571">
        <v>6</v>
      </c>
      <c r="N247" s="2302">
        <v>1</v>
      </c>
      <c r="O247" s="2507" t="s">
        <v>541</v>
      </c>
      <c r="P247" s="182">
        <f>SUM(D247:I247,K247)</f>
        <v>0.10564189189189188</v>
      </c>
      <c r="Q247" s="1087"/>
      <c r="R247" s="3207"/>
      <c r="S247" s="3207"/>
      <c r="T247" s="129">
        <f>C247</f>
        <v>2</v>
      </c>
      <c r="U247" s="68">
        <f t="shared" ref="U247:Z249" si="463">D247*$K$3/$AB$3</f>
        <v>4.5428571428571422E-2</v>
      </c>
      <c r="V247" s="27">
        <f t="shared" si="463"/>
        <v>0</v>
      </c>
      <c r="W247" s="363">
        <f t="shared" si="463"/>
        <v>1.5142857142857144E-2</v>
      </c>
      <c r="X247" s="363">
        <f t="shared" si="463"/>
        <v>0</v>
      </c>
      <c r="Y247" s="363">
        <f t="shared" si="463"/>
        <v>0.13022857142857142</v>
      </c>
      <c r="Z247" s="28">
        <f t="shared" si="463"/>
        <v>1.6278571428571427E-2</v>
      </c>
      <c r="AA247" s="129">
        <f>J247</f>
        <v>10</v>
      </c>
      <c r="AB247" s="28">
        <f>K247*$K$3/$AB$3</f>
        <v>1.6278571428571427E-2</v>
      </c>
      <c r="AC247" s="364">
        <f>L247</f>
        <v>3</v>
      </c>
      <c r="AD247" s="182">
        <f>SUM(U247:Z247,AB247)</f>
        <v>0.22335714285714281</v>
      </c>
      <c r="AE247" s="1087"/>
      <c r="AF247" s="1166" t="s">
        <v>523</v>
      </c>
      <c r="AG247" s="2526"/>
      <c r="AH247" s="1343">
        <f>1-SUM(AI247:AN247)</f>
        <v>0.20338983050847459</v>
      </c>
      <c r="AI247" s="1344">
        <f t="shared" ref="AI247:AM249" si="464">E247/$P247</f>
        <v>0</v>
      </c>
      <c r="AJ247" s="1345">
        <f t="shared" si="464"/>
        <v>6.7796610169491539E-2</v>
      </c>
      <c r="AK247" s="1345">
        <f t="shared" si="464"/>
        <v>0</v>
      </c>
      <c r="AL247" s="1345">
        <f t="shared" si="464"/>
        <v>0.58305084745762714</v>
      </c>
      <c r="AM247" s="1346">
        <f t="shared" si="464"/>
        <v>7.2881355932203393E-2</v>
      </c>
      <c r="AN247" s="1347">
        <f>K247/$P247</f>
        <v>7.2881355932203393E-2</v>
      </c>
      <c r="AO247" s="1084"/>
      <c r="AP247" s="2006"/>
      <c r="AQ247" s="2006"/>
      <c r="AR247" s="2006"/>
      <c r="AS247" s="2006"/>
      <c r="AT247" s="2006"/>
      <c r="AU247" s="2006"/>
      <c r="AV247" s="2006"/>
      <c r="AW247" s="2006"/>
      <c r="AX247" s="2006"/>
      <c r="AY247" s="2006"/>
      <c r="AZ247" s="2007"/>
      <c r="BA247" s="2007"/>
    </row>
    <row r="248" spans="1:53" ht="15" hidden="1" customHeight="1" outlineLevel="2" x14ac:dyDescent="0.2">
      <c r="A248" s="678" t="s">
        <v>575</v>
      </c>
      <c r="B248" s="451">
        <v>10</v>
      </c>
      <c r="C248" s="155">
        <v>2</v>
      </c>
      <c r="D248" s="68">
        <v>2.1486486486486486E-2</v>
      </c>
      <c r="E248" s="27">
        <v>0</v>
      </c>
      <c r="F248" s="1175">
        <v>7.1621621621621627E-3</v>
      </c>
      <c r="G248" s="2696">
        <v>0</v>
      </c>
      <c r="H248" s="1175">
        <v>3.0797297297297296E-2</v>
      </c>
      <c r="I248" s="1176">
        <v>3.849662162162162E-3</v>
      </c>
      <c r="J248" s="129">
        <v>5</v>
      </c>
      <c r="K248" s="28">
        <v>3.849662162162162E-3</v>
      </c>
      <c r="L248" s="146">
        <v>3</v>
      </c>
      <c r="M248" s="571">
        <v>6</v>
      </c>
      <c r="N248" s="2302">
        <v>1</v>
      </c>
      <c r="O248" s="2507" t="s">
        <v>541</v>
      </c>
      <c r="P248" s="182">
        <f>SUM(D248:I248,K248)</f>
        <v>6.7145270270270271E-2</v>
      </c>
      <c r="Q248" s="1087"/>
      <c r="R248" s="3207"/>
      <c r="S248" s="3207"/>
      <c r="T248" s="129">
        <f>C248</f>
        <v>2</v>
      </c>
      <c r="U248" s="68">
        <f t="shared" si="463"/>
        <v>4.5428571428571422E-2</v>
      </c>
      <c r="V248" s="27">
        <f t="shared" si="463"/>
        <v>0</v>
      </c>
      <c r="W248" s="363">
        <f t="shared" si="463"/>
        <v>1.5142857142857144E-2</v>
      </c>
      <c r="X248" s="363">
        <f t="shared" si="463"/>
        <v>0</v>
      </c>
      <c r="Y248" s="363">
        <f t="shared" si="463"/>
        <v>6.5114285714285708E-2</v>
      </c>
      <c r="Z248" s="28">
        <f t="shared" si="463"/>
        <v>8.1392857142857135E-3</v>
      </c>
      <c r="AA248" s="129">
        <f>J248</f>
        <v>5</v>
      </c>
      <c r="AB248" s="28">
        <f>K248*$K$3/$AB$3</f>
        <v>8.1392857142857135E-3</v>
      </c>
      <c r="AC248" s="364">
        <f>L248</f>
        <v>3</v>
      </c>
      <c r="AD248" s="182">
        <f>SUM(U248:Z248,AB248)</f>
        <v>0.14196428571428571</v>
      </c>
      <c r="AE248" s="1087"/>
      <c r="AF248" s="1166" t="s">
        <v>524</v>
      </c>
      <c r="AG248" s="2526"/>
      <c r="AH248" s="1343">
        <f>1-SUM(AI248:AN248)</f>
        <v>0.32000000000000006</v>
      </c>
      <c r="AI248" s="1344">
        <f t="shared" si="464"/>
        <v>0</v>
      </c>
      <c r="AJ248" s="1345">
        <f t="shared" si="464"/>
        <v>0.10666666666666667</v>
      </c>
      <c r="AK248" s="1345">
        <f t="shared" si="464"/>
        <v>0</v>
      </c>
      <c r="AL248" s="1345">
        <f t="shared" si="464"/>
        <v>0.45866666666666661</v>
      </c>
      <c r="AM248" s="1346">
        <f t="shared" si="464"/>
        <v>5.7333333333333326E-2</v>
      </c>
      <c r="AN248" s="1347">
        <f>K248/$P248</f>
        <v>5.7333333333333326E-2</v>
      </c>
      <c r="AO248" s="1084"/>
      <c r="AP248" s="2006"/>
      <c r="AQ248" s="2006"/>
      <c r="AR248" s="2006"/>
      <c r="AS248" s="2006"/>
      <c r="AT248" s="2006"/>
      <c r="AU248" s="2006"/>
      <c r="AV248" s="2006"/>
      <c r="AW248" s="2006"/>
      <c r="AX248" s="2006"/>
      <c r="AY248" s="2006"/>
      <c r="AZ248" s="2007"/>
      <c r="BA248" s="2007"/>
    </row>
    <row r="249" spans="1:53" ht="15" hidden="1" customHeight="1" outlineLevel="2" x14ac:dyDescent="0.2">
      <c r="A249" s="678" t="s">
        <v>576</v>
      </c>
      <c r="B249" s="451">
        <v>10</v>
      </c>
      <c r="C249" s="155">
        <v>2</v>
      </c>
      <c r="D249" s="68">
        <v>2.1486486486486486E-2</v>
      </c>
      <c r="E249" s="27">
        <v>0</v>
      </c>
      <c r="F249" s="1175">
        <v>7.1621621621621627E-3</v>
      </c>
      <c r="G249" s="2696">
        <v>0</v>
      </c>
      <c r="H249" s="1175">
        <v>6.1594594594594591E-2</v>
      </c>
      <c r="I249" s="1176">
        <v>7.6993243243243239E-3</v>
      </c>
      <c r="J249" s="129">
        <v>10</v>
      </c>
      <c r="K249" s="28">
        <v>7.6993243243243239E-3</v>
      </c>
      <c r="L249" s="146">
        <v>3</v>
      </c>
      <c r="M249" s="571">
        <v>6</v>
      </c>
      <c r="N249" s="2302">
        <v>1</v>
      </c>
      <c r="O249" s="2507" t="s">
        <v>541</v>
      </c>
      <c r="P249" s="182">
        <f>SUM(D249:I249,K249)</f>
        <v>0.10564189189189188</v>
      </c>
      <c r="Q249" s="1087"/>
      <c r="R249" s="3207"/>
      <c r="S249" s="3207"/>
      <c r="T249" s="129">
        <f>C249</f>
        <v>2</v>
      </c>
      <c r="U249" s="68">
        <f t="shared" si="463"/>
        <v>4.5428571428571422E-2</v>
      </c>
      <c r="V249" s="27">
        <f t="shared" si="463"/>
        <v>0</v>
      </c>
      <c r="W249" s="363">
        <f t="shared" si="463"/>
        <v>1.5142857142857144E-2</v>
      </c>
      <c r="X249" s="363">
        <f t="shared" si="463"/>
        <v>0</v>
      </c>
      <c r="Y249" s="363">
        <f t="shared" si="463"/>
        <v>0.13022857142857142</v>
      </c>
      <c r="Z249" s="28">
        <f t="shared" si="463"/>
        <v>1.6278571428571427E-2</v>
      </c>
      <c r="AA249" s="129">
        <f>J249</f>
        <v>10</v>
      </c>
      <c r="AB249" s="28">
        <f>K249*$K$3/$AB$3</f>
        <v>1.6278571428571427E-2</v>
      </c>
      <c r="AC249" s="364">
        <f>L249</f>
        <v>3</v>
      </c>
      <c r="AD249" s="182">
        <f>SUM(U249:Z249,AB249)</f>
        <v>0.22335714285714281</v>
      </c>
      <c r="AE249" s="1087"/>
      <c r="AF249" s="1166" t="s">
        <v>524</v>
      </c>
      <c r="AG249" s="2526"/>
      <c r="AH249" s="1343">
        <f>1-SUM(AI249:AN249)</f>
        <v>0.20338983050847459</v>
      </c>
      <c r="AI249" s="1344">
        <f t="shared" si="464"/>
        <v>0</v>
      </c>
      <c r="AJ249" s="1345">
        <f t="shared" si="464"/>
        <v>6.7796610169491539E-2</v>
      </c>
      <c r="AK249" s="1345">
        <f t="shared" si="464"/>
        <v>0</v>
      </c>
      <c r="AL249" s="1345">
        <f t="shared" si="464"/>
        <v>0.58305084745762714</v>
      </c>
      <c r="AM249" s="1346">
        <f t="shared" si="464"/>
        <v>7.2881355932203393E-2</v>
      </c>
      <c r="AN249" s="1347">
        <f>K249/$P249</f>
        <v>7.2881355932203393E-2</v>
      </c>
      <c r="AO249" s="1084"/>
      <c r="AP249" s="2006"/>
      <c r="AQ249" s="2006"/>
      <c r="AR249" s="2006"/>
      <c r="AS249" s="2006"/>
      <c r="AT249" s="2006"/>
      <c r="AU249" s="2006"/>
      <c r="AV249" s="2006"/>
      <c r="AW249" s="2006"/>
      <c r="AX249" s="2006"/>
      <c r="AY249" s="2006"/>
      <c r="AZ249" s="2007"/>
      <c r="BA249" s="2007"/>
    </row>
    <row r="250" spans="1:53" ht="15" hidden="1" customHeight="1" outlineLevel="1" collapsed="1" x14ac:dyDescent="0.2">
      <c r="A250" s="457" t="s">
        <v>626</v>
      </c>
      <c r="B250" s="450" t="str">
        <f t="shared" ref="B250:C250" si="465">B$6</f>
        <v>Trips</v>
      </c>
      <c r="C250" s="172" t="str">
        <f t="shared" si="465"/>
        <v>Mbpd</v>
      </c>
      <c r="D250" s="173" t="s">
        <v>303</v>
      </c>
      <c r="E250" s="173" t="s">
        <v>9</v>
      </c>
      <c r="F250" s="173" t="s">
        <v>304</v>
      </c>
      <c r="G250" s="2711" t="s">
        <v>970</v>
      </c>
      <c r="H250" s="173" t="s">
        <v>312</v>
      </c>
      <c r="I250" s="173" t="s">
        <v>330</v>
      </c>
      <c r="J250" s="173" t="s">
        <v>308</v>
      </c>
      <c r="K250" s="173" t="s">
        <v>309</v>
      </c>
      <c r="L250" s="178" t="s">
        <v>299</v>
      </c>
      <c r="M250" s="572" t="str">
        <f>M$6</f>
        <v>DPM/c</v>
      </c>
      <c r="N250" s="572" t="str">
        <f>N$6</f>
        <v>MT</v>
      </c>
      <c r="O250" s="572" t="str">
        <f>O$6</f>
        <v xml:space="preserve">WF </v>
      </c>
      <c r="P250" s="181" t="s">
        <v>273</v>
      </c>
      <c r="Q250" s="2583"/>
      <c r="R250" s="3215"/>
      <c r="S250" s="3215"/>
      <c r="T250" s="1270" t="s">
        <v>308</v>
      </c>
      <c r="U250" s="173" t="s">
        <v>303</v>
      </c>
      <c r="V250" s="173" t="str">
        <f>V$6</f>
        <v xml:space="preserve">WTS </v>
      </c>
      <c r="W250" s="173" t="str">
        <f>+W$6</f>
        <v>Web</v>
      </c>
      <c r="X250" s="173" t="str">
        <f>+X$6</f>
        <v>Portal</v>
      </c>
      <c r="Y250" s="173" t="s">
        <v>312</v>
      </c>
      <c r="Z250" s="173" t="s">
        <v>330</v>
      </c>
      <c r="AA250" s="173" t="s">
        <v>308</v>
      </c>
      <c r="AB250" s="173" t="s">
        <v>309</v>
      </c>
      <c r="AC250" s="178" t="s">
        <v>299</v>
      </c>
      <c r="AD250" s="181" t="s">
        <v>273</v>
      </c>
      <c r="AE250" s="2583"/>
      <c r="AF250" s="1168" t="str">
        <f>A250</f>
        <v>ArcGIS Desktop 9.3.1  =========</v>
      </c>
      <c r="AG250" s="2526"/>
      <c r="AH250" s="1339" t="str">
        <f t="shared" ref="AH250:AM250" si="466">D250</f>
        <v>Client</v>
      </c>
      <c r="AI250" s="1339" t="str">
        <f t="shared" si="466"/>
        <v xml:space="preserve">WTS </v>
      </c>
      <c r="AJ250" s="1339" t="str">
        <f t="shared" si="466"/>
        <v>Web</v>
      </c>
      <c r="AK250" s="1339" t="str">
        <f t="shared" si="466"/>
        <v>Portal</v>
      </c>
      <c r="AL250" s="1340" t="str">
        <f t="shared" si="466"/>
        <v>SOC</v>
      </c>
      <c r="AM250" s="1341" t="str">
        <f t="shared" si="466"/>
        <v>SDE</v>
      </c>
      <c r="AN250" s="1342" t="str">
        <f>K250</f>
        <v>DBMS</v>
      </c>
      <c r="AO250" s="1084"/>
      <c r="AZ250" s="398"/>
      <c r="BA250" s="398"/>
    </row>
    <row r="251" spans="1:53" ht="15" hidden="1" customHeight="1" outlineLevel="2" x14ac:dyDescent="0.2">
      <c r="A251" s="458" t="s">
        <v>627</v>
      </c>
      <c r="B251" s="451">
        <v>100</v>
      </c>
      <c r="C251" s="155">
        <v>5</v>
      </c>
      <c r="D251" s="68">
        <v>0.10270270270270271</v>
      </c>
      <c r="E251" s="27">
        <v>0</v>
      </c>
      <c r="F251" s="29">
        <v>0</v>
      </c>
      <c r="G251" s="2695">
        <v>0</v>
      </c>
      <c r="H251" s="29">
        <v>0</v>
      </c>
      <c r="I251" s="28">
        <v>1.2837837837837839E-2</v>
      </c>
      <c r="J251" s="129">
        <v>5</v>
      </c>
      <c r="K251" s="28">
        <v>1.2837837837837839E-2</v>
      </c>
      <c r="L251" s="146">
        <v>3</v>
      </c>
      <c r="M251" s="571">
        <v>10</v>
      </c>
      <c r="N251" s="2302">
        <v>1</v>
      </c>
      <c r="O251" s="2507" t="s">
        <v>336</v>
      </c>
      <c r="P251" s="182">
        <f t="shared" ref="P251:P256" si="467">SUM(D251:I251,K251)</f>
        <v>0.1283783783783784</v>
      </c>
      <c r="Q251" s="1087"/>
      <c r="R251" s="3207"/>
      <c r="S251" s="3207"/>
      <c r="T251" s="129">
        <f t="shared" ref="T251:T256" si="468">C251</f>
        <v>5</v>
      </c>
      <c r="U251" s="68">
        <f t="shared" ref="U251:Z256" si="469">D251*$K$3/$AB$3</f>
        <v>0.21714285714285717</v>
      </c>
      <c r="V251" s="27">
        <f t="shared" si="469"/>
        <v>0</v>
      </c>
      <c r="W251" s="363">
        <f t="shared" si="469"/>
        <v>0</v>
      </c>
      <c r="X251" s="363">
        <f t="shared" si="469"/>
        <v>0</v>
      </c>
      <c r="Y251" s="363">
        <f t="shared" si="469"/>
        <v>0</v>
      </c>
      <c r="Z251" s="28">
        <f t="shared" si="469"/>
        <v>2.7142857142857146E-2</v>
      </c>
      <c r="AA251" s="129">
        <f t="shared" ref="AA251:AA256" si="470">J251</f>
        <v>5</v>
      </c>
      <c r="AB251" s="28">
        <f t="shared" ref="AB251:AB256" si="471">K251*$K$3/$AB$3</f>
        <v>2.7142857142857146E-2</v>
      </c>
      <c r="AC251" s="364">
        <f t="shared" ref="AC251:AC256" si="472">L251</f>
        <v>3</v>
      </c>
      <c r="AD251" s="182">
        <f t="shared" ref="AD251:AD256" si="473">SUM(U251:Z251,AB251)</f>
        <v>0.27142857142857146</v>
      </c>
      <c r="AE251" s="1087"/>
      <c r="AF251" s="463" t="s">
        <v>627</v>
      </c>
      <c r="AG251" s="2526"/>
      <c r="AH251" s="1343">
        <f t="shared" ref="AH251:AH256" si="474">1-SUM(AI251:AN251)</f>
        <v>0.8</v>
      </c>
      <c r="AI251" s="1344">
        <f t="shared" ref="AI251:AM256" si="475">E251/$P251</f>
        <v>0</v>
      </c>
      <c r="AJ251" s="1345">
        <f t="shared" si="475"/>
        <v>0</v>
      </c>
      <c r="AK251" s="1345">
        <f t="shared" si="475"/>
        <v>0</v>
      </c>
      <c r="AL251" s="1345">
        <f t="shared" si="475"/>
        <v>0</v>
      </c>
      <c r="AM251" s="1346">
        <f t="shared" si="475"/>
        <v>9.9999999999999992E-2</v>
      </c>
      <c r="AN251" s="1347">
        <f t="shared" ref="AN251:AN256" si="476">K251/$P251</f>
        <v>9.9999999999999992E-2</v>
      </c>
      <c r="AO251" s="1084"/>
      <c r="AZ251" s="398"/>
      <c r="BA251" s="398"/>
    </row>
    <row r="252" spans="1:53" ht="15" hidden="1" customHeight="1" outlineLevel="2" x14ac:dyDescent="0.2">
      <c r="A252" s="458" t="s">
        <v>628</v>
      </c>
      <c r="B252" s="451">
        <v>200</v>
      </c>
      <c r="C252" s="155">
        <v>10</v>
      </c>
      <c r="D252" s="68">
        <v>0.20540540540540542</v>
      </c>
      <c r="E252" s="27">
        <v>0</v>
      </c>
      <c r="F252" s="29">
        <v>0</v>
      </c>
      <c r="G252" s="2695">
        <v>0</v>
      </c>
      <c r="H252" s="29">
        <v>0</v>
      </c>
      <c r="I252" s="28">
        <v>2.5675675675675677E-2</v>
      </c>
      <c r="J252" s="129">
        <v>10</v>
      </c>
      <c r="K252" s="28">
        <v>2.5675675675675677E-2</v>
      </c>
      <c r="L252" s="146">
        <v>3</v>
      </c>
      <c r="M252" s="571">
        <v>10</v>
      </c>
      <c r="N252" s="2302">
        <v>1</v>
      </c>
      <c r="O252" s="2507" t="s">
        <v>336</v>
      </c>
      <c r="P252" s="182">
        <f t="shared" si="467"/>
        <v>0.2567567567567568</v>
      </c>
      <c r="Q252" s="1087"/>
      <c r="R252" s="3207"/>
      <c r="S252" s="3207"/>
      <c r="T252" s="129">
        <f t="shared" si="468"/>
        <v>10</v>
      </c>
      <c r="U252" s="68">
        <f t="shared" si="469"/>
        <v>0.43428571428571433</v>
      </c>
      <c r="V252" s="27">
        <f t="shared" si="469"/>
        <v>0</v>
      </c>
      <c r="W252" s="363">
        <f t="shared" si="469"/>
        <v>0</v>
      </c>
      <c r="X252" s="363">
        <f t="shared" si="469"/>
        <v>0</v>
      </c>
      <c r="Y252" s="363">
        <f t="shared" si="469"/>
        <v>0</v>
      </c>
      <c r="Z252" s="28">
        <f t="shared" si="469"/>
        <v>5.4285714285714291E-2</v>
      </c>
      <c r="AA252" s="129">
        <f t="shared" si="470"/>
        <v>10</v>
      </c>
      <c r="AB252" s="28">
        <f t="shared" si="471"/>
        <v>5.4285714285714291E-2</v>
      </c>
      <c r="AC252" s="364">
        <f t="shared" si="472"/>
        <v>3</v>
      </c>
      <c r="AD252" s="182">
        <f t="shared" si="473"/>
        <v>0.54285714285714293</v>
      </c>
      <c r="AE252" s="1087"/>
      <c r="AF252" s="463" t="s">
        <v>628</v>
      </c>
      <c r="AG252" s="2526"/>
      <c r="AH252" s="1343">
        <f t="shared" si="474"/>
        <v>0.8</v>
      </c>
      <c r="AI252" s="1344">
        <f t="shared" si="475"/>
        <v>0</v>
      </c>
      <c r="AJ252" s="1345">
        <f t="shared" si="475"/>
        <v>0</v>
      </c>
      <c r="AK252" s="1345">
        <f t="shared" si="475"/>
        <v>0</v>
      </c>
      <c r="AL252" s="1345">
        <f t="shared" si="475"/>
        <v>0</v>
      </c>
      <c r="AM252" s="1346">
        <f t="shared" si="475"/>
        <v>9.9999999999999992E-2</v>
      </c>
      <c r="AN252" s="1347">
        <f t="shared" si="476"/>
        <v>9.9999999999999992E-2</v>
      </c>
      <c r="AO252" s="1084"/>
      <c r="AZ252" s="398"/>
      <c r="BA252" s="398"/>
    </row>
    <row r="253" spans="1:53" ht="15" hidden="1" customHeight="1" outlineLevel="2" x14ac:dyDescent="0.2">
      <c r="A253" s="458" t="s">
        <v>629</v>
      </c>
      <c r="B253" s="451">
        <v>10</v>
      </c>
      <c r="C253" s="155">
        <v>0.28000000000000003</v>
      </c>
      <c r="D253" s="68">
        <v>2.1621621621621623E-2</v>
      </c>
      <c r="E253" s="27">
        <v>0.10270270270270271</v>
      </c>
      <c r="F253" s="29">
        <v>0</v>
      </c>
      <c r="G253" s="2695">
        <v>0</v>
      </c>
      <c r="H253" s="29">
        <v>0</v>
      </c>
      <c r="I253" s="28">
        <v>1.2837837837837839E-2</v>
      </c>
      <c r="J253" s="129">
        <v>5</v>
      </c>
      <c r="K253" s="28">
        <v>1.2837837837837839E-2</v>
      </c>
      <c r="L253" s="146">
        <v>3</v>
      </c>
      <c r="M253" s="571">
        <v>10</v>
      </c>
      <c r="N253" s="2302">
        <v>1</v>
      </c>
      <c r="O253" s="2507" t="s">
        <v>336</v>
      </c>
      <c r="P253" s="182">
        <f t="shared" si="467"/>
        <v>0.15000000000000002</v>
      </c>
      <c r="Q253" s="1087"/>
      <c r="R253" s="3207"/>
      <c r="S253" s="3207"/>
      <c r="T253" s="129">
        <f t="shared" si="468"/>
        <v>0.28000000000000003</v>
      </c>
      <c r="U253" s="68">
        <f t="shared" si="469"/>
        <v>4.5714285714285714E-2</v>
      </c>
      <c r="V253" s="27">
        <f t="shared" si="469"/>
        <v>0.21714285714285717</v>
      </c>
      <c r="W253" s="363">
        <f t="shared" si="469"/>
        <v>0</v>
      </c>
      <c r="X253" s="363">
        <f t="shared" si="469"/>
        <v>0</v>
      </c>
      <c r="Y253" s="363">
        <f t="shared" si="469"/>
        <v>0</v>
      </c>
      <c r="Z253" s="28">
        <f t="shared" si="469"/>
        <v>2.7142857142857146E-2</v>
      </c>
      <c r="AA253" s="129">
        <f t="shared" si="470"/>
        <v>5</v>
      </c>
      <c r="AB253" s="28">
        <f t="shared" si="471"/>
        <v>2.7142857142857146E-2</v>
      </c>
      <c r="AC253" s="364">
        <f t="shared" si="472"/>
        <v>3</v>
      </c>
      <c r="AD253" s="182">
        <f t="shared" si="473"/>
        <v>0.31714285714285717</v>
      </c>
      <c r="AE253" s="1087"/>
      <c r="AF253" s="463" t="s">
        <v>629</v>
      </c>
      <c r="AG253" s="2526"/>
      <c r="AH253" s="1343">
        <f t="shared" si="474"/>
        <v>0.14414414414414423</v>
      </c>
      <c r="AI253" s="1344">
        <f t="shared" si="475"/>
        <v>0.68468468468468457</v>
      </c>
      <c r="AJ253" s="1345">
        <f t="shared" si="475"/>
        <v>0</v>
      </c>
      <c r="AK253" s="1345">
        <f t="shared" si="475"/>
        <v>0</v>
      </c>
      <c r="AL253" s="1345">
        <f t="shared" si="475"/>
        <v>0</v>
      </c>
      <c r="AM253" s="1346">
        <f t="shared" si="475"/>
        <v>8.5585585585585572E-2</v>
      </c>
      <c r="AN253" s="1347">
        <f t="shared" si="476"/>
        <v>8.5585585585585572E-2</v>
      </c>
      <c r="AO253" s="1084"/>
      <c r="AZ253" s="398"/>
      <c r="BA253" s="398"/>
    </row>
    <row r="254" spans="1:53" ht="15" hidden="1" customHeight="1" outlineLevel="2" x14ac:dyDescent="0.2">
      <c r="A254" s="458" t="s">
        <v>630</v>
      </c>
      <c r="B254" s="451">
        <v>10</v>
      </c>
      <c r="C254" s="155">
        <v>0.28000000000000003</v>
      </c>
      <c r="D254" s="68">
        <v>2.1621621621621623E-2</v>
      </c>
      <c r="E254" s="27">
        <v>0.20540540540540542</v>
      </c>
      <c r="F254" s="29">
        <v>0</v>
      </c>
      <c r="G254" s="2695">
        <v>0</v>
      </c>
      <c r="H254" s="29">
        <v>0</v>
      </c>
      <c r="I254" s="28">
        <v>2.5675675675675677E-2</v>
      </c>
      <c r="J254" s="129">
        <v>10</v>
      </c>
      <c r="K254" s="28">
        <v>2.5675675675675677E-2</v>
      </c>
      <c r="L254" s="146">
        <v>3</v>
      </c>
      <c r="M254" s="571">
        <v>10</v>
      </c>
      <c r="N254" s="2302">
        <v>1</v>
      </c>
      <c r="O254" s="2507" t="s">
        <v>336</v>
      </c>
      <c r="P254" s="182">
        <f t="shared" si="467"/>
        <v>0.27837837837837842</v>
      </c>
      <c r="Q254" s="1087"/>
      <c r="R254" s="3207"/>
      <c r="S254" s="3207"/>
      <c r="T254" s="129">
        <f t="shared" si="468"/>
        <v>0.28000000000000003</v>
      </c>
      <c r="U254" s="68">
        <f t="shared" si="469"/>
        <v>4.5714285714285714E-2</v>
      </c>
      <c r="V254" s="27">
        <f t="shared" si="469"/>
        <v>0.43428571428571433</v>
      </c>
      <c r="W254" s="363">
        <f t="shared" si="469"/>
        <v>0</v>
      </c>
      <c r="X254" s="363">
        <f t="shared" si="469"/>
        <v>0</v>
      </c>
      <c r="Y254" s="363">
        <f t="shared" si="469"/>
        <v>0</v>
      </c>
      <c r="Z254" s="28">
        <f t="shared" si="469"/>
        <v>5.4285714285714291E-2</v>
      </c>
      <c r="AA254" s="129">
        <f t="shared" si="470"/>
        <v>10</v>
      </c>
      <c r="AB254" s="28">
        <f t="shared" si="471"/>
        <v>5.4285714285714291E-2</v>
      </c>
      <c r="AC254" s="364">
        <f t="shared" si="472"/>
        <v>3</v>
      </c>
      <c r="AD254" s="182">
        <f t="shared" si="473"/>
        <v>0.58857142857142863</v>
      </c>
      <c r="AE254" s="1087"/>
      <c r="AF254" s="463" t="s">
        <v>630</v>
      </c>
      <c r="AG254" s="2526"/>
      <c r="AH254" s="1343">
        <f t="shared" si="474"/>
        <v>7.7669902912621547E-2</v>
      </c>
      <c r="AI254" s="1344">
        <f t="shared" si="475"/>
        <v>0.73786407766990281</v>
      </c>
      <c r="AJ254" s="1345">
        <f t="shared" si="475"/>
        <v>0</v>
      </c>
      <c r="AK254" s="1345">
        <f t="shared" si="475"/>
        <v>0</v>
      </c>
      <c r="AL254" s="1345">
        <f t="shared" si="475"/>
        <v>0</v>
      </c>
      <c r="AM254" s="1346">
        <f t="shared" si="475"/>
        <v>9.2233009708737851E-2</v>
      </c>
      <c r="AN254" s="1347">
        <f t="shared" si="476"/>
        <v>9.2233009708737851E-2</v>
      </c>
      <c r="AO254" s="1084"/>
      <c r="AZ254" s="398"/>
      <c r="BA254" s="398"/>
    </row>
    <row r="255" spans="1:53" ht="15" hidden="1" customHeight="1" outlineLevel="2" x14ac:dyDescent="0.2">
      <c r="A255" s="458" t="s">
        <v>631</v>
      </c>
      <c r="B255" s="451">
        <v>10</v>
      </c>
      <c r="C255" s="155">
        <v>1</v>
      </c>
      <c r="D255" s="68">
        <v>2.1621621621621623E-2</v>
      </c>
      <c r="E255" s="27">
        <v>0.10270270270270271</v>
      </c>
      <c r="F255" s="29">
        <v>0</v>
      </c>
      <c r="G255" s="2695">
        <v>0</v>
      </c>
      <c r="H255" s="29">
        <v>0</v>
      </c>
      <c r="I255" s="28">
        <v>1.2837837837837839E-2</v>
      </c>
      <c r="J255" s="129">
        <v>5</v>
      </c>
      <c r="K255" s="28">
        <v>1.2837837837837839E-2</v>
      </c>
      <c r="L255" s="146">
        <v>3</v>
      </c>
      <c r="M255" s="571">
        <v>10</v>
      </c>
      <c r="N255" s="2302">
        <v>1</v>
      </c>
      <c r="O255" s="2507" t="s">
        <v>336</v>
      </c>
      <c r="P255" s="182">
        <f t="shared" si="467"/>
        <v>0.15000000000000002</v>
      </c>
      <c r="Q255" s="1087"/>
      <c r="R255" s="3207"/>
      <c r="S255" s="3207"/>
      <c r="T255" s="129">
        <f t="shared" si="468"/>
        <v>1</v>
      </c>
      <c r="U255" s="68">
        <f t="shared" si="469"/>
        <v>4.5714285714285714E-2</v>
      </c>
      <c r="V255" s="27">
        <f t="shared" si="469"/>
        <v>0.21714285714285717</v>
      </c>
      <c r="W255" s="363">
        <f t="shared" si="469"/>
        <v>0</v>
      </c>
      <c r="X255" s="363">
        <f t="shared" si="469"/>
        <v>0</v>
      </c>
      <c r="Y255" s="363">
        <f t="shared" si="469"/>
        <v>0</v>
      </c>
      <c r="Z255" s="28">
        <f t="shared" si="469"/>
        <v>2.7142857142857146E-2</v>
      </c>
      <c r="AA255" s="129">
        <f t="shared" si="470"/>
        <v>5</v>
      </c>
      <c r="AB255" s="28">
        <f t="shared" si="471"/>
        <v>2.7142857142857146E-2</v>
      </c>
      <c r="AC255" s="364">
        <f t="shared" si="472"/>
        <v>3</v>
      </c>
      <c r="AD255" s="182">
        <f t="shared" si="473"/>
        <v>0.31714285714285717</v>
      </c>
      <c r="AE255" s="1087"/>
      <c r="AF255" s="463" t="s">
        <v>631</v>
      </c>
      <c r="AG255" s="2526"/>
      <c r="AH255" s="1343">
        <f t="shared" si="474"/>
        <v>0.14414414414414423</v>
      </c>
      <c r="AI255" s="1344">
        <f t="shared" si="475"/>
        <v>0.68468468468468457</v>
      </c>
      <c r="AJ255" s="1345">
        <f t="shared" si="475"/>
        <v>0</v>
      </c>
      <c r="AK255" s="1345">
        <f t="shared" si="475"/>
        <v>0</v>
      </c>
      <c r="AL255" s="1345">
        <f t="shared" si="475"/>
        <v>0</v>
      </c>
      <c r="AM255" s="1346">
        <f t="shared" si="475"/>
        <v>8.5585585585585572E-2</v>
      </c>
      <c r="AN255" s="1347">
        <f t="shared" si="476"/>
        <v>8.5585585585585572E-2</v>
      </c>
      <c r="AO255" s="1084"/>
      <c r="AZ255" s="398"/>
      <c r="BA255" s="398"/>
    </row>
    <row r="256" spans="1:53" ht="15" hidden="1" customHeight="1" outlineLevel="2" x14ac:dyDescent="0.2">
      <c r="A256" s="458" t="s">
        <v>632</v>
      </c>
      <c r="B256" s="451">
        <v>10</v>
      </c>
      <c r="C256" s="155">
        <v>1</v>
      </c>
      <c r="D256" s="68">
        <v>2.1621621621621623E-2</v>
      </c>
      <c r="E256" s="27">
        <v>0.20540540540540542</v>
      </c>
      <c r="F256" s="29">
        <v>0</v>
      </c>
      <c r="G256" s="2695">
        <v>0</v>
      </c>
      <c r="H256" s="29">
        <v>0</v>
      </c>
      <c r="I256" s="28">
        <v>2.5675675675675677E-2</v>
      </c>
      <c r="J256" s="129">
        <v>10</v>
      </c>
      <c r="K256" s="28">
        <v>2.5675675675675677E-2</v>
      </c>
      <c r="L256" s="146">
        <v>3</v>
      </c>
      <c r="M256" s="571">
        <v>10</v>
      </c>
      <c r="N256" s="2302">
        <v>1</v>
      </c>
      <c r="O256" s="2507" t="s">
        <v>336</v>
      </c>
      <c r="P256" s="182">
        <f t="shared" si="467"/>
        <v>0.27837837837837842</v>
      </c>
      <c r="Q256" s="1087"/>
      <c r="R256" s="3207"/>
      <c r="S256" s="3207"/>
      <c r="T256" s="129">
        <f t="shared" si="468"/>
        <v>1</v>
      </c>
      <c r="U256" s="68">
        <f t="shared" si="469"/>
        <v>4.5714285714285714E-2</v>
      </c>
      <c r="V256" s="27">
        <f t="shared" si="469"/>
        <v>0.43428571428571433</v>
      </c>
      <c r="W256" s="363">
        <f t="shared" si="469"/>
        <v>0</v>
      </c>
      <c r="X256" s="363">
        <f t="shared" si="469"/>
        <v>0</v>
      </c>
      <c r="Y256" s="363">
        <f t="shared" si="469"/>
        <v>0</v>
      </c>
      <c r="Z256" s="28">
        <f t="shared" si="469"/>
        <v>5.4285714285714291E-2</v>
      </c>
      <c r="AA256" s="129">
        <f t="shared" si="470"/>
        <v>10</v>
      </c>
      <c r="AB256" s="28">
        <f t="shared" si="471"/>
        <v>5.4285714285714291E-2</v>
      </c>
      <c r="AC256" s="364">
        <f t="shared" si="472"/>
        <v>3</v>
      </c>
      <c r="AD256" s="182">
        <f t="shared" si="473"/>
        <v>0.58857142857142863</v>
      </c>
      <c r="AE256" s="1087"/>
      <c r="AF256" s="463" t="s">
        <v>632</v>
      </c>
      <c r="AG256" s="2526"/>
      <c r="AH256" s="1343">
        <f t="shared" si="474"/>
        <v>7.7669902912621547E-2</v>
      </c>
      <c r="AI256" s="1344">
        <f t="shared" si="475"/>
        <v>0.73786407766990281</v>
      </c>
      <c r="AJ256" s="1345">
        <f t="shared" si="475"/>
        <v>0</v>
      </c>
      <c r="AK256" s="1345">
        <f t="shared" si="475"/>
        <v>0</v>
      </c>
      <c r="AL256" s="1345">
        <f t="shared" si="475"/>
        <v>0</v>
      </c>
      <c r="AM256" s="1346">
        <f t="shared" si="475"/>
        <v>9.2233009708737851E-2</v>
      </c>
      <c r="AN256" s="1347">
        <f t="shared" si="476"/>
        <v>9.2233009708737851E-2</v>
      </c>
      <c r="AO256" s="1084"/>
      <c r="AZ256" s="398"/>
      <c r="BA256" s="398"/>
    </row>
    <row r="257" spans="1:53" ht="15" hidden="1" customHeight="1" outlineLevel="1" collapsed="1" x14ac:dyDescent="0.2">
      <c r="A257" s="457" t="s">
        <v>633</v>
      </c>
      <c r="B257" s="450" t="str">
        <f t="shared" ref="B257:C257" si="477">B$6</f>
        <v>Trips</v>
      </c>
      <c r="C257" s="172" t="str">
        <f t="shared" si="477"/>
        <v>Mbpd</v>
      </c>
      <c r="D257" s="173" t="s">
        <v>303</v>
      </c>
      <c r="E257" s="173" t="s">
        <v>9</v>
      </c>
      <c r="F257" s="173" t="s">
        <v>304</v>
      </c>
      <c r="G257" s="2711" t="s">
        <v>970</v>
      </c>
      <c r="H257" s="173" t="s">
        <v>312</v>
      </c>
      <c r="I257" s="173" t="s">
        <v>330</v>
      </c>
      <c r="J257" s="173" t="s">
        <v>308</v>
      </c>
      <c r="K257" s="173" t="s">
        <v>309</v>
      </c>
      <c r="L257" s="178" t="s">
        <v>299</v>
      </c>
      <c r="M257" s="572" t="str">
        <f>M$6</f>
        <v>DPM/c</v>
      </c>
      <c r="N257" s="2301"/>
      <c r="O257" s="2506"/>
      <c r="P257" s="181" t="s">
        <v>273</v>
      </c>
      <c r="Q257" s="1087"/>
      <c r="R257" s="3207"/>
      <c r="S257" s="3207"/>
      <c r="T257" s="1270" t="s">
        <v>308</v>
      </c>
      <c r="U257" s="173" t="s">
        <v>303</v>
      </c>
      <c r="V257" s="173" t="str">
        <f>V$6</f>
        <v xml:space="preserve">WTS </v>
      </c>
      <c r="W257" s="173" t="str">
        <f>+W$6</f>
        <v>Web</v>
      </c>
      <c r="X257" s="173" t="str">
        <f>+X$6</f>
        <v>Portal</v>
      </c>
      <c r="Y257" s="173" t="s">
        <v>312</v>
      </c>
      <c r="Z257" s="173" t="s">
        <v>330</v>
      </c>
      <c r="AA257" s="173" t="s">
        <v>308</v>
      </c>
      <c r="AB257" s="173" t="s">
        <v>309</v>
      </c>
      <c r="AC257" s="178" t="s">
        <v>299</v>
      </c>
      <c r="AD257" s="181" t="s">
        <v>273</v>
      </c>
      <c r="AE257" s="1087"/>
      <c r="AF257" s="1168" t="str">
        <f>A257</f>
        <v>ArcGIS Server 9.3.1  =========</v>
      </c>
      <c r="AG257" s="2526"/>
      <c r="AH257" s="1339" t="str">
        <f t="shared" ref="AH257:AM257" si="478">D257</f>
        <v>Client</v>
      </c>
      <c r="AI257" s="1339" t="str">
        <f t="shared" si="478"/>
        <v xml:space="preserve">WTS </v>
      </c>
      <c r="AJ257" s="1339" t="str">
        <f t="shared" si="478"/>
        <v>Web</v>
      </c>
      <c r="AK257" s="1339" t="str">
        <f t="shared" si="478"/>
        <v>Portal</v>
      </c>
      <c r="AL257" s="1340" t="str">
        <f t="shared" si="478"/>
        <v>SOC</v>
      </c>
      <c r="AM257" s="1341" t="str">
        <f t="shared" si="478"/>
        <v>SDE</v>
      </c>
      <c r="AN257" s="1342" t="str">
        <f>K257</f>
        <v>DBMS</v>
      </c>
      <c r="AO257" s="1084"/>
      <c r="AZ257" s="398"/>
      <c r="BA257" s="398"/>
    </row>
    <row r="258" spans="1:53" ht="15" hidden="1" customHeight="1" outlineLevel="2" x14ac:dyDescent="0.2">
      <c r="A258" s="459" t="s">
        <v>634</v>
      </c>
      <c r="B258" s="451">
        <v>10</v>
      </c>
      <c r="C258" s="155">
        <v>1.6</v>
      </c>
      <c r="D258" s="68">
        <v>2.1621621621621623E-2</v>
      </c>
      <c r="E258" s="27">
        <v>0</v>
      </c>
      <c r="F258" s="2586">
        <v>5.4810810810810809E-2</v>
      </c>
      <c r="G258" s="2695">
        <v>0</v>
      </c>
      <c r="H258" s="29">
        <v>9.1351351351351376E-2</v>
      </c>
      <c r="I258" s="28">
        <v>8.7837837837837843E-3</v>
      </c>
      <c r="J258" s="129">
        <v>5</v>
      </c>
      <c r="K258" s="28">
        <v>8.7837837837837843E-3</v>
      </c>
      <c r="L258" s="146">
        <v>3</v>
      </c>
      <c r="M258" s="571">
        <v>6</v>
      </c>
      <c r="N258" s="2302">
        <v>1</v>
      </c>
      <c r="O258" s="2507" t="s">
        <v>332</v>
      </c>
      <c r="P258" s="182">
        <f t="shared" ref="P258:P267" si="479">SUM(D258:I258,K258)</f>
        <v>0.18535135135135136</v>
      </c>
      <c r="Q258" s="1087"/>
      <c r="R258" s="3207"/>
      <c r="S258" s="3207"/>
      <c r="T258" s="129">
        <f t="shared" ref="T258:T267" si="480">C258</f>
        <v>1.6</v>
      </c>
      <c r="U258" s="68">
        <f t="shared" ref="U258:U267" si="481">D258*$K$3/$AB$3</f>
        <v>4.5714285714285714E-2</v>
      </c>
      <c r="V258" s="27">
        <f t="shared" ref="V258:V267" si="482">E258*$K$3/$AB$3</f>
        <v>0</v>
      </c>
      <c r="W258" s="363">
        <f t="shared" ref="W258:W267" si="483">F258*$K$3/$AB$3</f>
        <v>0.11588571428571429</v>
      </c>
      <c r="X258" s="363">
        <f t="shared" ref="X258:X267" si="484">G258*$K$3/$AB$3</f>
        <v>0</v>
      </c>
      <c r="Y258" s="363">
        <f t="shared" ref="Y258:Y267" si="485">H258*$K$3/$AB$3</f>
        <v>0.1931428571428572</v>
      </c>
      <c r="Z258" s="28">
        <f t="shared" ref="Z258:Z267" si="486">I258*$K$3/$AB$3</f>
        <v>1.8571428571428572E-2</v>
      </c>
      <c r="AA258" s="129">
        <f t="shared" ref="AA258:AA267" si="487">J258</f>
        <v>5</v>
      </c>
      <c r="AB258" s="28">
        <f t="shared" ref="AB258:AB267" si="488">K258*$K$3/$AB$3</f>
        <v>1.8571428571428572E-2</v>
      </c>
      <c r="AC258" s="364">
        <f t="shared" ref="AC258:AC267" si="489">L258</f>
        <v>3</v>
      </c>
      <c r="AD258" s="182">
        <f t="shared" ref="AD258:AD267" si="490">SUM(U258:Z258,AB258)</f>
        <v>0.39188571428571434</v>
      </c>
      <c r="AE258" s="1087"/>
      <c r="AF258" s="462" t="s">
        <v>635</v>
      </c>
      <c r="AG258" s="2526"/>
      <c r="AH258" s="1343">
        <f t="shared" ref="AH258:AH263" si="491">1-SUM(AI258:AN258)</f>
        <v>0.11665208515602221</v>
      </c>
      <c r="AI258" s="1344">
        <f t="shared" ref="AI258:AI267" si="492">E258/$P258</f>
        <v>0</v>
      </c>
      <c r="AJ258" s="1345">
        <f t="shared" ref="AJ258:AJ267" si="493">F258/$P258</f>
        <v>0.29571303587051617</v>
      </c>
      <c r="AK258" s="1345">
        <f t="shared" ref="AK258:AK267" si="494">G258/$P258</f>
        <v>0</v>
      </c>
      <c r="AL258" s="1345">
        <f t="shared" ref="AL258:AL267" si="495">H258/$P258</f>
        <v>0.49285505978419375</v>
      </c>
      <c r="AM258" s="1346">
        <f t="shared" ref="AM258:AM267" si="496">I258/$P258</f>
        <v>4.7389909594634003E-2</v>
      </c>
      <c r="AN258" s="1347">
        <f t="shared" ref="AN258:AN267" si="497">K258/$P258</f>
        <v>4.7389909594634003E-2</v>
      </c>
      <c r="AO258" s="1084"/>
      <c r="AZ258" s="398"/>
      <c r="BA258" s="398"/>
    </row>
    <row r="259" spans="1:53" ht="15" hidden="1" customHeight="1" outlineLevel="2" x14ac:dyDescent="0.2">
      <c r="A259" s="459" t="s">
        <v>636</v>
      </c>
      <c r="B259" s="451">
        <v>10</v>
      </c>
      <c r="C259" s="155">
        <v>2</v>
      </c>
      <c r="D259" s="68">
        <v>2.1621621621621623E-2</v>
      </c>
      <c r="E259" s="27">
        <v>0</v>
      </c>
      <c r="F259" s="2586">
        <v>5.4594594594594592E-2</v>
      </c>
      <c r="G259" s="2695">
        <v>0</v>
      </c>
      <c r="H259" s="29">
        <v>0.14054054054054055</v>
      </c>
      <c r="I259" s="28">
        <v>1.7567567567567569E-2</v>
      </c>
      <c r="J259" s="129">
        <v>10</v>
      </c>
      <c r="K259" s="28">
        <v>1.7567567567567569E-2</v>
      </c>
      <c r="L259" s="146">
        <v>3</v>
      </c>
      <c r="M259" s="571">
        <v>6</v>
      </c>
      <c r="N259" s="2302">
        <v>1</v>
      </c>
      <c r="O259" s="2507" t="s">
        <v>332</v>
      </c>
      <c r="P259" s="182">
        <f t="shared" si="479"/>
        <v>0.25189189189189187</v>
      </c>
      <c r="Q259" s="1087"/>
      <c r="R259" s="3207"/>
      <c r="S259" s="3207"/>
      <c r="T259" s="129">
        <f t="shared" si="480"/>
        <v>2</v>
      </c>
      <c r="U259" s="68">
        <f t="shared" si="481"/>
        <v>4.5714285714285714E-2</v>
      </c>
      <c r="V259" s="27">
        <f t="shared" si="482"/>
        <v>0</v>
      </c>
      <c r="W259" s="363">
        <f t="shared" si="483"/>
        <v>0.11542857142857144</v>
      </c>
      <c r="X259" s="363">
        <f t="shared" si="484"/>
        <v>0</v>
      </c>
      <c r="Y259" s="363">
        <f t="shared" si="485"/>
        <v>0.29714285714285715</v>
      </c>
      <c r="Z259" s="28">
        <f t="shared" si="486"/>
        <v>3.7142857142857144E-2</v>
      </c>
      <c r="AA259" s="129">
        <f t="shared" si="487"/>
        <v>10</v>
      </c>
      <c r="AB259" s="28">
        <f t="shared" si="488"/>
        <v>3.7142857142857144E-2</v>
      </c>
      <c r="AC259" s="364">
        <f t="shared" si="489"/>
        <v>3</v>
      </c>
      <c r="AD259" s="182">
        <f t="shared" si="490"/>
        <v>0.53257142857142858</v>
      </c>
      <c r="AE259" s="1087"/>
      <c r="AF259" s="462" t="s">
        <v>637</v>
      </c>
      <c r="AG259" s="2526"/>
      <c r="AH259" s="1343">
        <f t="shared" si="491"/>
        <v>8.5836909871244593E-2</v>
      </c>
      <c r="AI259" s="1344">
        <f t="shared" si="492"/>
        <v>0</v>
      </c>
      <c r="AJ259" s="1345">
        <f t="shared" si="493"/>
        <v>0.2167381974248927</v>
      </c>
      <c r="AK259" s="1345">
        <f t="shared" si="494"/>
        <v>0</v>
      </c>
      <c r="AL259" s="1345">
        <f t="shared" si="495"/>
        <v>0.55793991416309019</v>
      </c>
      <c r="AM259" s="1346">
        <f t="shared" si="496"/>
        <v>6.9742489270386274E-2</v>
      </c>
      <c r="AN259" s="1347">
        <f t="shared" si="497"/>
        <v>6.9742489270386274E-2</v>
      </c>
      <c r="AO259" s="1084"/>
      <c r="AZ259" s="398"/>
      <c r="BA259" s="398"/>
    </row>
    <row r="260" spans="1:53" ht="15" hidden="1" customHeight="1" outlineLevel="2" x14ac:dyDescent="0.2">
      <c r="A260" s="459" t="s">
        <v>638</v>
      </c>
      <c r="B260" s="451">
        <v>10</v>
      </c>
      <c r="C260" s="155">
        <v>1.6</v>
      </c>
      <c r="D260" s="68">
        <v>2.1621621621621623E-2</v>
      </c>
      <c r="E260" s="60">
        <v>0</v>
      </c>
      <c r="F260" s="29">
        <v>9.1351351351351365E-3</v>
      </c>
      <c r="G260" s="2698">
        <v>0</v>
      </c>
      <c r="H260" s="29">
        <v>9.1351351351351376E-2</v>
      </c>
      <c r="I260" s="28">
        <v>8.7837837837837843E-3</v>
      </c>
      <c r="J260" s="129">
        <v>5</v>
      </c>
      <c r="K260" s="28">
        <v>8.7837837837837843E-3</v>
      </c>
      <c r="L260" s="146">
        <v>3</v>
      </c>
      <c r="M260" s="571">
        <v>6</v>
      </c>
      <c r="N260" s="2302">
        <v>1</v>
      </c>
      <c r="O260" s="2507" t="s">
        <v>332</v>
      </c>
      <c r="P260" s="182">
        <f t="shared" si="479"/>
        <v>0.13967567567567568</v>
      </c>
      <c r="Q260" s="1087"/>
      <c r="R260" s="3207"/>
      <c r="S260" s="3207"/>
      <c r="T260" s="129">
        <f t="shared" si="480"/>
        <v>1.6</v>
      </c>
      <c r="U260" s="68">
        <f t="shared" si="481"/>
        <v>4.5714285714285714E-2</v>
      </c>
      <c r="V260" s="27">
        <f t="shared" si="482"/>
        <v>0</v>
      </c>
      <c r="W260" s="363">
        <f t="shared" si="483"/>
        <v>1.9314285714285718E-2</v>
      </c>
      <c r="X260" s="363">
        <f t="shared" si="484"/>
        <v>0</v>
      </c>
      <c r="Y260" s="363">
        <f t="shared" si="485"/>
        <v>0.1931428571428572</v>
      </c>
      <c r="Z260" s="28">
        <f t="shared" si="486"/>
        <v>1.8571428571428572E-2</v>
      </c>
      <c r="AA260" s="129">
        <f t="shared" si="487"/>
        <v>5</v>
      </c>
      <c r="AB260" s="28">
        <f t="shared" si="488"/>
        <v>1.8571428571428572E-2</v>
      </c>
      <c r="AC260" s="364">
        <f t="shared" si="489"/>
        <v>3</v>
      </c>
      <c r="AD260" s="182">
        <f t="shared" si="490"/>
        <v>0.29531428571428575</v>
      </c>
      <c r="AE260" s="1087"/>
      <c r="AF260" s="462" t="s">
        <v>639</v>
      </c>
      <c r="AG260" s="2526"/>
      <c r="AH260" s="1343">
        <f t="shared" si="491"/>
        <v>0.15479876160990702</v>
      </c>
      <c r="AI260" s="1344">
        <f t="shared" si="492"/>
        <v>0</v>
      </c>
      <c r="AJ260" s="1345">
        <f t="shared" si="493"/>
        <v>6.5402476780185764E-2</v>
      </c>
      <c r="AK260" s="1345">
        <f t="shared" si="494"/>
        <v>0</v>
      </c>
      <c r="AL260" s="1345">
        <f t="shared" si="495"/>
        <v>0.6540247678018577</v>
      </c>
      <c r="AM260" s="1346">
        <f t="shared" si="496"/>
        <v>6.2886996904024772E-2</v>
      </c>
      <c r="AN260" s="1347">
        <f t="shared" si="497"/>
        <v>6.2886996904024772E-2</v>
      </c>
      <c r="AO260" s="1084"/>
      <c r="AZ260" s="398"/>
      <c r="BA260" s="398"/>
    </row>
    <row r="261" spans="1:53" ht="15" hidden="1" customHeight="1" outlineLevel="2" x14ac:dyDescent="0.2">
      <c r="A261" s="459" t="s">
        <v>640</v>
      </c>
      <c r="B261" s="451">
        <v>10</v>
      </c>
      <c r="C261" s="155">
        <v>2</v>
      </c>
      <c r="D261" s="68">
        <v>2.1621621621621623E-2</v>
      </c>
      <c r="E261" s="60">
        <v>0</v>
      </c>
      <c r="F261" s="29">
        <v>7.0270270270270272E-3</v>
      </c>
      <c r="G261" s="2698">
        <v>0</v>
      </c>
      <c r="H261" s="29">
        <v>0.14054054054054055</v>
      </c>
      <c r="I261" s="28">
        <v>1.7567567567567569E-2</v>
      </c>
      <c r="J261" s="129">
        <v>10</v>
      </c>
      <c r="K261" s="28">
        <v>1.7567567567567569E-2</v>
      </c>
      <c r="L261" s="146">
        <v>3</v>
      </c>
      <c r="M261" s="571">
        <v>6</v>
      </c>
      <c r="N261" s="2302">
        <v>1</v>
      </c>
      <c r="O261" s="2507" t="s">
        <v>332</v>
      </c>
      <c r="P261" s="182">
        <f t="shared" si="479"/>
        <v>0.20432432432432435</v>
      </c>
      <c r="Q261" s="1087"/>
      <c r="R261" s="3207"/>
      <c r="S261" s="3207"/>
      <c r="T261" s="129">
        <f t="shared" si="480"/>
        <v>2</v>
      </c>
      <c r="U261" s="68">
        <f t="shared" si="481"/>
        <v>4.5714285714285714E-2</v>
      </c>
      <c r="V261" s="27">
        <f t="shared" si="482"/>
        <v>0</v>
      </c>
      <c r="W261" s="363">
        <f t="shared" si="483"/>
        <v>1.4857142857142857E-2</v>
      </c>
      <c r="X261" s="363">
        <f t="shared" si="484"/>
        <v>0</v>
      </c>
      <c r="Y261" s="363">
        <f t="shared" si="485"/>
        <v>0.29714285714285715</v>
      </c>
      <c r="Z261" s="28">
        <f t="shared" si="486"/>
        <v>3.7142857142857144E-2</v>
      </c>
      <c r="AA261" s="129">
        <f t="shared" si="487"/>
        <v>10</v>
      </c>
      <c r="AB261" s="28">
        <f t="shared" si="488"/>
        <v>3.7142857142857144E-2</v>
      </c>
      <c r="AC261" s="364">
        <f t="shared" si="489"/>
        <v>3</v>
      </c>
      <c r="AD261" s="182">
        <f t="shared" si="490"/>
        <v>0.432</v>
      </c>
      <c r="AE261" s="1087"/>
      <c r="AF261" s="462" t="s">
        <v>641</v>
      </c>
      <c r="AG261" s="2526"/>
      <c r="AH261" s="1343">
        <f t="shared" si="491"/>
        <v>0.10582010582010593</v>
      </c>
      <c r="AI261" s="1344">
        <f t="shared" si="492"/>
        <v>0</v>
      </c>
      <c r="AJ261" s="1345">
        <f t="shared" si="493"/>
        <v>3.439153439153439E-2</v>
      </c>
      <c r="AK261" s="1345">
        <f t="shared" si="494"/>
        <v>0</v>
      </c>
      <c r="AL261" s="1345">
        <f t="shared" si="495"/>
        <v>0.68783068783068779</v>
      </c>
      <c r="AM261" s="1346">
        <f t="shared" si="496"/>
        <v>8.5978835978835974E-2</v>
      </c>
      <c r="AN261" s="1347">
        <f t="shared" si="497"/>
        <v>8.5978835978835974E-2</v>
      </c>
      <c r="AO261" s="1084"/>
      <c r="AZ261" s="398"/>
      <c r="BA261" s="398"/>
    </row>
    <row r="262" spans="1:53" ht="15" hidden="1" customHeight="1" outlineLevel="2" x14ac:dyDescent="0.2">
      <c r="A262" s="459" t="s">
        <v>642</v>
      </c>
      <c r="B262" s="451">
        <v>10</v>
      </c>
      <c r="C262" s="155">
        <v>1.6</v>
      </c>
      <c r="D262" s="68">
        <v>2.1621621621621623E-2</v>
      </c>
      <c r="E262" s="27">
        <v>0</v>
      </c>
      <c r="F262" s="29">
        <v>9.1351351351351365E-3</v>
      </c>
      <c r="G262" s="2698">
        <v>0</v>
      </c>
      <c r="H262" s="29">
        <v>4.5675675675675688E-2</v>
      </c>
      <c r="I262" s="28">
        <v>8.7837837837837843E-3</v>
      </c>
      <c r="J262" s="129">
        <v>5</v>
      </c>
      <c r="K262" s="28">
        <v>8.7837837837837843E-3</v>
      </c>
      <c r="L262" s="146">
        <v>3</v>
      </c>
      <c r="M262" s="571">
        <v>6</v>
      </c>
      <c r="N262" s="2302">
        <v>1</v>
      </c>
      <c r="O262" s="2507" t="s">
        <v>332</v>
      </c>
      <c r="P262" s="182">
        <f t="shared" si="479"/>
        <v>9.4E-2</v>
      </c>
      <c r="Q262" s="1087"/>
      <c r="R262" s="3207"/>
      <c r="S262" s="3207"/>
      <c r="T262" s="129">
        <f t="shared" si="480"/>
        <v>1.6</v>
      </c>
      <c r="U262" s="68">
        <f t="shared" si="481"/>
        <v>4.5714285714285714E-2</v>
      </c>
      <c r="V262" s="27">
        <f t="shared" si="482"/>
        <v>0</v>
      </c>
      <c r="W262" s="363">
        <f t="shared" si="483"/>
        <v>1.9314285714285718E-2</v>
      </c>
      <c r="X262" s="363">
        <f t="shared" si="484"/>
        <v>0</v>
      </c>
      <c r="Y262" s="363">
        <f t="shared" si="485"/>
        <v>9.65714285714286E-2</v>
      </c>
      <c r="Z262" s="28">
        <f t="shared" si="486"/>
        <v>1.8571428571428572E-2</v>
      </c>
      <c r="AA262" s="129">
        <f t="shared" si="487"/>
        <v>5</v>
      </c>
      <c r="AB262" s="28">
        <f t="shared" si="488"/>
        <v>1.8571428571428572E-2</v>
      </c>
      <c r="AC262" s="364">
        <f t="shared" si="489"/>
        <v>3</v>
      </c>
      <c r="AD262" s="182">
        <f t="shared" si="490"/>
        <v>0.19874285714285717</v>
      </c>
      <c r="AE262" s="1087"/>
      <c r="AF262" s="462" t="s">
        <v>643</v>
      </c>
      <c r="AG262" s="2526"/>
      <c r="AH262" s="1343">
        <f t="shared" si="491"/>
        <v>0.23001725129384698</v>
      </c>
      <c r="AI262" s="1344">
        <f t="shared" si="492"/>
        <v>0</v>
      </c>
      <c r="AJ262" s="1345">
        <f t="shared" si="493"/>
        <v>9.7182288671650394E-2</v>
      </c>
      <c r="AK262" s="1345">
        <f t="shared" si="494"/>
        <v>0</v>
      </c>
      <c r="AL262" s="1345">
        <f t="shared" si="495"/>
        <v>0.48591144335825198</v>
      </c>
      <c r="AM262" s="1346">
        <f t="shared" si="496"/>
        <v>9.344450833812537E-2</v>
      </c>
      <c r="AN262" s="1347">
        <f t="shared" si="497"/>
        <v>9.344450833812537E-2</v>
      </c>
      <c r="AO262" s="1084"/>
      <c r="AP262" s="371"/>
      <c r="AZ262" s="398"/>
      <c r="BA262" s="398"/>
    </row>
    <row r="263" spans="1:53" ht="15" hidden="1" customHeight="1" outlineLevel="2" x14ac:dyDescent="0.2">
      <c r="A263" s="459" t="s">
        <v>644</v>
      </c>
      <c r="B263" s="451">
        <v>10</v>
      </c>
      <c r="C263" s="155">
        <v>2</v>
      </c>
      <c r="D263" s="68">
        <v>2.1621621621621623E-2</v>
      </c>
      <c r="E263" s="27">
        <v>0</v>
      </c>
      <c r="F263" s="29">
        <v>7.0270270270270272E-3</v>
      </c>
      <c r="G263" s="2698">
        <v>0</v>
      </c>
      <c r="H263" s="29">
        <v>7.0270270270270274E-2</v>
      </c>
      <c r="I263" s="28">
        <v>1.7567567567567569E-2</v>
      </c>
      <c r="J263" s="129">
        <v>10</v>
      </c>
      <c r="K263" s="28">
        <v>1.7567567567567569E-2</v>
      </c>
      <c r="L263" s="146">
        <v>3</v>
      </c>
      <c r="M263" s="571">
        <v>6</v>
      </c>
      <c r="N263" s="2302">
        <v>1</v>
      </c>
      <c r="O263" s="2507" t="s">
        <v>332</v>
      </c>
      <c r="P263" s="182">
        <f t="shared" si="479"/>
        <v>0.13405405405405407</v>
      </c>
      <c r="Q263" s="1087"/>
      <c r="R263" s="3207"/>
      <c r="S263" s="3207"/>
      <c r="T263" s="129">
        <f t="shared" si="480"/>
        <v>2</v>
      </c>
      <c r="U263" s="68">
        <f t="shared" si="481"/>
        <v>4.5714285714285714E-2</v>
      </c>
      <c r="V263" s="27">
        <f t="shared" si="482"/>
        <v>0</v>
      </c>
      <c r="W263" s="363">
        <f t="shared" si="483"/>
        <v>1.4857142857142857E-2</v>
      </c>
      <c r="X263" s="363">
        <f t="shared" si="484"/>
        <v>0</v>
      </c>
      <c r="Y263" s="363">
        <f t="shared" si="485"/>
        <v>0.14857142857142858</v>
      </c>
      <c r="Z263" s="28">
        <f t="shared" si="486"/>
        <v>3.7142857142857144E-2</v>
      </c>
      <c r="AA263" s="129">
        <f t="shared" si="487"/>
        <v>10</v>
      </c>
      <c r="AB263" s="28">
        <f t="shared" si="488"/>
        <v>3.7142857142857144E-2</v>
      </c>
      <c r="AC263" s="364">
        <f t="shared" si="489"/>
        <v>3</v>
      </c>
      <c r="AD263" s="182">
        <f t="shared" si="490"/>
        <v>0.28342857142857142</v>
      </c>
      <c r="AE263" s="1087"/>
      <c r="AF263" s="462" t="s">
        <v>645</v>
      </c>
      <c r="AG263" s="2526"/>
      <c r="AH263" s="1343">
        <f t="shared" si="491"/>
        <v>0.16129032258064524</v>
      </c>
      <c r="AI263" s="1344">
        <f t="shared" si="492"/>
        <v>0</v>
      </c>
      <c r="AJ263" s="1345">
        <f t="shared" si="493"/>
        <v>5.2419354838709672E-2</v>
      </c>
      <c r="AK263" s="1345">
        <f t="shared" si="494"/>
        <v>0</v>
      </c>
      <c r="AL263" s="1345">
        <f t="shared" si="495"/>
        <v>0.52419354838709675</v>
      </c>
      <c r="AM263" s="1346">
        <f t="shared" si="496"/>
        <v>0.13104838709677419</v>
      </c>
      <c r="AN263" s="1347">
        <f t="shared" si="497"/>
        <v>0.13104838709677419</v>
      </c>
      <c r="AO263" s="1084"/>
      <c r="AP263" s="371"/>
      <c r="AZ263" s="398"/>
      <c r="BA263" s="398"/>
    </row>
    <row r="264" spans="1:53" ht="15" hidden="1" customHeight="1" outlineLevel="2" x14ac:dyDescent="0.2">
      <c r="A264" s="459" t="s">
        <v>646</v>
      </c>
      <c r="B264" s="451">
        <v>10</v>
      </c>
      <c r="C264" s="155">
        <v>6.5</v>
      </c>
      <c r="D264" s="68">
        <v>2.1621621621621623E-2</v>
      </c>
      <c r="E264" s="27">
        <v>0</v>
      </c>
      <c r="F264" s="29">
        <v>7.0270270270270272E-3</v>
      </c>
      <c r="G264" s="2698">
        <v>0</v>
      </c>
      <c r="H264" s="29">
        <v>1.405405405405406E-2</v>
      </c>
      <c r="I264" s="28">
        <v>3.5135135135135149E-3</v>
      </c>
      <c r="J264" s="129">
        <v>2.0000000000000009</v>
      </c>
      <c r="K264" s="28">
        <v>3.5135135135135149E-3</v>
      </c>
      <c r="L264" s="146">
        <v>3</v>
      </c>
      <c r="M264" s="571">
        <v>6</v>
      </c>
      <c r="N264" s="2302">
        <v>1</v>
      </c>
      <c r="O264" s="2507" t="s">
        <v>332</v>
      </c>
      <c r="P264" s="182">
        <f t="shared" si="479"/>
        <v>4.9729729729729735E-2</v>
      </c>
      <c r="Q264" s="1087"/>
      <c r="R264" s="3207"/>
      <c r="S264" s="3207"/>
      <c r="T264" s="129">
        <f t="shared" si="480"/>
        <v>6.5</v>
      </c>
      <c r="U264" s="68">
        <f t="shared" si="481"/>
        <v>4.5714285714285714E-2</v>
      </c>
      <c r="V264" s="27">
        <f t="shared" si="482"/>
        <v>0</v>
      </c>
      <c r="W264" s="363">
        <f t="shared" si="483"/>
        <v>1.4857142857142857E-2</v>
      </c>
      <c r="X264" s="363">
        <f t="shared" si="484"/>
        <v>0</v>
      </c>
      <c r="Y264" s="363">
        <f t="shared" si="485"/>
        <v>2.9714285714285728E-2</v>
      </c>
      <c r="Z264" s="28">
        <f t="shared" si="486"/>
        <v>7.4285714285714319E-3</v>
      </c>
      <c r="AA264" s="129">
        <f t="shared" si="487"/>
        <v>2.0000000000000009</v>
      </c>
      <c r="AB264" s="28">
        <f t="shared" si="488"/>
        <v>7.4285714285714319E-3</v>
      </c>
      <c r="AC264" s="364">
        <f t="shared" si="489"/>
        <v>3</v>
      </c>
      <c r="AD264" s="182">
        <f t="shared" si="490"/>
        <v>0.10514285714285718</v>
      </c>
      <c r="AE264" s="1087"/>
      <c r="AF264" s="462" t="s">
        <v>646</v>
      </c>
      <c r="AG264" s="2526"/>
      <c r="AH264" s="1343">
        <f>1-SUM(AI264:AN264)</f>
        <v>0.434782608695652</v>
      </c>
      <c r="AI264" s="1344">
        <f t="shared" si="492"/>
        <v>0</v>
      </c>
      <c r="AJ264" s="1345">
        <f t="shared" si="493"/>
        <v>0.14130434782608695</v>
      </c>
      <c r="AK264" s="1345">
        <f t="shared" si="494"/>
        <v>0</v>
      </c>
      <c r="AL264" s="1345">
        <f t="shared" si="495"/>
        <v>0.282608695652174</v>
      </c>
      <c r="AM264" s="1346">
        <f t="shared" si="496"/>
        <v>7.0652173913043501E-2</v>
      </c>
      <c r="AN264" s="1347">
        <f t="shared" si="497"/>
        <v>7.0652173913043501E-2</v>
      </c>
      <c r="AO264" s="1084"/>
      <c r="AZ264" s="398"/>
      <c r="BA264" s="398"/>
    </row>
    <row r="265" spans="1:53" ht="15" hidden="1" customHeight="1" outlineLevel="2" x14ac:dyDescent="0.2">
      <c r="A265" s="459" t="s">
        <v>93</v>
      </c>
      <c r="B265" s="451">
        <v>10</v>
      </c>
      <c r="C265" s="155">
        <v>0.5</v>
      </c>
      <c r="D265" s="68">
        <v>2.1621621621621623E-2</v>
      </c>
      <c r="E265" s="27">
        <v>0</v>
      </c>
      <c r="F265" s="29">
        <v>7.0270270270270272E-3</v>
      </c>
      <c r="G265" s="2695">
        <v>0</v>
      </c>
      <c r="H265" s="29">
        <v>3.5135135135135136E-3</v>
      </c>
      <c r="I265" s="28">
        <v>0</v>
      </c>
      <c r="J265" s="129">
        <v>10</v>
      </c>
      <c r="K265" s="28">
        <v>0</v>
      </c>
      <c r="L265" s="146">
        <v>3</v>
      </c>
      <c r="M265" s="571">
        <v>6</v>
      </c>
      <c r="N265" s="2302">
        <v>1</v>
      </c>
      <c r="O265" s="2507" t="s">
        <v>332</v>
      </c>
      <c r="P265" s="182">
        <f t="shared" si="479"/>
        <v>3.2162162162162167E-2</v>
      </c>
      <c r="Q265" s="1087"/>
      <c r="R265" s="3207"/>
      <c r="S265" s="3207"/>
      <c r="T265" s="129">
        <f t="shared" si="480"/>
        <v>0.5</v>
      </c>
      <c r="U265" s="68">
        <f t="shared" si="481"/>
        <v>4.5714285714285714E-2</v>
      </c>
      <c r="V265" s="27">
        <f t="shared" si="482"/>
        <v>0</v>
      </c>
      <c r="W265" s="363">
        <f t="shared" si="483"/>
        <v>1.4857142857142857E-2</v>
      </c>
      <c r="X265" s="363">
        <f t="shared" si="484"/>
        <v>0</v>
      </c>
      <c r="Y265" s="363">
        <f t="shared" si="485"/>
        <v>7.4285714285714285E-3</v>
      </c>
      <c r="Z265" s="28">
        <f t="shared" si="486"/>
        <v>0</v>
      </c>
      <c r="AA265" s="129">
        <f t="shared" si="487"/>
        <v>10</v>
      </c>
      <c r="AB265" s="28">
        <f t="shared" si="488"/>
        <v>0</v>
      </c>
      <c r="AC265" s="364">
        <f t="shared" si="489"/>
        <v>3</v>
      </c>
      <c r="AD265" s="182">
        <f t="shared" si="490"/>
        <v>6.7999999999999991E-2</v>
      </c>
      <c r="AE265" s="1087"/>
      <c r="AF265" s="462" t="s">
        <v>93</v>
      </c>
      <c r="AG265" s="2526"/>
      <c r="AH265" s="1343">
        <f>1-SUM(AI265:AN265)</f>
        <v>0.67226890756302526</v>
      </c>
      <c r="AI265" s="1344">
        <f t="shared" si="492"/>
        <v>0</v>
      </c>
      <c r="AJ265" s="1345">
        <f t="shared" si="493"/>
        <v>0.21848739495798317</v>
      </c>
      <c r="AK265" s="1345">
        <f t="shared" si="494"/>
        <v>0</v>
      </c>
      <c r="AL265" s="1345">
        <f t="shared" si="495"/>
        <v>0.10924369747899158</v>
      </c>
      <c r="AM265" s="1346">
        <f t="shared" si="496"/>
        <v>0</v>
      </c>
      <c r="AN265" s="1347">
        <f t="shared" si="497"/>
        <v>0</v>
      </c>
      <c r="AO265" s="1084"/>
      <c r="AZ265" s="398"/>
      <c r="BA265" s="398"/>
    </row>
    <row r="266" spans="1:53" ht="15" hidden="1" customHeight="1" outlineLevel="2" x14ac:dyDescent="0.2">
      <c r="A266" s="459" t="s">
        <v>647</v>
      </c>
      <c r="B266" s="451">
        <v>10</v>
      </c>
      <c r="C266" s="155">
        <v>1.6</v>
      </c>
      <c r="D266" s="68">
        <v>2.1621621621621623E-2</v>
      </c>
      <c r="E266" s="27">
        <v>0</v>
      </c>
      <c r="F266" s="29">
        <v>1.0962162162162165E-2</v>
      </c>
      <c r="G266" s="2695">
        <v>0</v>
      </c>
      <c r="H266" s="29">
        <v>0.10962162162162162</v>
      </c>
      <c r="I266" s="28">
        <v>8.8540540540540547E-3</v>
      </c>
      <c r="J266" s="129">
        <v>5</v>
      </c>
      <c r="K266" s="28">
        <v>8.8540540540540547E-3</v>
      </c>
      <c r="L266" s="146">
        <v>3</v>
      </c>
      <c r="M266" s="571">
        <v>6</v>
      </c>
      <c r="N266" s="2302">
        <v>1</v>
      </c>
      <c r="O266" s="2507" t="s">
        <v>332</v>
      </c>
      <c r="P266" s="182">
        <f t="shared" si="479"/>
        <v>0.15991351351351354</v>
      </c>
      <c r="Q266" s="1087"/>
      <c r="R266" s="3207"/>
      <c r="S266" s="3207"/>
      <c r="T266" s="129">
        <f t="shared" si="480"/>
        <v>1.6</v>
      </c>
      <c r="U266" s="68">
        <f t="shared" si="481"/>
        <v>4.5714285714285714E-2</v>
      </c>
      <c r="V266" s="27">
        <f t="shared" si="482"/>
        <v>0</v>
      </c>
      <c r="W266" s="363">
        <f t="shared" si="483"/>
        <v>2.3177142857142865E-2</v>
      </c>
      <c r="X266" s="363">
        <f t="shared" si="484"/>
        <v>0</v>
      </c>
      <c r="Y266" s="363">
        <f t="shared" si="485"/>
        <v>0.23177142857142857</v>
      </c>
      <c r="Z266" s="28">
        <f t="shared" si="486"/>
        <v>1.8720000000000001E-2</v>
      </c>
      <c r="AA266" s="129">
        <f t="shared" si="487"/>
        <v>5</v>
      </c>
      <c r="AB266" s="28">
        <f t="shared" si="488"/>
        <v>1.8720000000000001E-2</v>
      </c>
      <c r="AC266" s="364">
        <f t="shared" si="489"/>
        <v>3</v>
      </c>
      <c r="AD266" s="182">
        <f t="shared" si="490"/>
        <v>0.33810285714285715</v>
      </c>
      <c r="AE266" s="1087"/>
      <c r="AF266" s="462" t="s">
        <v>647</v>
      </c>
      <c r="AG266" s="2526"/>
      <c r="AH266" s="1343">
        <f>1-SUM(AI266:AN266)</f>
        <v>0.1352082206598163</v>
      </c>
      <c r="AI266" s="1344">
        <f t="shared" si="492"/>
        <v>0</v>
      </c>
      <c r="AJ266" s="1345">
        <f t="shared" si="493"/>
        <v>6.8550567874526777E-2</v>
      </c>
      <c r="AK266" s="1345">
        <f t="shared" si="494"/>
        <v>0</v>
      </c>
      <c r="AL266" s="1345">
        <f t="shared" si="495"/>
        <v>0.68550567874526758</v>
      </c>
      <c r="AM266" s="1346">
        <f t="shared" si="496"/>
        <v>5.5367766360194692E-2</v>
      </c>
      <c r="AN266" s="1347">
        <f t="shared" si="497"/>
        <v>5.5367766360194692E-2</v>
      </c>
      <c r="AO266" s="1084"/>
      <c r="AZ266" s="398"/>
      <c r="BA266" s="398"/>
    </row>
    <row r="267" spans="1:53" ht="15" hidden="1" customHeight="1" outlineLevel="2" x14ac:dyDescent="0.2">
      <c r="A267" s="459" t="s">
        <v>648</v>
      </c>
      <c r="B267" s="451">
        <v>10</v>
      </c>
      <c r="C267" s="155">
        <v>2</v>
      </c>
      <c r="D267" s="68">
        <v>2.1621621621621623E-2</v>
      </c>
      <c r="E267" s="27">
        <v>0</v>
      </c>
      <c r="F267" s="29">
        <v>8.432432432432432E-3</v>
      </c>
      <c r="G267" s="2695">
        <v>0</v>
      </c>
      <c r="H267" s="29">
        <v>0.16864864864864862</v>
      </c>
      <c r="I267" s="28">
        <v>1.7708108108108109E-2</v>
      </c>
      <c r="J267" s="129">
        <v>10</v>
      </c>
      <c r="K267" s="28">
        <v>1.7708108108108109E-2</v>
      </c>
      <c r="L267" s="146">
        <v>3</v>
      </c>
      <c r="M267" s="571">
        <v>6</v>
      </c>
      <c r="N267" s="2302">
        <v>1</v>
      </c>
      <c r="O267" s="2507" t="s">
        <v>332</v>
      </c>
      <c r="P267" s="182">
        <f t="shared" si="479"/>
        <v>0.23411891891891889</v>
      </c>
      <c r="Q267" s="1087"/>
      <c r="R267" s="3207"/>
      <c r="S267" s="3207"/>
      <c r="T267" s="129">
        <f t="shared" si="480"/>
        <v>2</v>
      </c>
      <c r="U267" s="68">
        <f t="shared" si="481"/>
        <v>4.5714285714285714E-2</v>
      </c>
      <c r="V267" s="27">
        <f t="shared" si="482"/>
        <v>0</v>
      </c>
      <c r="W267" s="363">
        <f t="shared" si="483"/>
        <v>1.782857142857143E-2</v>
      </c>
      <c r="X267" s="363">
        <f t="shared" si="484"/>
        <v>0</v>
      </c>
      <c r="Y267" s="363">
        <f t="shared" si="485"/>
        <v>0.35657142857142854</v>
      </c>
      <c r="Z267" s="28">
        <f t="shared" si="486"/>
        <v>3.7440000000000001E-2</v>
      </c>
      <c r="AA267" s="129">
        <f t="shared" si="487"/>
        <v>10</v>
      </c>
      <c r="AB267" s="28">
        <f t="shared" si="488"/>
        <v>3.7440000000000001E-2</v>
      </c>
      <c r="AC267" s="364">
        <f t="shared" si="489"/>
        <v>3</v>
      </c>
      <c r="AD267" s="182">
        <f t="shared" si="490"/>
        <v>0.49499428571428572</v>
      </c>
      <c r="AE267" s="1087"/>
      <c r="AF267" s="462" t="s">
        <v>648</v>
      </c>
      <c r="AG267" s="2526"/>
      <c r="AH267" s="1343">
        <f>1-SUM(AI267:AN267)</f>
        <v>9.2353158478020059E-2</v>
      </c>
      <c r="AI267" s="1344">
        <f t="shared" si="492"/>
        <v>0</v>
      </c>
      <c r="AJ267" s="1345">
        <f t="shared" si="493"/>
        <v>3.6017731806427783E-2</v>
      </c>
      <c r="AK267" s="1345">
        <f t="shared" si="494"/>
        <v>0</v>
      </c>
      <c r="AL267" s="1345">
        <f t="shared" si="495"/>
        <v>0.72035463612855555</v>
      </c>
      <c r="AM267" s="1346">
        <f t="shared" si="496"/>
        <v>7.5637236793498347E-2</v>
      </c>
      <c r="AN267" s="1347">
        <f t="shared" si="497"/>
        <v>7.5637236793498347E-2</v>
      </c>
      <c r="AO267" s="1084"/>
      <c r="AZ267" s="398"/>
      <c r="BA267" s="398"/>
    </row>
    <row r="268" spans="1:53" ht="15" hidden="1" customHeight="1" outlineLevel="1" collapsed="1" x14ac:dyDescent="0.2">
      <c r="A268" s="457" t="s">
        <v>649</v>
      </c>
      <c r="B268" s="450" t="str">
        <f t="shared" ref="B268:K268" si="498">B$6</f>
        <v>Trips</v>
      </c>
      <c r="C268" s="172" t="str">
        <f t="shared" si="498"/>
        <v>Mbpd</v>
      </c>
      <c r="D268" s="173" t="str">
        <f t="shared" si="498"/>
        <v>Client</v>
      </c>
      <c r="E268" s="173" t="str">
        <f t="shared" si="498"/>
        <v>Citrix</v>
      </c>
      <c r="F268" s="173" t="str">
        <f t="shared" si="498"/>
        <v>Web</v>
      </c>
      <c r="G268" s="2711" t="str">
        <f t="shared" si="498"/>
        <v>Portal</v>
      </c>
      <c r="H268" s="173" t="str">
        <f t="shared" si="498"/>
        <v>SOC</v>
      </c>
      <c r="I268" s="173" t="str">
        <f t="shared" si="498"/>
        <v>DS/MDS</v>
      </c>
      <c r="J268" s="173" t="str">
        <f t="shared" si="498"/>
        <v>Mbpd</v>
      </c>
      <c r="K268" s="173" t="str">
        <f t="shared" si="498"/>
        <v>DBMS</v>
      </c>
      <c r="L268" s="178" t="s">
        <v>299</v>
      </c>
      <c r="M268" s="572" t="str">
        <f>M$6</f>
        <v>DPM/c</v>
      </c>
      <c r="N268" s="572" t="str">
        <f>N$6</f>
        <v>MT</v>
      </c>
      <c r="O268" s="572" t="str">
        <f>O$6</f>
        <v xml:space="preserve">WF </v>
      </c>
      <c r="P268" s="181" t="s">
        <v>273</v>
      </c>
      <c r="Q268" s="1087"/>
      <c r="R268" s="3207"/>
      <c r="S268" s="3207"/>
      <c r="T268" s="1270" t="s">
        <v>308</v>
      </c>
      <c r="U268" s="173" t="s">
        <v>303</v>
      </c>
      <c r="V268" s="173" t="str">
        <f>V$6</f>
        <v xml:space="preserve">WTS </v>
      </c>
      <c r="W268" s="173" t="str">
        <f>+W$6</f>
        <v>Web</v>
      </c>
      <c r="X268" s="173" t="str">
        <f>+X$6</f>
        <v>Portal</v>
      </c>
      <c r="Y268" s="173" t="s">
        <v>312</v>
      </c>
      <c r="Z268" s="173" t="s">
        <v>330</v>
      </c>
      <c r="AA268" s="173" t="s">
        <v>308</v>
      </c>
      <c r="AB268" s="173" t="s">
        <v>309</v>
      </c>
      <c r="AC268" s="178" t="s">
        <v>299</v>
      </c>
      <c r="AD268" s="181" t="s">
        <v>273</v>
      </c>
      <c r="AE268" s="1087"/>
      <c r="AF268" s="1168" t="str">
        <f>A268</f>
        <v>ArcGIS 9.3.1 Mobile Services  =========</v>
      </c>
      <c r="AG268" s="2526"/>
      <c r="AH268" s="1339" t="str">
        <f t="shared" ref="AH268:AM268" si="499">D268</f>
        <v>Client</v>
      </c>
      <c r="AI268" s="1339" t="str">
        <f t="shared" si="499"/>
        <v>Citrix</v>
      </c>
      <c r="AJ268" s="1339" t="str">
        <f t="shared" si="499"/>
        <v>Web</v>
      </c>
      <c r="AK268" s="1339" t="str">
        <f t="shared" si="499"/>
        <v>Portal</v>
      </c>
      <c r="AL268" s="1340" t="str">
        <f t="shared" si="499"/>
        <v>SOC</v>
      </c>
      <c r="AM268" s="1341" t="str">
        <f t="shared" si="499"/>
        <v>DS/MDS</v>
      </c>
      <c r="AN268" s="1342" t="str">
        <f>K268</f>
        <v>DBMS</v>
      </c>
      <c r="AO268" s="1084"/>
      <c r="AZ268" s="398"/>
      <c r="BA268" s="398"/>
    </row>
    <row r="269" spans="1:53" ht="15" hidden="1" customHeight="1" outlineLevel="2" x14ac:dyDescent="0.2">
      <c r="A269" s="459" t="s">
        <v>650</v>
      </c>
      <c r="B269" s="451">
        <v>10</v>
      </c>
      <c r="C269" s="155">
        <v>0</v>
      </c>
      <c r="D269" s="68">
        <v>0.1010810810810811</v>
      </c>
      <c r="E269" s="27">
        <v>0</v>
      </c>
      <c r="F269" s="30">
        <v>0</v>
      </c>
      <c r="G269" s="2710">
        <v>0</v>
      </c>
      <c r="H269" s="30">
        <v>0</v>
      </c>
      <c r="I269" s="28">
        <v>0</v>
      </c>
      <c r="J269" s="129">
        <v>0</v>
      </c>
      <c r="K269" s="28">
        <v>0</v>
      </c>
      <c r="L269" s="146">
        <v>3</v>
      </c>
      <c r="M269" s="571">
        <v>6</v>
      </c>
      <c r="N269" s="2302">
        <v>1</v>
      </c>
      <c r="O269" s="2507" t="s">
        <v>332</v>
      </c>
      <c r="P269" s="182">
        <f>SUM(D269:I269,K269)</f>
        <v>0.1010810810810811</v>
      </c>
      <c r="Q269" s="1087"/>
      <c r="R269" s="3207"/>
      <c r="S269" s="3207"/>
      <c r="T269" s="129">
        <f>C269</f>
        <v>0</v>
      </c>
      <c r="U269" s="68">
        <f t="shared" ref="U269:Z271" si="500">D269*$K$3/$AB$3</f>
        <v>0.21371428571428575</v>
      </c>
      <c r="V269" s="27">
        <f t="shared" si="500"/>
        <v>0</v>
      </c>
      <c r="W269" s="363">
        <f t="shared" si="500"/>
        <v>0</v>
      </c>
      <c r="X269" s="363">
        <f t="shared" si="500"/>
        <v>0</v>
      </c>
      <c r="Y269" s="363">
        <f t="shared" si="500"/>
        <v>0</v>
      </c>
      <c r="Z269" s="28">
        <f t="shared" si="500"/>
        <v>0</v>
      </c>
      <c r="AA269" s="129">
        <f>J269</f>
        <v>0</v>
      </c>
      <c r="AB269" s="28">
        <f>K269*$K$3/$AB$3</f>
        <v>0</v>
      </c>
      <c r="AC269" s="364">
        <f>L269</f>
        <v>3</v>
      </c>
      <c r="AD269" s="182">
        <f>SUM(U269:Z269,AB269)</f>
        <v>0.21371428571428575</v>
      </c>
      <c r="AE269" s="1087"/>
      <c r="AF269" s="1166" t="s">
        <v>651</v>
      </c>
      <c r="AG269" s="2526"/>
      <c r="AH269" s="1343">
        <f>1-SUM(AI269:AN269)</f>
        <v>1</v>
      </c>
      <c r="AI269" s="1344">
        <f t="shared" ref="AI269:AM271" si="501">E269/$P269</f>
        <v>0</v>
      </c>
      <c r="AJ269" s="1345">
        <f t="shared" si="501"/>
        <v>0</v>
      </c>
      <c r="AK269" s="1345">
        <f t="shared" si="501"/>
        <v>0</v>
      </c>
      <c r="AL269" s="1345">
        <f t="shared" si="501"/>
        <v>0</v>
      </c>
      <c r="AM269" s="1346">
        <f t="shared" si="501"/>
        <v>0</v>
      </c>
      <c r="AN269" s="1347">
        <f>K269/$P269</f>
        <v>0</v>
      </c>
      <c r="AO269" s="1084"/>
      <c r="AZ269" s="398"/>
      <c r="BA269" s="398"/>
    </row>
    <row r="270" spans="1:53" ht="15" hidden="1" customHeight="1" outlineLevel="2" x14ac:dyDescent="0.2">
      <c r="A270" s="460" t="s">
        <v>652</v>
      </c>
      <c r="B270" s="451">
        <v>10</v>
      </c>
      <c r="C270" s="155">
        <v>0.42</v>
      </c>
      <c r="D270" s="68">
        <v>2.1621621621621623E-2</v>
      </c>
      <c r="E270" s="27">
        <v>0</v>
      </c>
      <c r="F270" s="30">
        <v>7.0270270270270272E-3</v>
      </c>
      <c r="G270" s="2696">
        <v>0</v>
      </c>
      <c r="H270" s="1175">
        <v>5.5383300781249988E-3</v>
      </c>
      <c r="I270" s="28">
        <v>6.9229125976562485E-4</v>
      </c>
      <c r="J270" s="129">
        <v>0.49999999999999989</v>
      </c>
      <c r="K270" s="28">
        <v>6.9229125976562485E-4</v>
      </c>
      <c r="L270" s="146">
        <v>3</v>
      </c>
      <c r="M270" s="571">
        <v>6</v>
      </c>
      <c r="N270" s="2302">
        <v>1</v>
      </c>
      <c r="O270" s="2507" t="s">
        <v>332</v>
      </c>
      <c r="P270" s="182">
        <f>SUM(D270:I270,K270)</f>
        <v>3.5571561246304895E-2</v>
      </c>
      <c r="Q270" s="1087"/>
      <c r="R270" s="3207"/>
      <c r="S270" s="3207"/>
      <c r="T270" s="129">
        <f>C270</f>
        <v>0.42</v>
      </c>
      <c r="U270" s="68">
        <f t="shared" si="500"/>
        <v>4.5714285714285714E-2</v>
      </c>
      <c r="V270" s="27">
        <f t="shared" si="500"/>
        <v>0</v>
      </c>
      <c r="W270" s="363">
        <f t="shared" si="500"/>
        <v>1.4857142857142857E-2</v>
      </c>
      <c r="X270" s="363">
        <f t="shared" si="500"/>
        <v>0</v>
      </c>
      <c r="Y270" s="363">
        <f t="shared" si="500"/>
        <v>1.1709612165178568E-2</v>
      </c>
      <c r="Z270" s="28">
        <f t="shared" si="500"/>
        <v>1.463701520647321E-3</v>
      </c>
      <c r="AA270" s="129">
        <f>J270</f>
        <v>0.49999999999999989</v>
      </c>
      <c r="AB270" s="28">
        <f>K270*$K$3/$AB$3</f>
        <v>1.463701520647321E-3</v>
      </c>
      <c r="AC270" s="364">
        <f>L270</f>
        <v>3</v>
      </c>
      <c r="AD270" s="182">
        <f>SUM(U270:Z270,AB270)</f>
        <v>7.5208443777901771E-2</v>
      </c>
      <c r="AE270" s="1087"/>
      <c r="AF270" s="1166" t="s">
        <v>653</v>
      </c>
      <c r="AG270" s="2526"/>
      <c r="AH270" s="1343">
        <f>1-SUM(AI270:AN270)</f>
        <v>0.60783448530439832</v>
      </c>
      <c r="AI270" s="1344">
        <f t="shared" si="501"/>
        <v>0</v>
      </c>
      <c r="AJ270" s="1345">
        <f t="shared" si="501"/>
        <v>0.1975462077239295</v>
      </c>
      <c r="AK270" s="1345">
        <f t="shared" si="501"/>
        <v>0</v>
      </c>
      <c r="AL270" s="1345">
        <f t="shared" si="501"/>
        <v>0.15569544557733772</v>
      </c>
      <c r="AM270" s="1346">
        <f t="shared" si="501"/>
        <v>1.9461930697167215E-2</v>
      </c>
      <c r="AN270" s="1347">
        <f>K270/$P270</f>
        <v>1.9461930697167215E-2</v>
      </c>
      <c r="AO270" s="1084"/>
      <c r="AZ270" s="398"/>
      <c r="BA270" s="398"/>
    </row>
    <row r="271" spans="1:53" ht="15" hidden="1" customHeight="1" outlineLevel="2" x14ac:dyDescent="0.2">
      <c r="A271" s="460" t="s">
        <v>654</v>
      </c>
      <c r="B271" s="451">
        <v>10</v>
      </c>
      <c r="C271" s="155">
        <v>0.76300000000000001</v>
      </c>
      <c r="D271" s="68">
        <v>2.1621621621621623E-2</v>
      </c>
      <c r="E271" s="27">
        <v>0</v>
      </c>
      <c r="F271" s="30">
        <v>7.0270270270270272E-3</v>
      </c>
      <c r="G271" s="2696">
        <v>0</v>
      </c>
      <c r="H271" s="1175">
        <v>5.5383300781250006E-2</v>
      </c>
      <c r="I271" s="28">
        <v>6.9229125976562507E-3</v>
      </c>
      <c r="J271" s="129">
        <v>5</v>
      </c>
      <c r="K271" s="28">
        <v>6.9229125976562507E-3</v>
      </c>
      <c r="L271" s="146">
        <v>3</v>
      </c>
      <c r="M271" s="571">
        <v>6</v>
      </c>
      <c r="N271" s="2302">
        <v>1</v>
      </c>
      <c r="O271" s="2507" t="s">
        <v>332</v>
      </c>
      <c r="P271" s="182">
        <f>SUM(D271:I271,K271)</f>
        <v>9.7877774625211147E-2</v>
      </c>
      <c r="Q271" s="1087"/>
      <c r="R271" s="3207"/>
      <c r="S271" s="3207"/>
      <c r="T271" s="129">
        <f>C271</f>
        <v>0.76300000000000001</v>
      </c>
      <c r="U271" s="68">
        <f t="shared" si="500"/>
        <v>4.5714285714285714E-2</v>
      </c>
      <c r="V271" s="27">
        <f t="shared" si="500"/>
        <v>0</v>
      </c>
      <c r="W271" s="363">
        <f t="shared" si="500"/>
        <v>1.4857142857142857E-2</v>
      </c>
      <c r="X271" s="363">
        <f t="shared" si="500"/>
        <v>0</v>
      </c>
      <c r="Y271" s="363">
        <f t="shared" si="500"/>
        <v>0.11709612165178572</v>
      </c>
      <c r="Z271" s="28">
        <f t="shared" si="500"/>
        <v>1.4637015206473215E-2</v>
      </c>
      <c r="AA271" s="129">
        <f>J271</f>
        <v>5</v>
      </c>
      <c r="AB271" s="28">
        <f>K271*$K$3/$AB$3</f>
        <v>1.4637015206473215E-2</v>
      </c>
      <c r="AC271" s="364">
        <f>L271</f>
        <v>3</v>
      </c>
      <c r="AD271" s="182">
        <f>SUM(U271:Z271,AB271)</f>
        <v>0.20694158063616069</v>
      </c>
      <c r="AE271" s="1087"/>
      <c r="AF271" s="1166" t="s">
        <v>655</v>
      </c>
      <c r="AG271" s="2526"/>
      <c r="AH271" s="1343">
        <f>1-SUM(AI271:AN271)</f>
        <v>0.22090430339690581</v>
      </c>
      <c r="AI271" s="1344">
        <f t="shared" si="501"/>
        <v>0</v>
      </c>
      <c r="AJ271" s="1345">
        <f t="shared" si="501"/>
        <v>7.1793898603994419E-2</v>
      </c>
      <c r="AK271" s="1345">
        <f t="shared" si="501"/>
        <v>0</v>
      </c>
      <c r="AL271" s="1345">
        <f t="shared" si="501"/>
        <v>0.56584143839927981</v>
      </c>
      <c r="AM271" s="1346">
        <f t="shared" si="501"/>
        <v>7.0730179799909976E-2</v>
      </c>
      <c r="AN271" s="1347">
        <f>K271/$P271</f>
        <v>7.0730179799909976E-2</v>
      </c>
      <c r="AO271" s="1084"/>
      <c r="AZ271" s="398"/>
      <c r="BA271" s="398"/>
    </row>
    <row r="272" spans="1:53" ht="15" hidden="1" customHeight="1" outlineLevel="1" collapsed="1" x14ac:dyDescent="0.2">
      <c r="A272" s="457" t="s">
        <v>656</v>
      </c>
      <c r="B272" s="450" t="str">
        <f>B$6</f>
        <v>Trips</v>
      </c>
      <c r="C272" s="172" t="s">
        <v>308</v>
      </c>
      <c r="D272" s="173" t="s">
        <v>303</v>
      </c>
      <c r="E272" s="173" t="s">
        <v>9</v>
      </c>
      <c r="F272" s="173" t="s">
        <v>304</v>
      </c>
      <c r="G272" s="2711" t="s">
        <v>320</v>
      </c>
      <c r="H272" s="173" t="s">
        <v>312</v>
      </c>
      <c r="I272" s="173" t="s">
        <v>330</v>
      </c>
      <c r="J272" s="173" t="s">
        <v>308</v>
      </c>
      <c r="K272" s="173" t="s">
        <v>309</v>
      </c>
      <c r="L272" s="178" t="s">
        <v>299</v>
      </c>
      <c r="M272" s="572" t="str">
        <f>M$6</f>
        <v>DPM/c</v>
      </c>
      <c r="N272" s="572" t="str">
        <f>N$6</f>
        <v>MT</v>
      </c>
      <c r="O272" s="572" t="str">
        <f>O$6</f>
        <v xml:space="preserve">WF </v>
      </c>
      <c r="P272" s="181" t="s">
        <v>273</v>
      </c>
      <c r="Q272" s="2583"/>
      <c r="R272" s="3215"/>
      <c r="S272" s="3215"/>
      <c r="T272" s="1270" t="s">
        <v>308</v>
      </c>
      <c r="U272" s="173" t="s">
        <v>303</v>
      </c>
      <c r="V272" s="173" t="str">
        <f>V$6</f>
        <v xml:space="preserve">WTS </v>
      </c>
      <c r="W272" s="173" t="str">
        <f>+W$6</f>
        <v>Web</v>
      </c>
      <c r="X272" s="173" t="s">
        <v>320</v>
      </c>
      <c r="Y272" s="173" t="s">
        <v>312</v>
      </c>
      <c r="Z272" s="173" t="s">
        <v>330</v>
      </c>
      <c r="AA272" s="173" t="s">
        <v>308</v>
      </c>
      <c r="AB272" s="173" t="s">
        <v>309</v>
      </c>
      <c r="AC272" s="178" t="s">
        <v>299</v>
      </c>
      <c r="AD272" s="181" t="s">
        <v>273</v>
      </c>
      <c r="AE272" s="2583"/>
      <c r="AF272" s="1168" t="str">
        <f>A272</f>
        <v>ArcGIS Desktop 9.3.0  =========</v>
      </c>
      <c r="AG272" s="2526"/>
      <c r="AH272" s="1339" t="str">
        <f t="shared" ref="AH272:AM272" si="502">D272</f>
        <v>Client</v>
      </c>
      <c r="AI272" s="1339" t="str">
        <f t="shared" si="502"/>
        <v xml:space="preserve">WTS </v>
      </c>
      <c r="AJ272" s="1339" t="str">
        <f t="shared" si="502"/>
        <v>Web</v>
      </c>
      <c r="AK272" s="1339" t="str">
        <f t="shared" si="502"/>
        <v>ADF</v>
      </c>
      <c r="AL272" s="1340" t="str">
        <f t="shared" si="502"/>
        <v>SOC</v>
      </c>
      <c r="AM272" s="1341" t="str">
        <f t="shared" si="502"/>
        <v>SDE</v>
      </c>
      <c r="AN272" s="1342" t="str">
        <f>K272</f>
        <v>DBMS</v>
      </c>
      <c r="AO272" s="1084"/>
      <c r="AZ272" s="398"/>
      <c r="BA272" s="398"/>
    </row>
    <row r="273" spans="1:53" ht="15" hidden="1" customHeight="1" outlineLevel="2" x14ac:dyDescent="0.2">
      <c r="A273" s="458" t="s">
        <v>657</v>
      </c>
      <c r="B273" s="451">
        <v>100</v>
      </c>
      <c r="C273" s="155">
        <v>5</v>
      </c>
      <c r="D273" s="68">
        <v>0.10270270270270271</v>
      </c>
      <c r="E273" s="27">
        <v>0</v>
      </c>
      <c r="F273" s="29">
        <v>0</v>
      </c>
      <c r="G273" s="2695">
        <v>0</v>
      </c>
      <c r="H273" s="29">
        <v>0</v>
      </c>
      <c r="I273" s="28">
        <v>1.2837837837837839E-2</v>
      </c>
      <c r="J273" s="129">
        <v>5</v>
      </c>
      <c r="K273" s="28">
        <v>1.2837837837837839E-2</v>
      </c>
      <c r="L273" s="146">
        <v>3</v>
      </c>
      <c r="M273" s="571">
        <v>10</v>
      </c>
      <c r="N273" s="2302">
        <v>1</v>
      </c>
      <c r="O273" s="2507" t="s">
        <v>336</v>
      </c>
      <c r="P273" s="182">
        <f t="shared" ref="P273:P278" si="503">SUM(D273:I273,K273)</f>
        <v>0.1283783783783784</v>
      </c>
      <c r="Q273" s="1087"/>
      <c r="R273" s="3207"/>
      <c r="S273" s="3207"/>
      <c r="T273" s="129">
        <f t="shared" ref="T273:T278" si="504">C273</f>
        <v>5</v>
      </c>
      <c r="U273" s="68">
        <f t="shared" ref="U273:Z278" si="505">D273*$K$3/$AB$3</f>
        <v>0.21714285714285717</v>
      </c>
      <c r="V273" s="27">
        <f t="shared" si="505"/>
        <v>0</v>
      </c>
      <c r="W273" s="363">
        <f t="shared" si="505"/>
        <v>0</v>
      </c>
      <c r="X273" s="363">
        <f t="shared" si="505"/>
        <v>0</v>
      </c>
      <c r="Y273" s="363">
        <f t="shared" si="505"/>
        <v>0</v>
      </c>
      <c r="Z273" s="28">
        <f t="shared" si="505"/>
        <v>2.7142857142857146E-2</v>
      </c>
      <c r="AA273" s="129">
        <f t="shared" ref="AA273:AA278" si="506">J273</f>
        <v>5</v>
      </c>
      <c r="AB273" s="28">
        <f t="shared" ref="AB273:AB278" si="507">K273*$K$3/$AB$3</f>
        <v>2.7142857142857146E-2</v>
      </c>
      <c r="AC273" s="364">
        <f t="shared" ref="AC273:AC278" si="508">L273</f>
        <v>3</v>
      </c>
      <c r="AD273" s="182">
        <f t="shared" ref="AD273:AD278" si="509">SUM(U273:Z273,AB273)</f>
        <v>0.27142857142857146</v>
      </c>
      <c r="AE273" s="1087"/>
      <c r="AF273" s="1167" t="s">
        <v>657</v>
      </c>
      <c r="AG273" s="2526"/>
      <c r="AH273" s="1343">
        <f t="shared" ref="AH273:AH278" si="510">1-SUM(AI273:AN273)</f>
        <v>0.8</v>
      </c>
      <c r="AI273" s="1344">
        <f t="shared" ref="AI273:AM278" si="511">E273/$P273</f>
        <v>0</v>
      </c>
      <c r="AJ273" s="1345">
        <f t="shared" si="511"/>
        <v>0</v>
      </c>
      <c r="AK273" s="1345">
        <f t="shared" si="511"/>
        <v>0</v>
      </c>
      <c r="AL273" s="1345">
        <f t="shared" si="511"/>
        <v>0</v>
      </c>
      <c r="AM273" s="1346">
        <f t="shared" si="511"/>
        <v>9.9999999999999992E-2</v>
      </c>
      <c r="AN273" s="1347">
        <f t="shared" ref="AN273:AN278" si="512">K273/$P273</f>
        <v>9.9999999999999992E-2</v>
      </c>
      <c r="AO273" s="1084"/>
      <c r="AZ273" s="398"/>
      <c r="BA273" s="398"/>
    </row>
    <row r="274" spans="1:53" ht="15" hidden="1" customHeight="1" outlineLevel="2" x14ac:dyDescent="0.2">
      <c r="A274" s="458" t="s">
        <v>658</v>
      </c>
      <c r="B274" s="451">
        <v>200</v>
      </c>
      <c r="C274" s="155">
        <v>10</v>
      </c>
      <c r="D274" s="68">
        <v>0.20540540540540542</v>
      </c>
      <c r="E274" s="27">
        <v>0</v>
      </c>
      <c r="F274" s="29">
        <v>0</v>
      </c>
      <c r="G274" s="2695">
        <v>0</v>
      </c>
      <c r="H274" s="29">
        <v>0</v>
      </c>
      <c r="I274" s="28">
        <v>2.5675675675675677E-2</v>
      </c>
      <c r="J274" s="129">
        <v>10</v>
      </c>
      <c r="K274" s="28">
        <v>2.5675675675675677E-2</v>
      </c>
      <c r="L274" s="146">
        <v>3</v>
      </c>
      <c r="M274" s="571">
        <v>10</v>
      </c>
      <c r="N274" s="2302">
        <v>1</v>
      </c>
      <c r="O274" s="2507" t="s">
        <v>336</v>
      </c>
      <c r="P274" s="182">
        <f t="shared" si="503"/>
        <v>0.2567567567567568</v>
      </c>
      <c r="Q274" s="1087"/>
      <c r="R274" s="3207"/>
      <c r="S274" s="3207"/>
      <c r="T274" s="129">
        <f t="shared" si="504"/>
        <v>10</v>
      </c>
      <c r="U274" s="68">
        <f t="shared" si="505"/>
        <v>0.43428571428571433</v>
      </c>
      <c r="V274" s="27">
        <f t="shared" si="505"/>
        <v>0</v>
      </c>
      <c r="W274" s="363">
        <f t="shared" si="505"/>
        <v>0</v>
      </c>
      <c r="X274" s="363">
        <f t="shared" si="505"/>
        <v>0</v>
      </c>
      <c r="Y274" s="363">
        <f t="shared" si="505"/>
        <v>0</v>
      </c>
      <c r="Z274" s="28">
        <f t="shared" si="505"/>
        <v>5.4285714285714291E-2</v>
      </c>
      <c r="AA274" s="129">
        <f t="shared" si="506"/>
        <v>10</v>
      </c>
      <c r="AB274" s="28">
        <f t="shared" si="507"/>
        <v>5.4285714285714291E-2</v>
      </c>
      <c r="AC274" s="364">
        <f t="shared" si="508"/>
        <v>3</v>
      </c>
      <c r="AD274" s="182">
        <f t="shared" si="509"/>
        <v>0.54285714285714293</v>
      </c>
      <c r="AE274" s="1087"/>
      <c r="AF274" s="1167" t="s">
        <v>658</v>
      </c>
      <c r="AG274" s="2526"/>
      <c r="AH274" s="1343">
        <f t="shared" si="510"/>
        <v>0.8</v>
      </c>
      <c r="AI274" s="1344">
        <f t="shared" si="511"/>
        <v>0</v>
      </c>
      <c r="AJ274" s="1345">
        <f t="shared" si="511"/>
        <v>0</v>
      </c>
      <c r="AK274" s="1345">
        <f t="shared" si="511"/>
        <v>0</v>
      </c>
      <c r="AL274" s="1345">
        <f t="shared" si="511"/>
        <v>0</v>
      </c>
      <c r="AM274" s="1346">
        <f t="shared" si="511"/>
        <v>9.9999999999999992E-2</v>
      </c>
      <c r="AN274" s="1347">
        <f t="shared" si="512"/>
        <v>9.9999999999999992E-2</v>
      </c>
      <c r="AO274" s="1084"/>
      <c r="AZ274" s="398"/>
      <c r="BA274" s="398"/>
    </row>
    <row r="275" spans="1:53" ht="15" hidden="1" customHeight="1" outlineLevel="2" x14ac:dyDescent="0.2">
      <c r="A275" s="458" t="s">
        <v>659</v>
      </c>
      <c r="B275" s="451">
        <v>10</v>
      </c>
      <c r="C275" s="155">
        <v>0.28000000000000003</v>
      </c>
      <c r="D275" s="68">
        <v>2.1621621621621623E-2</v>
      </c>
      <c r="E275" s="27">
        <v>0.10270270270270271</v>
      </c>
      <c r="F275" s="29">
        <v>0</v>
      </c>
      <c r="G275" s="2695">
        <v>0</v>
      </c>
      <c r="H275" s="29">
        <v>0</v>
      </c>
      <c r="I275" s="28">
        <v>1.2837837837837839E-2</v>
      </c>
      <c r="J275" s="129">
        <v>5</v>
      </c>
      <c r="K275" s="28">
        <v>1.2837837837837839E-2</v>
      </c>
      <c r="L275" s="146">
        <v>3</v>
      </c>
      <c r="M275" s="571">
        <v>10</v>
      </c>
      <c r="N275" s="2302">
        <v>1</v>
      </c>
      <c r="O275" s="2507" t="s">
        <v>336</v>
      </c>
      <c r="P275" s="182">
        <f t="shared" si="503"/>
        <v>0.15000000000000002</v>
      </c>
      <c r="Q275" s="1087"/>
      <c r="R275" s="3207"/>
      <c r="S275" s="3207"/>
      <c r="T275" s="129">
        <f t="shared" si="504"/>
        <v>0.28000000000000003</v>
      </c>
      <c r="U275" s="68">
        <f t="shared" si="505"/>
        <v>4.5714285714285714E-2</v>
      </c>
      <c r="V275" s="27">
        <f t="shared" si="505"/>
        <v>0.21714285714285717</v>
      </c>
      <c r="W275" s="363">
        <f t="shared" si="505"/>
        <v>0</v>
      </c>
      <c r="X275" s="363">
        <f t="shared" si="505"/>
        <v>0</v>
      </c>
      <c r="Y275" s="363">
        <f t="shared" si="505"/>
        <v>0</v>
      </c>
      <c r="Z275" s="28">
        <f t="shared" si="505"/>
        <v>2.7142857142857146E-2</v>
      </c>
      <c r="AA275" s="129">
        <f t="shared" si="506"/>
        <v>5</v>
      </c>
      <c r="AB275" s="28">
        <f t="shared" si="507"/>
        <v>2.7142857142857146E-2</v>
      </c>
      <c r="AC275" s="364">
        <f t="shared" si="508"/>
        <v>3</v>
      </c>
      <c r="AD275" s="182">
        <f t="shared" si="509"/>
        <v>0.31714285714285717</v>
      </c>
      <c r="AE275" s="1087"/>
      <c r="AF275" s="1167" t="s">
        <v>659</v>
      </c>
      <c r="AG275" s="2526"/>
      <c r="AH275" s="1343">
        <f t="shared" si="510"/>
        <v>0.14414414414414423</v>
      </c>
      <c r="AI275" s="1344">
        <f t="shared" si="511"/>
        <v>0.68468468468468457</v>
      </c>
      <c r="AJ275" s="1345">
        <f t="shared" si="511"/>
        <v>0</v>
      </c>
      <c r="AK275" s="1345">
        <f t="shared" si="511"/>
        <v>0</v>
      </c>
      <c r="AL275" s="1345">
        <f t="shared" si="511"/>
        <v>0</v>
      </c>
      <c r="AM275" s="1346">
        <f t="shared" si="511"/>
        <v>8.5585585585585572E-2</v>
      </c>
      <c r="AN275" s="1347">
        <f t="shared" si="512"/>
        <v>8.5585585585585572E-2</v>
      </c>
      <c r="AO275" s="1084"/>
      <c r="AZ275" s="398"/>
      <c r="BA275" s="398"/>
    </row>
    <row r="276" spans="1:53" ht="15" hidden="1" customHeight="1" outlineLevel="2" x14ac:dyDescent="0.2">
      <c r="A276" s="458" t="s">
        <v>660</v>
      </c>
      <c r="B276" s="451">
        <v>10</v>
      </c>
      <c r="C276" s="155">
        <v>0.28000000000000003</v>
      </c>
      <c r="D276" s="68">
        <v>2.1621621621621623E-2</v>
      </c>
      <c r="E276" s="27">
        <v>0.20540540540540542</v>
      </c>
      <c r="F276" s="29">
        <v>0</v>
      </c>
      <c r="G276" s="2695">
        <v>0</v>
      </c>
      <c r="H276" s="29">
        <v>0</v>
      </c>
      <c r="I276" s="28">
        <v>2.5675675675675677E-2</v>
      </c>
      <c r="J276" s="129">
        <v>10</v>
      </c>
      <c r="K276" s="28">
        <v>2.5675675675675677E-2</v>
      </c>
      <c r="L276" s="146">
        <v>3</v>
      </c>
      <c r="M276" s="571">
        <v>10</v>
      </c>
      <c r="N276" s="2302">
        <v>1</v>
      </c>
      <c r="O276" s="2507" t="s">
        <v>336</v>
      </c>
      <c r="P276" s="182">
        <f t="shared" si="503"/>
        <v>0.27837837837837842</v>
      </c>
      <c r="Q276" s="1087"/>
      <c r="R276" s="3207"/>
      <c r="S276" s="3207"/>
      <c r="T276" s="129">
        <f t="shared" si="504"/>
        <v>0.28000000000000003</v>
      </c>
      <c r="U276" s="68">
        <f t="shared" si="505"/>
        <v>4.5714285714285714E-2</v>
      </c>
      <c r="V276" s="27">
        <f t="shared" si="505"/>
        <v>0.43428571428571433</v>
      </c>
      <c r="W276" s="363">
        <f t="shared" si="505"/>
        <v>0</v>
      </c>
      <c r="X276" s="363">
        <f t="shared" si="505"/>
        <v>0</v>
      </c>
      <c r="Y276" s="363">
        <f t="shared" si="505"/>
        <v>0</v>
      </c>
      <c r="Z276" s="28">
        <f t="shared" si="505"/>
        <v>5.4285714285714291E-2</v>
      </c>
      <c r="AA276" s="129">
        <f t="shared" si="506"/>
        <v>10</v>
      </c>
      <c r="AB276" s="28">
        <f t="shared" si="507"/>
        <v>5.4285714285714291E-2</v>
      </c>
      <c r="AC276" s="364">
        <f t="shared" si="508"/>
        <v>3</v>
      </c>
      <c r="AD276" s="182">
        <f t="shared" si="509"/>
        <v>0.58857142857142863</v>
      </c>
      <c r="AE276" s="1087"/>
      <c r="AF276" s="1167" t="s">
        <v>660</v>
      </c>
      <c r="AG276" s="2526"/>
      <c r="AH276" s="1343">
        <f t="shared" si="510"/>
        <v>7.7669902912621547E-2</v>
      </c>
      <c r="AI276" s="1344">
        <f t="shared" si="511"/>
        <v>0.73786407766990281</v>
      </c>
      <c r="AJ276" s="1345">
        <f t="shared" si="511"/>
        <v>0</v>
      </c>
      <c r="AK276" s="1345">
        <f t="shared" si="511"/>
        <v>0</v>
      </c>
      <c r="AL276" s="1345">
        <f t="shared" si="511"/>
        <v>0</v>
      </c>
      <c r="AM276" s="1346">
        <f t="shared" si="511"/>
        <v>9.2233009708737851E-2</v>
      </c>
      <c r="AN276" s="1347">
        <f t="shared" si="512"/>
        <v>9.2233009708737851E-2</v>
      </c>
      <c r="AO276" s="1084"/>
      <c r="AZ276" s="398"/>
      <c r="BA276" s="398"/>
    </row>
    <row r="277" spans="1:53" ht="15" hidden="1" customHeight="1" outlineLevel="2" x14ac:dyDescent="0.2">
      <c r="A277" s="458" t="s">
        <v>661</v>
      </c>
      <c r="B277" s="451">
        <v>10</v>
      </c>
      <c r="C277" s="155">
        <v>1</v>
      </c>
      <c r="D277" s="68">
        <v>2.1621621621621623E-2</v>
      </c>
      <c r="E277" s="27">
        <v>0.10270270270270271</v>
      </c>
      <c r="F277" s="29">
        <v>0</v>
      </c>
      <c r="G277" s="2695">
        <v>0</v>
      </c>
      <c r="H277" s="29">
        <v>0</v>
      </c>
      <c r="I277" s="28">
        <v>1.2837837837837839E-2</v>
      </c>
      <c r="J277" s="129">
        <v>5</v>
      </c>
      <c r="K277" s="28">
        <v>1.2837837837837839E-2</v>
      </c>
      <c r="L277" s="146">
        <v>3</v>
      </c>
      <c r="M277" s="571">
        <v>10</v>
      </c>
      <c r="N277" s="2302">
        <v>1</v>
      </c>
      <c r="O277" s="2507" t="s">
        <v>336</v>
      </c>
      <c r="P277" s="182">
        <f t="shared" si="503"/>
        <v>0.15000000000000002</v>
      </c>
      <c r="Q277" s="1087"/>
      <c r="R277" s="3207"/>
      <c r="S277" s="3207"/>
      <c r="T277" s="129">
        <f t="shared" si="504"/>
        <v>1</v>
      </c>
      <c r="U277" s="68">
        <f t="shared" si="505"/>
        <v>4.5714285714285714E-2</v>
      </c>
      <c r="V277" s="27">
        <f t="shared" si="505"/>
        <v>0.21714285714285717</v>
      </c>
      <c r="W277" s="363">
        <f t="shared" si="505"/>
        <v>0</v>
      </c>
      <c r="X277" s="363">
        <f t="shared" si="505"/>
        <v>0</v>
      </c>
      <c r="Y277" s="363">
        <f t="shared" si="505"/>
        <v>0</v>
      </c>
      <c r="Z277" s="28">
        <f t="shared" si="505"/>
        <v>2.7142857142857146E-2</v>
      </c>
      <c r="AA277" s="129">
        <f t="shared" si="506"/>
        <v>5</v>
      </c>
      <c r="AB277" s="28">
        <f t="shared" si="507"/>
        <v>2.7142857142857146E-2</v>
      </c>
      <c r="AC277" s="364">
        <f t="shared" si="508"/>
        <v>3</v>
      </c>
      <c r="AD277" s="182">
        <f t="shared" si="509"/>
        <v>0.31714285714285717</v>
      </c>
      <c r="AE277" s="1087"/>
      <c r="AF277" s="1167" t="s">
        <v>661</v>
      </c>
      <c r="AG277" s="2526"/>
      <c r="AH277" s="1343">
        <f t="shared" si="510"/>
        <v>0.14414414414414423</v>
      </c>
      <c r="AI277" s="1344">
        <f t="shared" si="511"/>
        <v>0.68468468468468457</v>
      </c>
      <c r="AJ277" s="1345">
        <f t="shared" si="511"/>
        <v>0</v>
      </c>
      <c r="AK277" s="1345">
        <f t="shared" si="511"/>
        <v>0</v>
      </c>
      <c r="AL277" s="1345">
        <f t="shared" si="511"/>
        <v>0</v>
      </c>
      <c r="AM277" s="1346">
        <f t="shared" si="511"/>
        <v>8.5585585585585572E-2</v>
      </c>
      <c r="AN277" s="1347">
        <f t="shared" si="512"/>
        <v>8.5585585585585572E-2</v>
      </c>
      <c r="AO277" s="1084"/>
      <c r="AZ277" s="398"/>
      <c r="BA277" s="398"/>
    </row>
    <row r="278" spans="1:53" ht="15" hidden="1" customHeight="1" outlineLevel="2" x14ac:dyDescent="0.2">
      <c r="A278" s="458" t="s">
        <v>662</v>
      </c>
      <c r="B278" s="451">
        <v>10</v>
      </c>
      <c r="C278" s="155">
        <v>1</v>
      </c>
      <c r="D278" s="68">
        <v>2.1621621621621623E-2</v>
      </c>
      <c r="E278" s="27">
        <v>0.20540540540540542</v>
      </c>
      <c r="F278" s="29">
        <v>0</v>
      </c>
      <c r="G278" s="2695">
        <v>0</v>
      </c>
      <c r="H278" s="29">
        <v>0</v>
      </c>
      <c r="I278" s="28">
        <v>2.5675675675675677E-2</v>
      </c>
      <c r="J278" s="129">
        <v>10</v>
      </c>
      <c r="K278" s="28">
        <v>2.5675675675675677E-2</v>
      </c>
      <c r="L278" s="146">
        <v>3</v>
      </c>
      <c r="M278" s="571">
        <v>10</v>
      </c>
      <c r="N278" s="2302">
        <v>1</v>
      </c>
      <c r="O278" s="2507" t="s">
        <v>336</v>
      </c>
      <c r="P278" s="182">
        <f t="shared" si="503"/>
        <v>0.27837837837837842</v>
      </c>
      <c r="Q278" s="1087"/>
      <c r="R278" s="3207"/>
      <c r="S278" s="3207"/>
      <c r="T278" s="129">
        <f t="shared" si="504"/>
        <v>1</v>
      </c>
      <c r="U278" s="68">
        <f t="shared" si="505"/>
        <v>4.5714285714285714E-2</v>
      </c>
      <c r="V278" s="27">
        <f t="shared" si="505"/>
        <v>0.43428571428571433</v>
      </c>
      <c r="W278" s="363">
        <f t="shared" si="505"/>
        <v>0</v>
      </c>
      <c r="X278" s="363">
        <f t="shared" si="505"/>
        <v>0</v>
      </c>
      <c r="Y278" s="363">
        <f t="shared" si="505"/>
        <v>0</v>
      </c>
      <c r="Z278" s="28">
        <f t="shared" si="505"/>
        <v>5.4285714285714291E-2</v>
      </c>
      <c r="AA278" s="129">
        <f t="shared" si="506"/>
        <v>10</v>
      </c>
      <c r="AB278" s="28">
        <f t="shared" si="507"/>
        <v>5.4285714285714291E-2</v>
      </c>
      <c r="AC278" s="364">
        <f t="shared" si="508"/>
        <v>3</v>
      </c>
      <c r="AD278" s="182">
        <f t="shared" si="509"/>
        <v>0.58857142857142863</v>
      </c>
      <c r="AE278" s="1087"/>
      <c r="AF278" s="1167" t="s">
        <v>662</v>
      </c>
      <c r="AG278" s="2526"/>
      <c r="AH278" s="1343">
        <f t="shared" si="510"/>
        <v>7.7669902912621547E-2</v>
      </c>
      <c r="AI278" s="1344">
        <f t="shared" si="511"/>
        <v>0.73786407766990281</v>
      </c>
      <c r="AJ278" s="1345">
        <f t="shared" si="511"/>
        <v>0</v>
      </c>
      <c r="AK278" s="1345">
        <f t="shared" si="511"/>
        <v>0</v>
      </c>
      <c r="AL278" s="1345">
        <f t="shared" si="511"/>
        <v>0</v>
      </c>
      <c r="AM278" s="1346">
        <f t="shared" si="511"/>
        <v>9.2233009708737851E-2</v>
      </c>
      <c r="AN278" s="1347">
        <f t="shared" si="512"/>
        <v>9.2233009708737851E-2</v>
      </c>
      <c r="AO278" s="1084"/>
      <c r="AZ278" s="398"/>
      <c r="BA278" s="398"/>
    </row>
    <row r="279" spans="1:53" ht="15" hidden="1" customHeight="1" outlineLevel="1" collapsed="1" x14ac:dyDescent="0.2">
      <c r="A279" s="457" t="s">
        <v>663</v>
      </c>
      <c r="B279" s="450" t="str">
        <f>B$6</f>
        <v>Trips</v>
      </c>
      <c r="C279" s="172" t="s">
        <v>308</v>
      </c>
      <c r="D279" s="173" t="s">
        <v>303</v>
      </c>
      <c r="E279" s="173" t="s">
        <v>9</v>
      </c>
      <c r="F279" s="173" t="s">
        <v>304</v>
      </c>
      <c r="G279" s="2711" t="s">
        <v>320</v>
      </c>
      <c r="H279" s="173" t="s">
        <v>312</v>
      </c>
      <c r="I279" s="173" t="s">
        <v>330</v>
      </c>
      <c r="J279" s="173" t="s">
        <v>308</v>
      </c>
      <c r="K279" s="173" t="s">
        <v>309</v>
      </c>
      <c r="L279" s="178" t="s">
        <v>299</v>
      </c>
      <c r="M279" s="572" t="str">
        <f>M$6</f>
        <v>DPM/c</v>
      </c>
      <c r="N279" s="2301"/>
      <c r="O279" s="2506"/>
      <c r="P279" s="181" t="s">
        <v>273</v>
      </c>
      <c r="Q279" s="1087"/>
      <c r="R279" s="3207"/>
      <c r="S279" s="3207"/>
      <c r="T279" s="1270" t="s">
        <v>308</v>
      </c>
      <c r="U279" s="173" t="s">
        <v>303</v>
      </c>
      <c r="V279" s="173" t="str">
        <f>V$6</f>
        <v xml:space="preserve">WTS </v>
      </c>
      <c r="W279" s="173" t="str">
        <f>+W$6</f>
        <v>Web</v>
      </c>
      <c r="X279" s="173" t="str">
        <f>X272</f>
        <v>ADF</v>
      </c>
      <c r="Y279" s="173" t="s">
        <v>312</v>
      </c>
      <c r="Z279" s="173" t="s">
        <v>330</v>
      </c>
      <c r="AA279" s="173" t="s">
        <v>308</v>
      </c>
      <c r="AB279" s="173" t="s">
        <v>309</v>
      </c>
      <c r="AC279" s="178" t="s">
        <v>299</v>
      </c>
      <c r="AD279" s="181" t="s">
        <v>273</v>
      </c>
      <c r="AE279" s="1087"/>
      <c r="AF279" s="1168" t="str">
        <f>A279</f>
        <v>ArcGIS Server 9.3.0  =========</v>
      </c>
      <c r="AG279" s="2526"/>
      <c r="AH279" s="1339" t="str">
        <f t="shared" ref="AH279:AM279" si="513">D279</f>
        <v>Client</v>
      </c>
      <c r="AI279" s="1339" t="str">
        <f t="shared" si="513"/>
        <v xml:space="preserve">WTS </v>
      </c>
      <c r="AJ279" s="1339" t="str">
        <f t="shared" si="513"/>
        <v>Web</v>
      </c>
      <c r="AK279" s="1339" t="str">
        <f t="shared" si="513"/>
        <v>ADF</v>
      </c>
      <c r="AL279" s="1340" t="str">
        <f t="shared" si="513"/>
        <v>SOC</v>
      </c>
      <c r="AM279" s="1341" t="str">
        <f t="shared" si="513"/>
        <v>SDE</v>
      </c>
      <c r="AN279" s="1342" t="str">
        <f>K279</f>
        <v>DBMS</v>
      </c>
      <c r="AO279" s="1084"/>
      <c r="AZ279" s="398"/>
      <c r="BA279" s="398"/>
    </row>
    <row r="280" spans="1:53" ht="15" hidden="1" customHeight="1" outlineLevel="2" x14ac:dyDescent="0.2">
      <c r="A280" s="459" t="s">
        <v>664</v>
      </c>
      <c r="B280" s="451">
        <v>10</v>
      </c>
      <c r="C280" s="155">
        <v>1.6</v>
      </c>
      <c r="D280" s="68">
        <v>2.1621621621621623E-2</v>
      </c>
      <c r="E280" s="27">
        <v>0</v>
      </c>
      <c r="F280" s="121">
        <v>0</v>
      </c>
      <c r="G280" s="2712">
        <v>5.4810810810810809E-2</v>
      </c>
      <c r="H280" s="29">
        <v>9.1351351351351376E-2</v>
      </c>
      <c r="I280" s="28">
        <v>8.7837837837837843E-3</v>
      </c>
      <c r="J280" s="129">
        <v>5</v>
      </c>
      <c r="K280" s="28">
        <v>8.7837837837837843E-3</v>
      </c>
      <c r="L280" s="146">
        <v>3</v>
      </c>
      <c r="M280" s="571">
        <v>6</v>
      </c>
      <c r="N280" s="2302">
        <v>1</v>
      </c>
      <c r="O280" s="2507" t="s">
        <v>332</v>
      </c>
      <c r="P280" s="182">
        <f t="shared" ref="P280:P287" si="514">SUM(D280:I280,K280)</f>
        <v>0.18535135135135136</v>
      </c>
      <c r="Q280" s="1087"/>
      <c r="R280" s="3207"/>
      <c r="S280" s="3207"/>
      <c r="T280" s="129">
        <f t="shared" ref="T280:T287" si="515">C280</f>
        <v>1.6</v>
      </c>
      <c r="U280" s="68">
        <f t="shared" ref="U280:Z287" si="516">D280*$K$3/$AB$3</f>
        <v>4.5714285714285714E-2</v>
      </c>
      <c r="V280" s="27">
        <f t="shared" si="516"/>
        <v>0</v>
      </c>
      <c r="W280" s="363">
        <f t="shared" si="516"/>
        <v>0</v>
      </c>
      <c r="X280" s="363">
        <f t="shared" si="516"/>
        <v>0.11588571428571429</v>
      </c>
      <c r="Y280" s="363">
        <f t="shared" si="516"/>
        <v>0.1931428571428572</v>
      </c>
      <c r="Z280" s="28">
        <f t="shared" si="516"/>
        <v>1.8571428571428572E-2</v>
      </c>
      <c r="AA280" s="129">
        <f t="shared" ref="AA280:AA287" si="517">J280</f>
        <v>5</v>
      </c>
      <c r="AB280" s="28">
        <f t="shared" ref="AB280:AB287" si="518">K280*$K$3/$AB$3</f>
        <v>1.8571428571428572E-2</v>
      </c>
      <c r="AC280" s="364">
        <f t="shared" ref="AC280:AC287" si="519">L280</f>
        <v>3</v>
      </c>
      <c r="AD280" s="182">
        <f t="shared" ref="AD280:AD287" si="520">SUM(U280:Z280,AB280)</f>
        <v>0.39188571428571434</v>
      </c>
      <c r="AE280" s="1087"/>
      <c r="AF280" s="1167" t="s">
        <v>664</v>
      </c>
      <c r="AG280" s="2526"/>
      <c r="AH280" s="1343">
        <f t="shared" ref="AH280:AH285" si="521">1-SUM(AI280:AN280)</f>
        <v>0.11665208515602221</v>
      </c>
      <c r="AI280" s="1344">
        <f t="shared" ref="AI280:AM287" si="522">E280/$P280</f>
        <v>0</v>
      </c>
      <c r="AJ280" s="1345">
        <f t="shared" si="522"/>
        <v>0</v>
      </c>
      <c r="AK280" s="1345">
        <f t="shared" si="522"/>
        <v>0.29571303587051617</v>
      </c>
      <c r="AL280" s="1345">
        <f t="shared" si="522"/>
        <v>0.49285505978419375</v>
      </c>
      <c r="AM280" s="1346">
        <f t="shared" si="522"/>
        <v>4.7389909594634003E-2</v>
      </c>
      <c r="AN280" s="1347">
        <f t="shared" ref="AN280:AN287" si="523">K280/$P280</f>
        <v>4.7389909594634003E-2</v>
      </c>
      <c r="AO280" s="1084"/>
      <c r="AZ280" s="398"/>
      <c r="BA280" s="398"/>
    </row>
    <row r="281" spans="1:53" ht="15" hidden="1" customHeight="1" outlineLevel="2" x14ac:dyDescent="0.2">
      <c r="A281" s="459" t="s">
        <v>665</v>
      </c>
      <c r="B281" s="451">
        <v>10</v>
      </c>
      <c r="C281" s="155">
        <v>2</v>
      </c>
      <c r="D281" s="68">
        <v>2.1621621621621623E-2</v>
      </c>
      <c r="E281" s="27">
        <v>0</v>
      </c>
      <c r="F281" s="121">
        <v>0</v>
      </c>
      <c r="G281" s="2712">
        <v>5.4594594594594592E-2</v>
      </c>
      <c r="H281" s="29">
        <v>0.14054054054054055</v>
      </c>
      <c r="I281" s="28">
        <v>1.7567567567567569E-2</v>
      </c>
      <c r="J281" s="129">
        <v>10</v>
      </c>
      <c r="K281" s="28">
        <v>1.7567567567567569E-2</v>
      </c>
      <c r="L281" s="146">
        <v>3</v>
      </c>
      <c r="M281" s="571">
        <v>6</v>
      </c>
      <c r="N281" s="2302">
        <v>1</v>
      </c>
      <c r="O281" s="2507" t="s">
        <v>332</v>
      </c>
      <c r="P281" s="182">
        <f t="shared" si="514"/>
        <v>0.25189189189189187</v>
      </c>
      <c r="Q281" s="1087"/>
      <c r="R281" s="3207"/>
      <c r="S281" s="3207"/>
      <c r="T281" s="129">
        <f t="shared" si="515"/>
        <v>2</v>
      </c>
      <c r="U281" s="68">
        <f t="shared" si="516"/>
        <v>4.5714285714285714E-2</v>
      </c>
      <c r="V281" s="27">
        <f t="shared" si="516"/>
        <v>0</v>
      </c>
      <c r="W281" s="363">
        <f t="shared" si="516"/>
        <v>0</v>
      </c>
      <c r="X281" s="363">
        <f t="shared" si="516"/>
        <v>0.11542857142857144</v>
      </c>
      <c r="Y281" s="363">
        <f t="shared" si="516"/>
        <v>0.29714285714285715</v>
      </c>
      <c r="Z281" s="28">
        <f t="shared" si="516"/>
        <v>3.7142857142857144E-2</v>
      </c>
      <c r="AA281" s="129">
        <f t="shared" si="517"/>
        <v>10</v>
      </c>
      <c r="AB281" s="28">
        <f t="shared" si="518"/>
        <v>3.7142857142857144E-2</v>
      </c>
      <c r="AC281" s="364">
        <f t="shared" si="519"/>
        <v>3</v>
      </c>
      <c r="AD281" s="182">
        <f t="shared" si="520"/>
        <v>0.53257142857142858</v>
      </c>
      <c r="AE281" s="1087"/>
      <c r="AF281" s="1167" t="s">
        <v>665</v>
      </c>
      <c r="AG281" s="2526"/>
      <c r="AH281" s="1343">
        <f t="shared" si="521"/>
        <v>8.5836909871244593E-2</v>
      </c>
      <c r="AI281" s="1344">
        <f t="shared" si="522"/>
        <v>0</v>
      </c>
      <c r="AJ281" s="1345">
        <f t="shared" si="522"/>
        <v>0</v>
      </c>
      <c r="AK281" s="1345">
        <f t="shared" si="522"/>
        <v>0.2167381974248927</v>
      </c>
      <c r="AL281" s="1345">
        <f t="shared" si="522"/>
        <v>0.55793991416309019</v>
      </c>
      <c r="AM281" s="1346">
        <f t="shared" si="522"/>
        <v>6.9742489270386274E-2</v>
      </c>
      <c r="AN281" s="1347">
        <f t="shared" si="523"/>
        <v>6.9742489270386274E-2</v>
      </c>
      <c r="AO281" s="1084"/>
      <c r="AZ281" s="398"/>
      <c r="BA281" s="398"/>
    </row>
    <row r="282" spans="1:53" ht="15" hidden="1" customHeight="1" outlineLevel="2" x14ac:dyDescent="0.2">
      <c r="A282" s="459" t="s">
        <v>666</v>
      </c>
      <c r="B282" s="451">
        <v>10</v>
      </c>
      <c r="C282" s="155">
        <v>1.6</v>
      </c>
      <c r="D282" s="68">
        <v>2.1621621621621623E-2</v>
      </c>
      <c r="E282" s="27">
        <v>0</v>
      </c>
      <c r="F282" s="2587">
        <v>1.8378378378378378E-2</v>
      </c>
      <c r="G282" s="2696">
        <v>0</v>
      </c>
      <c r="H282" s="29">
        <v>9.1351351351351376E-2</v>
      </c>
      <c r="I282" s="28">
        <v>8.7837837837837843E-3</v>
      </c>
      <c r="J282" s="129">
        <v>5</v>
      </c>
      <c r="K282" s="28">
        <v>8.7837837837837843E-3</v>
      </c>
      <c r="L282" s="146">
        <v>3</v>
      </c>
      <c r="M282" s="571">
        <v>6</v>
      </c>
      <c r="N282" s="2302">
        <v>1</v>
      </c>
      <c r="O282" s="2507" t="s">
        <v>332</v>
      </c>
      <c r="P282" s="182">
        <f t="shared" si="514"/>
        <v>0.14891891891891892</v>
      </c>
      <c r="Q282" s="1087"/>
      <c r="R282" s="3207"/>
      <c r="S282" s="3207"/>
      <c r="T282" s="129">
        <f t="shared" si="515"/>
        <v>1.6</v>
      </c>
      <c r="U282" s="68">
        <f t="shared" si="516"/>
        <v>4.5714285714285714E-2</v>
      </c>
      <c r="V282" s="27">
        <f t="shared" si="516"/>
        <v>0</v>
      </c>
      <c r="W282" s="363">
        <f t="shared" si="516"/>
        <v>3.8857142857142854E-2</v>
      </c>
      <c r="X282" s="363">
        <f t="shared" si="516"/>
        <v>0</v>
      </c>
      <c r="Y282" s="363">
        <f t="shared" si="516"/>
        <v>0.1931428571428572</v>
      </c>
      <c r="Z282" s="28">
        <f t="shared" si="516"/>
        <v>1.8571428571428572E-2</v>
      </c>
      <c r="AA282" s="129">
        <f t="shared" si="517"/>
        <v>5</v>
      </c>
      <c r="AB282" s="28">
        <f t="shared" si="518"/>
        <v>1.8571428571428572E-2</v>
      </c>
      <c r="AC282" s="364">
        <f t="shared" si="519"/>
        <v>3</v>
      </c>
      <c r="AD282" s="182">
        <f t="shared" si="520"/>
        <v>0.31485714285714295</v>
      </c>
      <c r="AE282" s="1087"/>
      <c r="AF282" s="1167" t="s">
        <v>666</v>
      </c>
      <c r="AG282" s="2526"/>
      <c r="AH282" s="1343">
        <f t="shared" si="521"/>
        <v>0.14519056261343</v>
      </c>
      <c r="AI282" s="1344">
        <f t="shared" si="522"/>
        <v>0</v>
      </c>
      <c r="AJ282" s="1345">
        <f t="shared" si="522"/>
        <v>0.1234119782214156</v>
      </c>
      <c r="AK282" s="1345">
        <f t="shared" si="522"/>
        <v>0</v>
      </c>
      <c r="AL282" s="1345">
        <f t="shared" si="522"/>
        <v>0.61343012704174238</v>
      </c>
      <c r="AM282" s="1346">
        <f t="shared" si="522"/>
        <v>5.8983666061705992E-2</v>
      </c>
      <c r="AN282" s="1347">
        <f t="shared" si="523"/>
        <v>5.8983666061705992E-2</v>
      </c>
      <c r="AO282" s="1084"/>
      <c r="AZ282" s="398"/>
      <c r="BA282" s="398"/>
    </row>
    <row r="283" spans="1:53" ht="15" hidden="1" customHeight="1" outlineLevel="2" x14ac:dyDescent="0.2">
      <c r="A283" s="459" t="s">
        <v>667</v>
      </c>
      <c r="B283" s="451">
        <v>10</v>
      </c>
      <c r="C283" s="155">
        <v>2</v>
      </c>
      <c r="D283" s="68">
        <v>2.1621621621621623E-2</v>
      </c>
      <c r="E283" s="27">
        <v>0</v>
      </c>
      <c r="F283" s="2587">
        <v>2.8108108108108109E-2</v>
      </c>
      <c r="G283" s="2696">
        <v>0</v>
      </c>
      <c r="H283" s="29">
        <v>0.14054054054054055</v>
      </c>
      <c r="I283" s="28">
        <v>1.7567567567567569E-2</v>
      </c>
      <c r="J283" s="129">
        <v>10</v>
      </c>
      <c r="K283" s="28">
        <v>1.7567567567567569E-2</v>
      </c>
      <c r="L283" s="146">
        <v>3</v>
      </c>
      <c r="M283" s="571">
        <v>6</v>
      </c>
      <c r="N283" s="2302">
        <v>1</v>
      </c>
      <c r="O283" s="2507" t="s">
        <v>332</v>
      </c>
      <c r="P283" s="182">
        <f t="shared" si="514"/>
        <v>0.22540540540540538</v>
      </c>
      <c r="Q283" s="1087"/>
      <c r="R283" s="3207"/>
      <c r="S283" s="3207"/>
      <c r="T283" s="129">
        <f t="shared" si="515"/>
        <v>2</v>
      </c>
      <c r="U283" s="68">
        <f t="shared" si="516"/>
        <v>4.5714285714285714E-2</v>
      </c>
      <c r="V283" s="27">
        <f t="shared" si="516"/>
        <v>0</v>
      </c>
      <c r="W283" s="363">
        <f t="shared" si="516"/>
        <v>5.9428571428571428E-2</v>
      </c>
      <c r="X283" s="363">
        <f t="shared" si="516"/>
        <v>0</v>
      </c>
      <c r="Y283" s="363">
        <f t="shared" si="516"/>
        <v>0.29714285714285715</v>
      </c>
      <c r="Z283" s="28">
        <f t="shared" si="516"/>
        <v>3.7142857142857144E-2</v>
      </c>
      <c r="AA283" s="129">
        <f t="shared" si="517"/>
        <v>10</v>
      </c>
      <c r="AB283" s="28">
        <f t="shared" si="518"/>
        <v>3.7142857142857144E-2</v>
      </c>
      <c r="AC283" s="364">
        <f t="shared" si="519"/>
        <v>3</v>
      </c>
      <c r="AD283" s="182">
        <f t="shared" si="520"/>
        <v>0.47657142857142859</v>
      </c>
      <c r="AE283" s="1087"/>
      <c r="AF283" s="1167" t="s">
        <v>667</v>
      </c>
      <c r="AG283" s="2526"/>
      <c r="AH283" s="1343">
        <f t="shared" si="521"/>
        <v>9.5923261390887138E-2</v>
      </c>
      <c r="AI283" s="1344">
        <f t="shared" si="522"/>
        <v>0</v>
      </c>
      <c r="AJ283" s="1345">
        <f t="shared" si="522"/>
        <v>0.12470023980815349</v>
      </c>
      <c r="AK283" s="1345">
        <f t="shared" si="522"/>
        <v>0</v>
      </c>
      <c r="AL283" s="1345">
        <f t="shared" si="522"/>
        <v>0.62350119904076751</v>
      </c>
      <c r="AM283" s="1346">
        <f t="shared" si="522"/>
        <v>7.7937649880095938E-2</v>
      </c>
      <c r="AN283" s="1347">
        <f t="shared" si="523"/>
        <v>7.7937649880095938E-2</v>
      </c>
      <c r="AO283" s="1084"/>
      <c r="AZ283" s="398"/>
      <c r="BA283" s="398"/>
    </row>
    <row r="284" spans="1:53" ht="15" hidden="1" customHeight="1" outlineLevel="2" x14ac:dyDescent="0.2">
      <c r="A284" s="459" t="s">
        <v>668</v>
      </c>
      <c r="B284" s="451">
        <v>10</v>
      </c>
      <c r="C284" s="155">
        <v>1.6</v>
      </c>
      <c r="D284" s="68">
        <v>2.1621621621621623E-2</v>
      </c>
      <c r="E284" s="60">
        <v>0</v>
      </c>
      <c r="F284" s="29">
        <v>9.1351351351351365E-3</v>
      </c>
      <c r="G284" s="2698">
        <v>0</v>
      </c>
      <c r="H284" s="29">
        <v>9.1351351351351376E-2</v>
      </c>
      <c r="I284" s="28">
        <v>8.7837837837837843E-3</v>
      </c>
      <c r="J284" s="129">
        <v>5</v>
      </c>
      <c r="K284" s="28">
        <v>8.7837837837837843E-3</v>
      </c>
      <c r="L284" s="146">
        <v>3</v>
      </c>
      <c r="M284" s="571">
        <v>6</v>
      </c>
      <c r="N284" s="2302">
        <v>1</v>
      </c>
      <c r="O284" s="2507" t="s">
        <v>332</v>
      </c>
      <c r="P284" s="182">
        <f t="shared" si="514"/>
        <v>0.13967567567567568</v>
      </c>
      <c r="Q284" s="1087"/>
      <c r="R284" s="3207"/>
      <c r="S284" s="3207"/>
      <c r="T284" s="129">
        <f t="shared" si="515"/>
        <v>1.6</v>
      </c>
      <c r="U284" s="68">
        <f t="shared" si="516"/>
        <v>4.5714285714285714E-2</v>
      </c>
      <c r="V284" s="27">
        <f t="shared" si="516"/>
        <v>0</v>
      </c>
      <c r="W284" s="363">
        <f t="shared" si="516"/>
        <v>1.9314285714285718E-2</v>
      </c>
      <c r="X284" s="363">
        <f t="shared" si="516"/>
        <v>0</v>
      </c>
      <c r="Y284" s="363">
        <f t="shared" si="516"/>
        <v>0.1931428571428572</v>
      </c>
      <c r="Z284" s="28">
        <f t="shared" si="516"/>
        <v>1.8571428571428572E-2</v>
      </c>
      <c r="AA284" s="129">
        <f t="shared" si="517"/>
        <v>5</v>
      </c>
      <c r="AB284" s="28">
        <f t="shared" si="518"/>
        <v>1.8571428571428572E-2</v>
      </c>
      <c r="AC284" s="364">
        <f t="shared" si="519"/>
        <v>3</v>
      </c>
      <c r="AD284" s="182">
        <f t="shared" si="520"/>
        <v>0.29531428571428575</v>
      </c>
      <c r="AE284" s="1087"/>
      <c r="AF284" s="1167" t="s">
        <v>668</v>
      </c>
      <c r="AG284" s="2526"/>
      <c r="AH284" s="1343">
        <f t="shared" si="521"/>
        <v>0.15479876160990702</v>
      </c>
      <c r="AI284" s="1344">
        <f t="shared" si="522"/>
        <v>0</v>
      </c>
      <c r="AJ284" s="1345">
        <f t="shared" si="522"/>
        <v>6.5402476780185764E-2</v>
      </c>
      <c r="AK284" s="1345">
        <f t="shared" si="522"/>
        <v>0</v>
      </c>
      <c r="AL284" s="1345">
        <f t="shared" si="522"/>
        <v>0.6540247678018577</v>
      </c>
      <c r="AM284" s="1346">
        <f t="shared" si="522"/>
        <v>6.2886996904024772E-2</v>
      </c>
      <c r="AN284" s="1347">
        <f t="shared" si="523"/>
        <v>6.2886996904024772E-2</v>
      </c>
      <c r="AO284" s="1084"/>
      <c r="AZ284" s="398"/>
      <c r="BA284" s="398"/>
    </row>
    <row r="285" spans="1:53" ht="15" hidden="1" customHeight="1" outlineLevel="2" x14ac:dyDescent="0.2">
      <c r="A285" s="459" t="s">
        <v>669</v>
      </c>
      <c r="B285" s="451">
        <v>10</v>
      </c>
      <c r="C285" s="155">
        <v>2</v>
      </c>
      <c r="D285" s="68">
        <v>2.1621621621621623E-2</v>
      </c>
      <c r="E285" s="60">
        <v>0</v>
      </c>
      <c r="F285" s="29">
        <v>7.0270270270270272E-3</v>
      </c>
      <c r="G285" s="2698">
        <v>0</v>
      </c>
      <c r="H285" s="29">
        <v>0.14054054054054055</v>
      </c>
      <c r="I285" s="28">
        <v>1.7567567567567569E-2</v>
      </c>
      <c r="J285" s="129">
        <v>10</v>
      </c>
      <c r="K285" s="28">
        <v>1.7567567567567569E-2</v>
      </c>
      <c r="L285" s="146">
        <v>3</v>
      </c>
      <c r="M285" s="571">
        <v>6</v>
      </c>
      <c r="N285" s="2302">
        <v>1</v>
      </c>
      <c r="O285" s="2507" t="s">
        <v>332</v>
      </c>
      <c r="P285" s="182">
        <f t="shared" si="514"/>
        <v>0.20432432432432435</v>
      </c>
      <c r="Q285" s="1087"/>
      <c r="R285" s="3207"/>
      <c r="S285" s="3207"/>
      <c r="T285" s="129">
        <f t="shared" si="515"/>
        <v>2</v>
      </c>
      <c r="U285" s="68">
        <f t="shared" si="516"/>
        <v>4.5714285714285714E-2</v>
      </c>
      <c r="V285" s="27">
        <f t="shared" si="516"/>
        <v>0</v>
      </c>
      <c r="W285" s="363">
        <f t="shared" si="516"/>
        <v>1.4857142857142857E-2</v>
      </c>
      <c r="X285" s="363">
        <f t="shared" si="516"/>
        <v>0</v>
      </c>
      <c r="Y285" s="363">
        <f t="shared" si="516"/>
        <v>0.29714285714285715</v>
      </c>
      <c r="Z285" s="28">
        <f t="shared" si="516"/>
        <v>3.7142857142857144E-2</v>
      </c>
      <c r="AA285" s="129">
        <f t="shared" si="517"/>
        <v>10</v>
      </c>
      <c r="AB285" s="28">
        <f t="shared" si="518"/>
        <v>3.7142857142857144E-2</v>
      </c>
      <c r="AC285" s="364">
        <f t="shared" si="519"/>
        <v>3</v>
      </c>
      <c r="AD285" s="182">
        <f t="shared" si="520"/>
        <v>0.432</v>
      </c>
      <c r="AE285" s="1087"/>
      <c r="AF285" s="1167" t="s">
        <v>669</v>
      </c>
      <c r="AG285" s="2526"/>
      <c r="AH285" s="1343">
        <f t="shared" si="521"/>
        <v>0.10582010582010593</v>
      </c>
      <c r="AI285" s="1344">
        <f t="shared" si="522"/>
        <v>0</v>
      </c>
      <c r="AJ285" s="1345">
        <f t="shared" si="522"/>
        <v>3.439153439153439E-2</v>
      </c>
      <c r="AK285" s="1345">
        <f t="shared" si="522"/>
        <v>0</v>
      </c>
      <c r="AL285" s="1345">
        <f t="shared" si="522"/>
        <v>0.68783068783068779</v>
      </c>
      <c r="AM285" s="1346">
        <f t="shared" si="522"/>
        <v>8.5978835978835974E-2</v>
      </c>
      <c r="AN285" s="1347">
        <f t="shared" si="523"/>
        <v>8.5978835978835974E-2</v>
      </c>
      <c r="AO285" s="1084"/>
      <c r="AZ285" s="398"/>
      <c r="BA285" s="398"/>
    </row>
    <row r="286" spans="1:53" ht="15" hidden="1" customHeight="1" outlineLevel="2" x14ac:dyDescent="0.2">
      <c r="A286" s="459" t="s">
        <v>670</v>
      </c>
      <c r="B286" s="451">
        <v>10</v>
      </c>
      <c r="C286" s="155">
        <v>0.96000000000000019</v>
      </c>
      <c r="D286" s="68">
        <v>2.1621621621621623E-2</v>
      </c>
      <c r="E286" s="27">
        <v>0</v>
      </c>
      <c r="F286" s="29">
        <v>7.0270270270270272E-3</v>
      </c>
      <c r="G286" s="2698">
        <v>0</v>
      </c>
      <c r="H286" s="29">
        <v>1.405405405405406E-2</v>
      </c>
      <c r="I286" s="28">
        <v>3.5135135135135149E-3</v>
      </c>
      <c r="J286" s="129">
        <v>2.0000000000000009</v>
      </c>
      <c r="K286" s="28">
        <v>3.5135135135135149E-3</v>
      </c>
      <c r="L286" s="146">
        <v>3</v>
      </c>
      <c r="M286" s="571">
        <v>6</v>
      </c>
      <c r="N286" s="2302">
        <v>1</v>
      </c>
      <c r="O286" s="2507" t="s">
        <v>332</v>
      </c>
      <c r="P286" s="182">
        <f t="shared" si="514"/>
        <v>4.9729729729729735E-2</v>
      </c>
      <c r="Q286" s="1087"/>
      <c r="R286" s="3207"/>
      <c r="S286" s="3207"/>
      <c r="T286" s="129">
        <f t="shared" si="515"/>
        <v>0.96000000000000019</v>
      </c>
      <c r="U286" s="68">
        <f t="shared" si="516"/>
        <v>4.5714285714285714E-2</v>
      </c>
      <c r="V286" s="27">
        <f t="shared" si="516"/>
        <v>0</v>
      </c>
      <c r="W286" s="363">
        <f t="shared" si="516"/>
        <v>1.4857142857142857E-2</v>
      </c>
      <c r="X286" s="363">
        <f t="shared" si="516"/>
        <v>0</v>
      </c>
      <c r="Y286" s="363">
        <f t="shared" si="516"/>
        <v>2.9714285714285728E-2</v>
      </c>
      <c r="Z286" s="28">
        <f t="shared" si="516"/>
        <v>7.4285714285714319E-3</v>
      </c>
      <c r="AA286" s="129">
        <f t="shared" si="517"/>
        <v>2.0000000000000009</v>
      </c>
      <c r="AB286" s="28">
        <f t="shared" si="518"/>
        <v>7.4285714285714319E-3</v>
      </c>
      <c r="AC286" s="364">
        <f t="shared" si="519"/>
        <v>3</v>
      </c>
      <c r="AD286" s="182">
        <f t="shared" si="520"/>
        <v>0.10514285714285718</v>
      </c>
      <c r="AE286" s="1087"/>
      <c r="AF286" s="1167" t="s">
        <v>670</v>
      </c>
      <c r="AG286" s="2526"/>
      <c r="AH286" s="1343">
        <f>1-SUM(AI286:AN286)</f>
        <v>0.434782608695652</v>
      </c>
      <c r="AI286" s="1344">
        <f t="shared" si="522"/>
        <v>0</v>
      </c>
      <c r="AJ286" s="1345">
        <f t="shared" si="522"/>
        <v>0.14130434782608695</v>
      </c>
      <c r="AK286" s="1345">
        <f t="shared" si="522"/>
        <v>0</v>
      </c>
      <c r="AL286" s="1345">
        <f t="shared" si="522"/>
        <v>0.282608695652174</v>
      </c>
      <c r="AM286" s="1346">
        <f t="shared" si="522"/>
        <v>7.0652173913043501E-2</v>
      </c>
      <c r="AN286" s="1347">
        <f t="shared" si="523"/>
        <v>7.0652173913043501E-2</v>
      </c>
      <c r="AO286" s="1084"/>
      <c r="AZ286" s="398"/>
      <c r="BA286" s="398"/>
    </row>
    <row r="287" spans="1:53" ht="15" hidden="1" customHeight="1" outlineLevel="2" x14ac:dyDescent="0.2">
      <c r="A287" s="459" t="s">
        <v>671</v>
      </c>
      <c r="B287" s="451">
        <v>10</v>
      </c>
      <c r="C287" s="155">
        <v>0.5</v>
      </c>
      <c r="D287" s="68">
        <v>2.1621621621621623E-2</v>
      </c>
      <c r="E287" s="27">
        <v>0</v>
      </c>
      <c r="F287" s="29">
        <v>1.0810810810810811E-2</v>
      </c>
      <c r="G287" s="2698">
        <v>0</v>
      </c>
      <c r="H287" s="29">
        <v>5.4054054054054057E-3</v>
      </c>
      <c r="I287" s="28">
        <v>0</v>
      </c>
      <c r="J287" s="129">
        <v>0.5</v>
      </c>
      <c r="K287" s="28">
        <v>0</v>
      </c>
      <c r="L287" s="146">
        <v>3</v>
      </c>
      <c r="M287" s="571">
        <v>6</v>
      </c>
      <c r="N287" s="2302">
        <v>1</v>
      </c>
      <c r="O287" s="2507" t="s">
        <v>332</v>
      </c>
      <c r="P287" s="182">
        <f t="shared" si="514"/>
        <v>3.783783783783784E-2</v>
      </c>
      <c r="Q287" s="1087"/>
      <c r="R287" s="3207"/>
      <c r="S287" s="3207"/>
      <c r="T287" s="129">
        <f t="shared" si="515"/>
        <v>0.5</v>
      </c>
      <c r="U287" s="68">
        <f t="shared" si="516"/>
        <v>4.5714285714285714E-2</v>
      </c>
      <c r="V287" s="27">
        <f t="shared" si="516"/>
        <v>0</v>
      </c>
      <c r="W287" s="363">
        <f t="shared" si="516"/>
        <v>2.2857142857142857E-2</v>
      </c>
      <c r="X287" s="363">
        <f t="shared" si="516"/>
        <v>0</v>
      </c>
      <c r="Y287" s="363">
        <f t="shared" si="516"/>
        <v>1.1428571428571429E-2</v>
      </c>
      <c r="Z287" s="28">
        <f t="shared" si="516"/>
        <v>0</v>
      </c>
      <c r="AA287" s="129">
        <f t="shared" si="517"/>
        <v>0.5</v>
      </c>
      <c r="AB287" s="28">
        <f t="shared" si="518"/>
        <v>0</v>
      </c>
      <c r="AC287" s="364">
        <f t="shared" si="519"/>
        <v>3</v>
      </c>
      <c r="AD287" s="182">
        <f t="shared" si="520"/>
        <v>0.08</v>
      </c>
      <c r="AE287" s="1087"/>
      <c r="AF287" s="1167" t="s">
        <v>671</v>
      </c>
      <c r="AG287" s="2526"/>
      <c r="AH287" s="1343">
        <f>1-SUM(AI287:AN287)</f>
        <v>0.5714285714285714</v>
      </c>
      <c r="AI287" s="1344">
        <f t="shared" si="522"/>
        <v>0</v>
      </c>
      <c r="AJ287" s="1345">
        <f t="shared" si="522"/>
        <v>0.2857142857142857</v>
      </c>
      <c r="AK287" s="1345">
        <f t="shared" si="522"/>
        <v>0</v>
      </c>
      <c r="AL287" s="1345">
        <f t="shared" si="522"/>
        <v>0.14285714285714285</v>
      </c>
      <c r="AM287" s="1346">
        <f t="shared" si="522"/>
        <v>0</v>
      </c>
      <c r="AN287" s="1347">
        <f t="shared" si="523"/>
        <v>0</v>
      </c>
      <c r="AO287" s="1084"/>
      <c r="AZ287" s="398"/>
      <c r="BA287" s="398"/>
    </row>
    <row r="288" spans="1:53" ht="15" hidden="1" customHeight="1" outlineLevel="1" collapsed="1" x14ac:dyDescent="0.2">
      <c r="A288" s="457" t="s">
        <v>1370</v>
      </c>
      <c r="B288" s="450" t="str">
        <f>B$6</f>
        <v>Trips</v>
      </c>
      <c r="C288" s="172" t="s">
        <v>308</v>
      </c>
      <c r="D288" s="173" t="s">
        <v>303</v>
      </c>
      <c r="E288" s="173" t="s">
        <v>9</v>
      </c>
      <c r="F288" s="173" t="s">
        <v>304</v>
      </c>
      <c r="G288" s="2711" t="s">
        <v>320</v>
      </c>
      <c r="H288" s="173" t="s">
        <v>312</v>
      </c>
      <c r="I288" s="173" t="s">
        <v>330</v>
      </c>
      <c r="J288" s="173" t="s">
        <v>308</v>
      </c>
      <c r="K288" s="173" t="s">
        <v>309</v>
      </c>
      <c r="L288" s="178" t="s">
        <v>299</v>
      </c>
      <c r="M288" s="572" t="str">
        <f>M$6</f>
        <v>DPM/c</v>
      </c>
      <c r="N288" s="572" t="str">
        <f>N$6</f>
        <v>MT</v>
      </c>
      <c r="O288" s="572" t="str">
        <f>O$6</f>
        <v xml:space="preserve">WF </v>
      </c>
      <c r="P288" s="181" t="s">
        <v>273</v>
      </c>
      <c r="Q288" s="1087"/>
      <c r="R288" s="3207"/>
      <c r="S288" s="3207"/>
      <c r="T288" s="1270" t="s">
        <v>308</v>
      </c>
      <c r="U288" s="173" t="s">
        <v>303</v>
      </c>
      <c r="V288" s="173" t="str">
        <f>V$6</f>
        <v xml:space="preserve">WTS </v>
      </c>
      <c r="W288" s="173" t="str">
        <f>+W$6</f>
        <v>Web</v>
      </c>
      <c r="X288" s="173" t="str">
        <f>X279</f>
        <v>ADF</v>
      </c>
      <c r="Y288" s="173" t="s">
        <v>312</v>
      </c>
      <c r="Z288" s="173" t="s">
        <v>330</v>
      </c>
      <c r="AA288" s="173" t="s">
        <v>308</v>
      </c>
      <c r="AB288" s="173" t="s">
        <v>309</v>
      </c>
      <c r="AC288" s="178" t="s">
        <v>299</v>
      </c>
      <c r="AD288" s="181" t="s">
        <v>273</v>
      </c>
      <c r="AE288" s="1087"/>
      <c r="AF288" s="1168" t="str">
        <f>A288</f>
        <v>Legacy ArcIMS Software  =========</v>
      </c>
      <c r="AG288" s="2526"/>
      <c r="AH288" s="1339" t="str">
        <f t="shared" ref="AH288:AM288" si="524">D288</f>
        <v>Client</v>
      </c>
      <c r="AI288" s="1339" t="str">
        <f t="shared" si="524"/>
        <v xml:space="preserve">WTS </v>
      </c>
      <c r="AJ288" s="1339" t="str">
        <f t="shared" si="524"/>
        <v>Web</v>
      </c>
      <c r="AK288" s="1339" t="str">
        <f t="shared" si="524"/>
        <v>ADF</v>
      </c>
      <c r="AL288" s="1340" t="str">
        <f t="shared" si="524"/>
        <v>SOC</v>
      </c>
      <c r="AM288" s="1341" t="str">
        <f t="shared" si="524"/>
        <v>SDE</v>
      </c>
      <c r="AN288" s="1342" t="str">
        <f>K288</f>
        <v>DBMS</v>
      </c>
      <c r="AO288" s="1084"/>
      <c r="AZ288" s="398"/>
      <c r="BA288" s="398"/>
    </row>
    <row r="289" spans="1:53" ht="15" hidden="1" customHeight="1" outlineLevel="2" x14ac:dyDescent="0.2">
      <c r="A289" s="459" t="s">
        <v>500</v>
      </c>
      <c r="B289" s="451">
        <v>10</v>
      </c>
      <c r="C289" s="155">
        <v>1</v>
      </c>
      <c r="D289" s="68">
        <v>2.1621621621621623E-2</v>
      </c>
      <c r="E289" s="27">
        <v>0</v>
      </c>
      <c r="F289" s="29">
        <v>2.0540540540540542E-2</v>
      </c>
      <c r="G289" s="2698">
        <v>0</v>
      </c>
      <c r="H289" s="29">
        <v>6.8648648648648655E-2</v>
      </c>
      <c r="I289" s="28">
        <v>6.8648648648648647E-3</v>
      </c>
      <c r="J289" s="129">
        <v>5</v>
      </c>
      <c r="K289" s="28">
        <v>6.8648648648648647E-3</v>
      </c>
      <c r="L289" s="146">
        <v>3</v>
      </c>
      <c r="M289" s="571">
        <v>6</v>
      </c>
      <c r="N289" s="2302">
        <v>1</v>
      </c>
      <c r="O289" s="2507" t="s">
        <v>541</v>
      </c>
      <c r="P289" s="182">
        <f t="shared" ref="P289:P294" si="525">SUM(D289:I289,K289)</f>
        <v>0.12454054054054053</v>
      </c>
      <c r="Q289" s="1087"/>
      <c r="R289" s="3207"/>
      <c r="S289" s="3207"/>
      <c r="T289" s="129">
        <f t="shared" ref="T289:T294" si="526">C289</f>
        <v>1</v>
      </c>
      <c r="U289" s="68">
        <f t="shared" ref="U289:Z294" si="527">D289*$K$3/$AB$3</f>
        <v>4.5714285714285714E-2</v>
      </c>
      <c r="V289" s="27">
        <f t="shared" si="527"/>
        <v>0</v>
      </c>
      <c r="W289" s="363">
        <f t="shared" si="527"/>
        <v>4.3428571428571434E-2</v>
      </c>
      <c r="X289" s="363">
        <f t="shared" si="527"/>
        <v>0</v>
      </c>
      <c r="Y289" s="363">
        <f t="shared" si="527"/>
        <v>0.14514285714285716</v>
      </c>
      <c r="Z289" s="28">
        <f t="shared" si="527"/>
        <v>1.4514285714285714E-2</v>
      </c>
      <c r="AA289" s="129">
        <f t="shared" ref="AA289:AA294" si="528">J289</f>
        <v>5</v>
      </c>
      <c r="AB289" s="28">
        <f t="shared" ref="AB289:AB294" si="529">K289*$K$3/$AB$3</f>
        <v>1.4514285714285714E-2</v>
      </c>
      <c r="AC289" s="364">
        <f t="shared" ref="AC289:AC294" si="530">L289</f>
        <v>3</v>
      </c>
      <c r="AD289" s="182">
        <f t="shared" ref="AD289:AD294" si="531">SUM(U289:Z289,AB289)</f>
        <v>0.26331428571428572</v>
      </c>
      <c r="AE289" s="1087"/>
      <c r="AF289" s="1167" t="s">
        <v>500</v>
      </c>
      <c r="AG289" s="2526"/>
      <c r="AH289" s="1343">
        <f t="shared" ref="AH289:AH294" si="532">1-SUM(AI289:AN289)</f>
        <v>0.17361111111111094</v>
      </c>
      <c r="AI289" s="1344">
        <f t="shared" ref="AI289:AM294" si="533">E289/$P289</f>
        <v>0</v>
      </c>
      <c r="AJ289" s="1345">
        <f t="shared" si="533"/>
        <v>0.16493055555555558</v>
      </c>
      <c r="AK289" s="1345">
        <f t="shared" si="533"/>
        <v>0</v>
      </c>
      <c r="AL289" s="1345">
        <f t="shared" si="533"/>
        <v>0.5512152777777779</v>
      </c>
      <c r="AM289" s="1346">
        <f t="shared" si="533"/>
        <v>5.5121527777777776E-2</v>
      </c>
      <c r="AN289" s="1347">
        <f t="shared" ref="AN289:AN294" si="534">K289/$P289</f>
        <v>5.5121527777777776E-2</v>
      </c>
      <c r="AO289" s="1084"/>
      <c r="AZ289" s="398"/>
      <c r="BA289" s="398"/>
    </row>
    <row r="290" spans="1:53" ht="15" hidden="1" customHeight="1" outlineLevel="2" x14ac:dyDescent="0.2">
      <c r="A290" s="459" t="s">
        <v>501</v>
      </c>
      <c r="B290" s="451">
        <v>10</v>
      </c>
      <c r="C290" s="155">
        <v>1</v>
      </c>
      <c r="D290" s="68">
        <v>2.1621621621621623E-2</v>
      </c>
      <c r="E290" s="27">
        <v>0</v>
      </c>
      <c r="F290" s="29">
        <v>7.0270270270270272E-3</v>
      </c>
      <c r="G290" s="2698">
        <v>0</v>
      </c>
      <c r="H290" s="29">
        <v>6.8648648648648655E-2</v>
      </c>
      <c r="I290" s="28">
        <v>6.8648648648648647E-3</v>
      </c>
      <c r="J290" s="129">
        <v>5</v>
      </c>
      <c r="K290" s="28">
        <v>6.8648648648648647E-3</v>
      </c>
      <c r="L290" s="146">
        <v>3</v>
      </c>
      <c r="M290" s="571">
        <v>6</v>
      </c>
      <c r="N290" s="2302">
        <v>1</v>
      </c>
      <c r="O290" s="2507" t="s">
        <v>541</v>
      </c>
      <c r="P290" s="182">
        <f t="shared" si="525"/>
        <v>0.11102702702702702</v>
      </c>
      <c r="Q290" s="1087"/>
      <c r="R290" s="3207"/>
      <c r="S290" s="3207"/>
      <c r="T290" s="129">
        <f t="shared" si="526"/>
        <v>1</v>
      </c>
      <c r="U290" s="68">
        <f t="shared" si="527"/>
        <v>4.5714285714285714E-2</v>
      </c>
      <c r="V290" s="27">
        <f t="shared" si="527"/>
        <v>0</v>
      </c>
      <c r="W290" s="363">
        <f t="shared" si="527"/>
        <v>1.4857142857142857E-2</v>
      </c>
      <c r="X290" s="363">
        <f t="shared" si="527"/>
        <v>0</v>
      </c>
      <c r="Y290" s="363">
        <f t="shared" si="527"/>
        <v>0.14514285714285716</v>
      </c>
      <c r="Z290" s="28">
        <f t="shared" si="527"/>
        <v>1.4514285714285714E-2</v>
      </c>
      <c r="AA290" s="129">
        <f t="shared" si="528"/>
        <v>5</v>
      </c>
      <c r="AB290" s="28">
        <f t="shared" si="529"/>
        <v>1.4514285714285714E-2</v>
      </c>
      <c r="AC290" s="364">
        <f t="shared" si="530"/>
        <v>3</v>
      </c>
      <c r="AD290" s="182">
        <f t="shared" si="531"/>
        <v>0.23474285714285714</v>
      </c>
      <c r="AE290" s="1087"/>
      <c r="AF290" s="1167" t="s">
        <v>501</v>
      </c>
      <c r="AG290" s="2526"/>
      <c r="AH290" s="1343">
        <f t="shared" si="532"/>
        <v>0.19474196689386547</v>
      </c>
      <c r="AI290" s="1344">
        <f t="shared" si="533"/>
        <v>0</v>
      </c>
      <c r="AJ290" s="1345">
        <f t="shared" si="533"/>
        <v>6.3291139240506333E-2</v>
      </c>
      <c r="AK290" s="1345">
        <f t="shared" si="533"/>
        <v>0</v>
      </c>
      <c r="AL290" s="1345">
        <f t="shared" si="533"/>
        <v>0.61830574488802348</v>
      </c>
      <c r="AM290" s="1346">
        <f t="shared" si="533"/>
        <v>6.1830574488802338E-2</v>
      </c>
      <c r="AN290" s="1347">
        <f t="shared" si="534"/>
        <v>6.1830574488802338E-2</v>
      </c>
      <c r="AZ290" s="398"/>
      <c r="BA290" s="398"/>
    </row>
    <row r="291" spans="1:53" ht="15" hidden="1" customHeight="1" outlineLevel="2" x14ac:dyDescent="0.2">
      <c r="A291" s="459" t="s">
        <v>502</v>
      </c>
      <c r="B291" s="451">
        <v>10</v>
      </c>
      <c r="C291" s="155">
        <v>1</v>
      </c>
      <c r="D291" s="68">
        <v>2.1621621621621623E-2</v>
      </c>
      <c r="E291" s="27">
        <v>0</v>
      </c>
      <c r="F291" s="29">
        <v>1.243243243243243E-2</v>
      </c>
      <c r="G291" s="2698">
        <v>0</v>
      </c>
      <c r="H291" s="29">
        <v>4.162162162162162E-2</v>
      </c>
      <c r="I291" s="28">
        <v>8.3243243243243236E-3</v>
      </c>
      <c r="J291" s="129">
        <v>5</v>
      </c>
      <c r="K291" s="28">
        <v>8.3243243243243236E-3</v>
      </c>
      <c r="L291" s="146">
        <v>3</v>
      </c>
      <c r="M291" s="571">
        <v>6</v>
      </c>
      <c r="N291" s="2302">
        <v>1</v>
      </c>
      <c r="O291" s="2507" t="s">
        <v>541</v>
      </c>
      <c r="P291" s="182">
        <f t="shared" si="525"/>
        <v>9.2324324324324331E-2</v>
      </c>
      <c r="Q291" s="1087"/>
      <c r="R291" s="3207"/>
      <c r="S291" s="3207"/>
      <c r="T291" s="129">
        <f t="shared" si="526"/>
        <v>1</v>
      </c>
      <c r="U291" s="68">
        <f t="shared" si="527"/>
        <v>4.5714285714285714E-2</v>
      </c>
      <c r="V291" s="27">
        <f t="shared" si="527"/>
        <v>0</v>
      </c>
      <c r="W291" s="363">
        <f t="shared" si="527"/>
        <v>2.628571428571428E-2</v>
      </c>
      <c r="X291" s="363">
        <f t="shared" si="527"/>
        <v>0</v>
      </c>
      <c r="Y291" s="363">
        <f t="shared" si="527"/>
        <v>8.8000000000000009E-2</v>
      </c>
      <c r="Z291" s="28">
        <f t="shared" si="527"/>
        <v>1.7600000000000001E-2</v>
      </c>
      <c r="AA291" s="129">
        <f t="shared" si="528"/>
        <v>5</v>
      </c>
      <c r="AB291" s="28">
        <f t="shared" si="529"/>
        <v>1.7600000000000001E-2</v>
      </c>
      <c r="AC291" s="364">
        <f t="shared" si="530"/>
        <v>3</v>
      </c>
      <c r="AD291" s="182">
        <f t="shared" si="531"/>
        <v>0.19520000000000001</v>
      </c>
      <c r="AE291" s="1087"/>
      <c r="AF291" s="1167" t="s">
        <v>502</v>
      </c>
      <c r="AG291" s="2526"/>
      <c r="AH291" s="1343">
        <f t="shared" si="532"/>
        <v>0.23419203747072614</v>
      </c>
      <c r="AI291" s="1344">
        <f t="shared" si="533"/>
        <v>0</v>
      </c>
      <c r="AJ291" s="1345">
        <f t="shared" si="533"/>
        <v>0.1346604215456674</v>
      </c>
      <c r="AK291" s="1345">
        <f t="shared" si="533"/>
        <v>0</v>
      </c>
      <c r="AL291" s="1345">
        <f t="shared" si="533"/>
        <v>0.45081967213114749</v>
      </c>
      <c r="AM291" s="1346">
        <f t="shared" si="533"/>
        <v>9.0163934426229497E-2</v>
      </c>
      <c r="AN291" s="1347">
        <f t="shared" si="534"/>
        <v>9.0163934426229497E-2</v>
      </c>
      <c r="AZ291" s="398"/>
      <c r="BA291" s="398"/>
    </row>
    <row r="292" spans="1:53" ht="15" hidden="1" customHeight="1" outlineLevel="2" x14ac:dyDescent="0.2">
      <c r="A292" s="459" t="s">
        <v>503</v>
      </c>
      <c r="B292" s="451">
        <v>10</v>
      </c>
      <c r="C292" s="155">
        <v>1</v>
      </c>
      <c r="D292" s="68">
        <v>2.1621621621621623E-2</v>
      </c>
      <c r="E292" s="27">
        <v>0</v>
      </c>
      <c r="F292" s="29">
        <v>2.4864864864864861E-2</v>
      </c>
      <c r="G292" s="2698">
        <v>0</v>
      </c>
      <c r="H292" s="29">
        <v>8.324324324324324E-2</v>
      </c>
      <c r="I292" s="28">
        <v>1.6648648648648647E-2</v>
      </c>
      <c r="J292" s="129">
        <v>5</v>
      </c>
      <c r="K292" s="28">
        <v>1.6648648648648647E-2</v>
      </c>
      <c r="L292" s="146">
        <v>3</v>
      </c>
      <c r="M292" s="571">
        <v>6</v>
      </c>
      <c r="N292" s="2302">
        <v>1</v>
      </c>
      <c r="O292" s="2507" t="s">
        <v>541</v>
      </c>
      <c r="P292" s="182">
        <f t="shared" si="525"/>
        <v>0.16302702702702704</v>
      </c>
      <c r="Q292" s="1087"/>
      <c r="R292" s="3207"/>
      <c r="S292" s="3207"/>
      <c r="T292" s="129">
        <f t="shared" si="526"/>
        <v>1</v>
      </c>
      <c r="U292" s="68">
        <f t="shared" si="527"/>
        <v>4.5714285714285714E-2</v>
      </c>
      <c r="V292" s="27">
        <f t="shared" si="527"/>
        <v>0</v>
      </c>
      <c r="W292" s="363">
        <f t="shared" si="527"/>
        <v>5.2571428571428561E-2</v>
      </c>
      <c r="X292" s="363">
        <f t="shared" si="527"/>
        <v>0</v>
      </c>
      <c r="Y292" s="363">
        <f t="shared" si="527"/>
        <v>0.17600000000000002</v>
      </c>
      <c r="Z292" s="28">
        <f t="shared" si="527"/>
        <v>3.5200000000000002E-2</v>
      </c>
      <c r="AA292" s="129">
        <f t="shared" si="528"/>
        <v>5</v>
      </c>
      <c r="AB292" s="28">
        <f t="shared" si="529"/>
        <v>3.5200000000000002E-2</v>
      </c>
      <c r="AC292" s="364">
        <f t="shared" si="530"/>
        <v>3</v>
      </c>
      <c r="AD292" s="182">
        <f t="shared" si="531"/>
        <v>0.34468571428571432</v>
      </c>
      <c r="AE292" s="1087"/>
      <c r="AF292" s="1167" t="s">
        <v>503</v>
      </c>
      <c r="AG292" s="2526"/>
      <c r="AH292" s="1343">
        <f t="shared" si="532"/>
        <v>0.13262599469496028</v>
      </c>
      <c r="AI292" s="1344">
        <f t="shared" si="533"/>
        <v>0</v>
      </c>
      <c r="AJ292" s="1345">
        <f t="shared" si="533"/>
        <v>0.1525198938992042</v>
      </c>
      <c r="AK292" s="1345">
        <f t="shared" si="533"/>
        <v>0</v>
      </c>
      <c r="AL292" s="1345">
        <f t="shared" si="533"/>
        <v>0.51061007957559679</v>
      </c>
      <c r="AM292" s="1346">
        <f t="shared" si="533"/>
        <v>0.10212201591511935</v>
      </c>
      <c r="AN292" s="1347">
        <f t="shared" si="534"/>
        <v>0.10212201591511935</v>
      </c>
      <c r="AZ292" s="398"/>
      <c r="BA292" s="398"/>
    </row>
    <row r="293" spans="1:53" ht="15" hidden="1" customHeight="1" outlineLevel="2" x14ac:dyDescent="0.2">
      <c r="A293" s="459" t="s">
        <v>504</v>
      </c>
      <c r="B293" s="451">
        <v>10</v>
      </c>
      <c r="C293" s="155">
        <v>1</v>
      </c>
      <c r="D293" s="68">
        <v>2.1621621621621623E-2</v>
      </c>
      <c r="E293" s="27">
        <v>0</v>
      </c>
      <c r="F293" s="29">
        <v>4.3243243243243244E-3</v>
      </c>
      <c r="G293" s="2698">
        <v>0</v>
      </c>
      <c r="H293" s="29">
        <v>4.162162162162162E-2</v>
      </c>
      <c r="I293" s="28">
        <v>8.3243243243243236E-3</v>
      </c>
      <c r="J293" s="129">
        <v>5</v>
      </c>
      <c r="K293" s="28">
        <v>8.3243243243243236E-3</v>
      </c>
      <c r="L293" s="146">
        <v>3</v>
      </c>
      <c r="M293" s="571">
        <v>6</v>
      </c>
      <c r="N293" s="2302">
        <v>1</v>
      </c>
      <c r="O293" s="2507" t="s">
        <v>541</v>
      </c>
      <c r="P293" s="182">
        <f t="shared" si="525"/>
        <v>8.4216216216216222E-2</v>
      </c>
      <c r="Q293" s="1087"/>
      <c r="R293" s="3207"/>
      <c r="S293" s="3207"/>
      <c r="T293" s="129">
        <f t="shared" si="526"/>
        <v>1</v>
      </c>
      <c r="U293" s="68">
        <f t="shared" si="527"/>
        <v>4.5714285714285714E-2</v>
      </c>
      <c r="V293" s="27">
        <f t="shared" si="527"/>
        <v>0</v>
      </c>
      <c r="W293" s="363">
        <f t="shared" si="527"/>
        <v>9.1428571428571435E-3</v>
      </c>
      <c r="X293" s="363">
        <f t="shared" si="527"/>
        <v>0</v>
      </c>
      <c r="Y293" s="363">
        <f t="shared" si="527"/>
        <v>8.8000000000000009E-2</v>
      </c>
      <c r="Z293" s="28">
        <f t="shared" si="527"/>
        <v>1.7600000000000001E-2</v>
      </c>
      <c r="AA293" s="129">
        <f t="shared" si="528"/>
        <v>5</v>
      </c>
      <c r="AB293" s="28">
        <f t="shared" si="529"/>
        <v>1.7600000000000001E-2</v>
      </c>
      <c r="AC293" s="364">
        <f t="shared" si="530"/>
        <v>3</v>
      </c>
      <c r="AD293" s="182">
        <f t="shared" si="531"/>
        <v>0.17805714285714286</v>
      </c>
      <c r="AE293" s="1087"/>
      <c r="AF293" s="1167" t="s">
        <v>504</v>
      </c>
      <c r="AG293" s="2526"/>
      <c r="AH293" s="1343">
        <f t="shared" si="532"/>
        <v>0.25673940949935836</v>
      </c>
      <c r="AI293" s="1344">
        <f t="shared" si="533"/>
        <v>0</v>
      </c>
      <c r="AJ293" s="1345">
        <f t="shared" si="533"/>
        <v>5.1347881899871627E-2</v>
      </c>
      <c r="AK293" s="1345">
        <f t="shared" si="533"/>
        <v>0</v>
      </c>
      <c r="AL293" s="1345">
        <f t="shared" si="533"/>
        <v>0.49422336328626437</v>
      </c>
      <c r="AM293" s="1346">
        <f t="shared" si="533"/>
        <v>9.8844672657252872E-2</v>
      </c>
      <c r="AN293" s="1347">
        <f t="shared" si="534"/>
        <v>9.8844672657252872E-2</v>
      </c>
      <c r="AZ293" s="398"/>
      <c r="BA293" s="398"/>
    </row>
    <row r="294" spans="1:53" ht="15" hidden="1" customHeight="1" outlineLevel="2" x14ac:dyDescent="0.2">
      <c r="A294" s="459" t="s">
        <v>505</v>
      </c>
      <c r="B294" s="451">
        <v>10</v>
      </c>
      <c r="C294" s="155">
        <v>1</v>
      </c>
      <c r="D294" s="68">
        <v>2.1621621621621623E-2</v>
      </c>
      <c r="E294" s="27">
        <v>0</v>
      </c>
      <c r="F294" s="29">
        <v>8.1081081081081086E-3</v>
      </c>
      <c r="G294" s="2698">
        <v>0</v>
      </c>
      <c r="H294" s="29">
        <v>8.324324324324324E-2</v>
      </c>
      <c r="I294" s="28">
        <v>1.6648648648648647E-2</v>
      </c>
      <c r="J294" s="129">
        <v>5</v>
      </c>
      <c r="K294" s="28">
        <v>1.6648648648648647E-2</v>
      </c>
      <c r="L294" s="146">
        <v>3</v>
      </c>
      <c r="M294" s="571">
        <v>6</v>
      </c>
      <c r="N294" s="2302">
        <v>1</v>
      </c>
      <c r="O294" s="2507" t="s">
        <v>541</v>
      </c>
      <c r="P294" s="182">
        <f t="shared" si="525"/>
        <v>0.14627027027027026</v>
      </c>
      <c r="Q294" s="1087"/>
      <c r="R294" s="3207"/>
      <c r="S294" s="3207"/>
      <c r="T294" s="129">
        <f t="shared" si="526"/>
        <v>1</v>
      </c>
      <c r="U294" s="68">
        <f t="shared" si="527"/>
        <v>4.5714285714285714E-2</v>
      </c>
      <c r="V294" s="27">
        <f t="shared" si="527"/>
        <v>0</v>
      </c>
      <c r="W294" s="363">
        <f t="shared" si="527"/>
        <v>1.7142857142857144E-2</v>
      </c>
      <c r="X294" s="363">
        <f t="shared" si="527"/>
        <v>0</v>
      </c>
      <c r="Y294" s="363">
        <f t="shared" si="527"/>
        <v>0.17600000000000002</v>
      </c>
      <c r="Z294" s="28">
        <f t="shared" si="527"/>
        <v>3.5200000000000002E-2</v>
      </c>
      <c r="AA294" s="129">
        <f t="shared" si="528"/>
        <v>5</v>
      </c>
      <c r="AB294" s="28">
        <f t="shared" si="529"/>
        <v>3.5200000000000002E-2</v>
      </c>
      <c r="AC294" s="364">
        <f t="shared" si="530"/>
        <v>3</v>
      </c>
      <c r="AD294" s="182">
        <f t="shared" si="531"/>
        <v>0.3092571428571429</v>
      </c>
      <c r="AE294" s="1087"/>
      <c r="AF294" s="1167" t="s">
        <v>505</v>
      </c>
      <c r="AG294" s="2526"/>
      <c r="AH294" s="1343">
        <f t="shared" si="532"/>
        <v>0.14781966001478208</v>
      </c>
      <c r="AI294" s="1344">
        <f t="shared" si="533"/>
        <v>0</v>
      </c>
      <c r="AJ294" s="1345">
        <f t="shared" si="533"/>
        <v>5.5432372505543247E-2</v>
      </c>
      <c r="AK294" s="1345">
        <f t="shared" si="533"/>
        <v>0</v>
      </c>
      <c r="AL294" s="1345">
        <f t="shared" si="533"/>
        <v>0.56910569105691056</v>
      </c>
      <c r="AM294" s="1346">
        <f t="shared" si="533"/>
        <v>0.11382113821138211</v>
      </c>
      <c r="AN294" s="1347">
        <f t="shared" si="534"/>
        <v>0.11382113821138211</v>
      </c>
      <c r="AZ294" s="398"/>
      <c r="BA294" s="398"/>
    </row>
    <row r="295" spans="1:53" ht="15" hidden="1" customHeight="1" outlineLevel="1" collapsed="1" x14ac:dyDescent="0.2">
      <c r="A295" s="2574"/>
      <c r="B295" s="2575"/>
      <c r="C295" s="2576"/>
      <c r="D295" s="2577"/>
      <c r="E295" s="2577"/>
      <c r="F295" s="2577"/>
      <c r="G295" s="2713"/>
      <c r="H295" s="2577"/>
      <c r="I295" s="2577"/>
      <c r="J295" s="2577"/>
      <c r="K295" s="2577"/>
      <c r="L295" s="2578"/>
      <c r="M295" s="2579"/>
      <c r="N295" s="2579"/>
      <c r="O295" s="2579"/>
      <c r="P295" s="2580"/>
      <c r="Q295" s="2588"/>
      <c r="R295" s="3207"/>
      <c r="S295" s="3207"/>
      <c r="T295" s="2581"/>
      <c r="U295" s="2577"/>
      <c r="V295" s="2577"/>
      <c r="W295" s="2577"/>
      <c r="X295" s="2577"/>
      <c r="Y295" s="2577"/>
      <c r="Z295" s="2577"/>
      <c r="AA295" s="2577"/>
      <c r="AB295" s="2577"/>
      <c r="AC295" s="2578"/>
      <c r="AD295" s="2580"/>
      <c r="AE295" s="2588"/>
      <c r="AF295" s="2582"/>
      <c r="AG295" s="2526"/>
      <c r="AH295" s="1339">
        <f t="shared" ref="AH295:AM295" si="535">D295</f>
        <v>0</v>
      </c>
      <c r="AI295" s="1339">
        <f t="shared" si="535"/>
        <v>0</v>
      </c>
      <c r="AJ295" s="1339">
        <f t="shared" si="535"/>
        <v>0</v>
      </c>
      <c r="AK295" s="1339">
        <f t="shared" si="535"/>
        <v>0</v>
      </c>
      <c r="AL295" s="1340">
        <f t="shared" si="535"/>
        <v>0</v>
      </c>
      <c r="AM295" s="1341">
        <f t="shared" si="535"/>
        <v>0</v>
      </c>
      <c r="AN295" s="1342">
        <f>K295</f>
        <v>0</v>
      </c>
      <c r="AO295" s="1084"/>
      <c r="AZ295" s="398"/>
      <c r="BA295" s="398"/>
    </row>
    <row r="296" spans="1:53" ht="15" customHeight="1" collapsed="1" x14ac:dyDescent="0.2">
      <c r="A296" s="2589" t="s">
        <v>672</v>
      </c>
      <c r="B296" s="1316">
        <v>0</v>
      </c>
      <c r="C296" s="1316">
        <v>0</v>
      </c>
      <c r="D296" s="1316">
        <v>0</v>
      </c>
      <c r="E296" s="1316">
        <v>0</v>
      </c>
      <c r="F296" s="1316">
        <v>0</v>
      </c>
      <c r="G296" s="2714">
        <v>0</v>
      </c>
      <c r="H296" s="1316">
        <v>0</v>
      </c>
      <c r="I296" s="1316">
        <v>0</v>
      </c>
      <c r="J296" s="1316">
        <v>0</v>
      </c>
      <c r="K296" s="1316">
        <v>0</v>
      </c>
      <c r="L296" s="1316">
        <v>0</v>
      </c>
      <c r="M296" s="1316"/>
      <c r="N296" s="2303"/>
      <c r="O296" s="2590"/>
      <c r="P296" s="1316">
        <v>0</v>
      </c>
      <c r="Q296" s="2275"/>
      <c r="R296" s="3216"/>
      <c r="S296" s="3216"/>
      <c r="T296" s="184"/>
      <c r="U296" s="184"/>
      <c r="V296" s="184"/>
      <c r="W296" s="184"/>
      <c r="X296" s="184"/>
      <c r="Y296" s="184"/>
      <c r="Z296" s="184"/>
      <c r="AA296" s="184"/>
      <c r="AB296" s="184"/>
      <c r="AC296" s="184"/>
      <c r="AD296" s="184"/>
      <c r="AE296" s="2275"/>
      <c r="AF296" s="2591"/>
      <c r="AG296" s="2276"/>
      <c r="AH296" s="408"/>
      <c r="AI296" s="408"/>
      <c r="AJ296" s="408"/>
      <c r="AK296" s="408"/>
      <c r="AL296" s="1354"/>
      <c r="AM296" s="408"/>
      <c r="AN296" s="409"/>
      <c r="AO296" s="1084"/>
      <c r="AP296" s="416" t="s">
        <v>308</v>
      </c>
      <c r="AQ296" s="417" t="s">
        <v>426</v>
      </c>
      <c r="AR296" s="418" t="s">
        <v>303</v>
      </c>
      <c r="AS296" s="418" t="s">
        <v>333</v>
      </c>
      <c r="AT296" s="417" t="s">
        <v>367</v>
      </c>
      <c r="AU296" s="417" t="s">
        <v>320</v>
      </c>
      <c r="AV296" s="417" t="s">
        <v>312</v>
      </c>
      <c r="AW296" s="419" t="s">
        <v>330</v>
      </c>
      <c r="AX296" s="417" t="s">
        <v>308</v>
      </c>
      <c r="AY296" s="420" t="s">
        <v>329</v>
      </c>
      <c r="AZ296" s="420"/>
      <c r="BA296" s="420"/>
    </row>
    <row r="297" spans="1:53" ht="15" customHeight="1" x14ac:dyDescent="0.2">
      <c r="R297" s="3205"/>
      <c r="S297" s="3205"/>
    </row>
    <row r="298" spans="1:53" ht="15" customHeight="1" outlineLevel="1" x14ac:dyDescent="0.2">
      <c r="A298" s="1317" t="s">
        <v>1317</v>
      </c>
      <c r="B298" s="1318"/>
      <c r="C298" s="1319" t="s">
        <v>402</v>
      </c>
      <c r="D298" s="1320"/>
      <c r="E298" s="1320"/>
      <c r="F298" s="1320"/>
      <c r="G298" s="2707"/>
      <c r="H298" s="1320"/>
      <c r="I298" s="1320"/>
      <c r="J298" s="1320"/>
      <c r="K298" s="1320"/>
      <c r="L298" s="177"/>
      <c r="M298" s="3372" t="s">
        <v>126</v>
      </c>
      <c r="N298" s="2299"/>
      <c r="O298" s="2636"/>
      <c r="P298" s="3375" t="s">
        <v>294</v>
      </c>
      <c r="Q298" s="3378" t="s">
        <v>13</v>
      </c>
      <c r="R298" s="3210"/>
      <c r="S298" s="3210"/>
      <c r="T298" s="1267" t="s">
        <v>56</v>
      </c>
      <c r="U298" s="180"/>
      <c r="V298" s="180"/>
      <c r="W298" s="180"/>
      <c r="X298" s="180"/>
      <c r="Y298" s="180"/>
      <c r="Z298" s="180"/>
      <c r="AA298" s="180"/>
      <c r="AB298" s="180"/>
      <c r="AC298" s="177"/>
      <c r="AD298" s="3375" t="s">
        <v>294</v>
      </c>
      <c r="AE298" s="3359" t="s">
        <v>53</v>
      </c>
      <c r="AF298" s="132" t="s">
        <v>391</v>
      </c>
      <c r="AG298" s="3359" t="s">
        <v>15</v>
      </c>
      <c r="AO298" s="3359" t="s">
        <v>14</v>
      </c>
      <c r="AZ298" s="3362"/>
      <c r="BA298" s="3362"/>
    </row>
    <row r="299" spans="1:53" ht="15" customHeight="1" outlineLevel="1" x14ac:dyDescent="0.2">
      <c r="A299" s="151" t="s">
        <v>281</v>
      </c>
      <c r="B299" s="3365" t="s">
        <v>278</v>
      </c>
      <c r="C299" s="2639"/>
      <c r="D299" s="3368" t="str">
        <f>D$3</f>
        <v>Arc18 Baseline 4 core (1 chip) 3600 MHz</v>
      </c>
      <c r="E299" s="3369"/>
      <c r="F299" s="3369"/>
      <c r="G299" s="3369"/>
      <c r="H299" s="3369"/>
      <c r="I299" s="59" t="str">
        <f>I$3</f>
        <v xml:space="preserve"> SRint06/core =</v>
      </c>
      <c r="J299" s="59"/>
      <c r="K299" s="144">
        <f>K$3</f>
        <v>74</v>
      </c>
      <c r="L299" s="145" t="s">
        <v>345</v>
      </c>
      <c r="M299" s="3373"/>
      <c r="N299" s="2297"/>
      <c r="O299" s="2637"/>
      <c r="P299" s="3376"/>
      <c r="Q299" s="3379"/>
      <c r="R299" s="3211"/>
      <c r="S299" s="3211"/>
      <c r="T299" s="187"/>
      <c r="U299" s="3370" t="str">
        <f>U$3</f>
        <v>Arc10 Baseline 4 core (1 chip) 3467 MHz</v>
      </c>
      <c r="V299" s="3371"/>
      <c r="W299" s="3371"/>
      <c r="X299" s="3371"/>
      <c r="Y299" s="3371"/>
      <c r="Z299" s="1295" t="str">
        <f>Z$3</f>
        <v xml:space="preserve"> SRint06/core =</v>
      </c>
      <c r="AA299" s="59"/>
      <c r="AB299" s="144">
        <f>AB$3</f>
        <v>35</v>
      </c>
      <c r="AC299" s="145" t="s">
        <v>345</v>
      </c>
      <c r="AD299" s="3376"/>
      <c r="AE299" s="3360"/>
      <c r="AF299" s="133"/>
      <c r="AG299" s="3360"/>
      <c r="AO299" s="3360"/>
      <c r="AZ299" s="3363"/>
      <c r="BA299" s="3363"/>
    </row>
    <row r="300" spans="1:53" ht="15" customHeight="1" outlineLevel="1" x14ac:dyDescent="0.2">
      <c r="A300" s="151" t="s">
        <v>282</v>
      </c>
      <c r="B300" s="3366"/>
      <c r="C300" s="154" t="s">
        <v>303</v>
      </c>
      <c r="D300" s="26" t="s">
        <v>297</v>
      </c>
      <c r="E300" s="26"/>
      <c r="F300" s="26"/>
      <c r="G300" s="2691"/>
      <c r="H300" s="26"/>
      <c r="I300" s="26"/>
      <c r="J300" s="22" t="s">
        <v>369</v>
      </c>
      <c r="K300" s="26"/>
      <c r="L300" s="145" t="s">
        <v>292</v>
      </c>
      <c r="M300" s="3373"/>
      <c r="N300" s="2297"/>
      <c r="O300" s="2637"/>
      <c r="P300" s="3376"/>
      <c r="Q300" s="3379"/>
      <c r="R300" s="3211"/>
      <c r="S300" s="3211"/>
      <c r="T300" s="1268" t="s">
        <v>303</v>
      </c>
      <c r="U300" s="26" t="s">
        <v>297</v>
      </c>
      <c r="V300" s="26"/>
      <c r="W300" s="26"/>
      <c r="X300" s="26"/>
      <c r="Y300" s="26"/>
      <c r="Z300" s="26"/>
      <c r="AA300" s="22" t="s">
        <v>369</v>
      </c>
      <c r="AB300" s="26"/>
      <c r="AC300" s="145" t="s">
        <v>292</v>
      </c>
      <c r="AD300" s="3376"/>
      <c r="AE300" s="3360"/>
      <c r="AF300" s="133"/>
      <c r="AG300" s="3360"/>
      <c r="AO300" s="3360"/>
      <c r="AZ300" s="3363"/>
      <c r="BA300" s="3363"/>
    </row>
    <row r="301" spans="1:53" ht="15" customHeight="1" outlineLevel="1" x14ac:dyDescent="0.2">
      <c r="A301" s="2269" t="s">
        <v>101</v>
      </c>
      <c r="B301" s="3367"/>
      <c r="C301" s="2270" t="s">
        <v>317</v>
      </c>
      <c r="D301" s="2555" t="s">
        <v>303</v>
      </c>
      <c r="E301" s="2555"/>
      <c r="F301" s="2555" t="s">
        <v>304</v>
      </c>
      <c r="G301" s="2716"/>
      <c r="H301" s="2555" t="s">
        <v>312</v>
      </c>
      <c r="I301" s="2555" t="s">
        <v>329</v>
      </c>
      <c r="J301" s="2555" t="s">
        <v>317</v>
      </c>
      <c r="K301" s="2555" t="s">
        <v>329</v>
      </c>
      <c r="L301" s="2272" t="s">
        <v>293</v>
      </c>
      <c r="M301" s="3374"/>
      <c r="N301" s="2300"/>
      <c r="O301" s="2638"/>
      <c r="P301" s="3377"/>
      <c r="Q301" s="3380"/>
      <c r="R301" s="3212"/>
      <c r="S301" s="3212"/>
      <c r="T301" s="2273" t="s">
        <v>317</v>
      </c>
      <c r="U301" s="2555" t="s">
        <v>303</v>
      </c>
      <c r="V301" s="2555"/>
      <c r="W301" s="2555" t="s">
        <v>304</v>
      </c>
      <c r="X301" s="2555"/>
      <c r="Y301" s="2555" t="s">
        <v>312</v>
      </c>
      <c r="Z301" s="2555" t="s">
        <v>329</v>
      </c>
      <c r="AA301" s="2555" t="s">
        <v>317</v>
      </c>
      <c r="AB301" s="2555" t="s">
        <v>329</v>
      </c>
      <c r="AC301" s="2272" t="s">
        <v>293</v>
      </c>
      <c r="AD301" s="3377"/>
      <c r="AE301" s="3361"/>
      <c r="AF301" s="2274"/>
      <c r="AG301" s="3361"/>
      <c r="AO301" s="3361"/>
      <c r="AZ301" s="3364"/>
      <c r="BA301" s="3364"/>
    </row>
    <row r="302" spans="1:53" ht="15" customHeight="1" outlineLevel="1" x14ac:dyDescent="0.2">
      <c r="A302" s="457" t="s">
        <v>1318</v>
      </c>
      <c r="B302" s="450" t="str">
        <f t="shared" ref="B302:K302" si="536">B$6</f>
        <v>Trips</v>
      </c>
      <c r="C302" s="172" t="str">
        <f t="shared" si="536"/>
        <v>Mbpd</v>
      </c>
      <c r="D302" s="2556" t="str">
        <f t="shared" si="536"/>
        <v>Client</v>
      </c>
      <c r="E302" s="2556" t="str">
        <f t="shared" si="536"/>
        <v>Citrix</v>
      </c>
      <c r="F302" s="2556" t="str">
        <f t="shared" si="536"/>
        <v>Web</v>
      </c>
      <c r="G302" s="2709" t="str">
        <f t="shared" si="536"/>
        <v>Portal</v>
      </c>
      <c r="H302" s="2556" t="str">
        <f t="shared" si="536"/>
        <v>SOC</v>
      </c>
      <c r="I302" s="2556" t="str">
        <f t="shared" si="536"/>
        <v>DS/MDS</v>
      </c>
      <c r="J302" s="2556" t="str">
        <f t="shared" si="536"/>
        <v>Mbpd</v>
      </c>
      <c r="K302" s="2556" t="str">
        <f t="shared" si="536"/>
        <v>DBMS</v>
      </c>
      <c r="L302" s="178" t="s">
        <v>299</v>
      </c>
      <c r="M302" s="572" t="str">
        <f>M$6</f>
        <v>DPM/c</v>
      </c>
      <c r="N302" s="572" t="str">
        <f>N$6</f>
        <v>MT</v>
      </c>
      <c r="O302" s="572" t="str">
        <f>O$6</f>
        <v xml:space="preserve">WF </v>
      </c>
      <c r="P302" s="181" t="s">
        <v>273</v>
      </c>
      <c r="Q302" s="1088"/>
      <c r="R302" s="3217"/>
      <c r="S302" s="3217"/>
      <c r="T302" s="1270" t="s">
        <v>308</v>
      </c>
      <c r="U302" s="2556" t="s">
        <v>303</v>
      </c>
      <c r="V302" s="2556" t="str">
        <f>V$6</f>
        <v xml:space="preserve">WTS </v>
      </c>
      <c r="W302" s="2556" t="str">
        <f>+W$6</f>
        <v>Web</v>
      </c>
      <c r="X302" s="2556" t="str">
        <f>+X$6</f>
        <v>Portal</v>
      </c>
      <c r="Y302" s="2556" t="s">
        <v>312</v>
      </c>
      <c r="Z302" s="2556" t="s">
        <v>330</v>
      </c>
      <c r="AA302" s="2556" t="s">
        <v>308</v>
      </c>
      <c r="AB302" s="2556" t="s">
        <v>309</v>
      </c>
      <c r="AC302" s="178" t="s">
        <v>299</v>
      </c>
      <c r="AD302" s="181" t="s">
        <v>273</v>
      </c>
      <c r="AE302" s="1088"/>
      <c r="AF302" s="404" t="str">
        <f>A302</f>
        <v>Lesson 02  =========</v>
      </c>
      <c r="AG302" s="1087"/>
      <c r="AH302" s="1338" t="str">
        <f t="shared" ref="AH302:AM302" si="537">D302</f>
        <v>Client</v>
      </c>
      <c r="AI302" s="1339" t="str">
        <f t="shared" si="537"/>
        <v>Citrix</v>
      </c>
      <c r="AJ302" s="1339" t="str">
        <f t="shared" si="537"/>
        <v>Web</v>
      </c>
      <c r="AK302" s="1339" t="str">
        <f t="shared" si="537"/>
        <v>Portal</v>
      </c>
      <c r="AL302" s="1340" t="str">
        <f t="shared" si="537"/>
        <v>SOC</v>
      </c>
      <c r="AM302" s="1341" t="str">
        <f t="shared" si="537"/>
        <v>DS/MDS</v>
      </c>
      <c r="AN302" s="1342" t="str">
        <f>K302</f>
        <v>DBMS</v>
      </c>
      <c r="AO302" s="1084"/>
      <c r="AP302" s="2006"/>
      <c r="AQ302" s="2006"/>
      <c r="AR302" s="2006"/>
      <c r="AS302" s="2006"/>
      <c r="AT302" s="2006"/>
      <c r="AU302" s="2006"/>
      <c r="AV302" s="2006"/>
      <c r="AW302" s="2006"/>
      <c r="AX302" s="2006"/>
      <c r="AY302" s="2006"/>
      <c r="AZ302" s="2007"/>
      <c r="BA302" s="2007"/>
    </row>
    <row r="303" spans="1:53" ht="15" hidden="1" customHeight="1" outlineLevel="2" x14ac:dyDescent="0.2">
      <c r="A303" s="458" t="s">
        <v>1409</v>
      </c>
      <c r="B303" s="451">
        <v>300</v>
      </c>
      <c r="C303" s="155">
        <v>39.551000000000002</v>
      </c>
      <c r="D303" s="68">
        <v>0.48810937500000001</v>
      </c>
      <c r="E303" s="27">
        <v>0</v>
      </c>
      <c r="F303" s="29">
        <v>0</v>
      </c>
      <c r="G303" s="2695">
        <v>0</v>
      </c>
      <c r="H303" s="29">
        <v>0</v>
      </c>
      <c r="I303" s="28">
        <v>0</v>
      </c>
      <c r="J303" s="129">
        <v>39.551000000000002</v>
      </c>
      <c r="K303" s="28">
        <v>5.4228951562500002E-2</v>
      </c>
      <c r="L303" s="146">
        <v>3</v>
      </c>
      <c r="M303" s="571">
        <v>10</v>
      </c>
      <c r="N303" s="2293">
        <v>1</v>
      </c>
      <c r="O303" s="2507" t="s">
        <v>336</v>
      </c>
      <c r="P303" s="182">
        <f>SUM(D303:I303,K303)</f>
        <v>0.54233832656250003</v>
      </c>
      <c r="Q303" s="1084"/>
      <c r="R303" s="3219">
        <f t="shared" ref="R303" si="538">F303+G303</f>
        <v>0</v>
      </c>
      <c r="S303" s="3219">
        <f t="shared" ref="S303" si="539">E303+H303+K303</f>
        <v>5.4228951562500002E-2</v>
      </c>
      <c r="T303" s="129">
        <f>C303</f>
        <v>39.551000000000002</v>
      </c>
      <c r="U303" s="68">
        <f>D303*$K$3/$AB$3</f>
        <v>1.0320026785714287</v>
      </c>
      <c r="V303" s="27">
        <f>E303*$K$3/$AB$3</f>
        <v>0</v>
      </c>
      <c r="W303" s="363">
        <f t="shared" ref="W303:Z307" si="540">F303*$K$3/$AB$3</f>
        <v>0</v>
      </c>
      <c r="X303" s="363">
        <f t="shared" si="540"/>
        <v>0</v>
      </c>
      <c r="Y303" s="363">
        <f t="shared" si="540"/>
        <v>0</v>
      </c>
      <c r="Z303" s="28">
        <f t="shared" si="540"/>
        <v>0</v>
      </c>
      <c r="AA303" s="129">
        <f>J303</f>
        <v>39.551000000000002</v>
      </c>
      <c r="AB303" s="28">
        <f>K303*$K$3/$AB$3</f>
        <v>0.11465549758928571</v>
      </c>
      <c r="AC303" s="364">
        <f>L303</f>
        <v>3</v>
      </c>
      <c r="AD303" s="182">
        <f>SUM(U303:Z303,AB303)</f>
        <v>1.1466581761607144</v>
      </c>
      <c r="AE303" s="1084"/>
      <c r="AF303" s="463" t="s">
        <v>1357</v>
      </c>
      <c r="AG303" s="1087"/>
      <c r="AH303" s="1343">
        <f>1-SUM(AI303:AN303)</f>
        <v>0.90000900009000095</v>
      </c>
      <c r="AI303" s="1344">
        <f t="shared" ref="AI303:AM307" si="541">E303/$P303</f>
        <v>0</v>
      </c>
      <c r="AJ303" s="1345">
        <f t="shared" si="541"/>
        <v>0</v>
      </c>
      <c r="AK303" s="1345">
        <f t="shared" si="541"/>
        <v>0</v>
      </c>
      <c r="AL303" s="1345">
        <f t="shared" si="541"/>
        <v>0</v>
      </c>
      <c r="AM303" s="1346">
        <f t="shared" si="541"/>
        <v>0</v>
      </c>
      <c r="AN303" s="1347">
        <f>K303/$P303</f>
        <v>9.9990999909999101E-2</v>
      </c>
      <c r="AO303" s="1084"/>
      <c r="AP303" s="2006"/>
      <c r="AQ303" s="2006"/>
      <c r="AR303" s="2006"/>
      <c r="AS303" s="2006"/>
      <c r="AT303" s="2006"/>
      <c r="AU303" s="2006"/>
      <c r="AV303" s="2006"/>
      <c r="AW303" s="2006"/>
      <c r="AX303" s="2006"/>
      <c r="AY303" s="2006"/>
      <c r="AZ303" s="2007"/>
      <c r="BA303" s="2007"/>
    </row>
    <row r="304" spans="1:53" ht="15.75" hidden="1" customHeight="1" outlineLevel="2" x14ac:dyDescent="0.2">
      <c r="A304" s="458" t="s">
        <v>1410</v>
      </c>
      <c r="B304" s="451">
        <v>200</v>
      </c>
      <c r="C304" s="155">
        <v>26.367000000000001</v>
      </c>
      <c r="D304" s="68">
        <v>0.32540625000000001</v>
      </c>
      <c r="E304" s="27"/>
      <c r="F304" s="29">
        <v>0</v>
      </c>
      <c r="G304" s="2695">
        <v>0</v>
      </c>
      <c r="H304" s="29">
        <v>0</v>
      </c>
      <c r="I304" s="28">
        <v>0</v>
      </c>
      <c r="J304" s="129">
        <v>26.367000000000001</v>
      </c>
      <c r="K304" s="28">
        <v>3.6152634374999999E-2</v>
      </c>
      <c r="L304" s="146">
        <v>3</v>
      </c>
      <c r="M304" s="571">
        <v>10</v>
      </c>
      <c r="N304" s="2293">
        <v>1</v>
      </c>
      <c r="O304" s="2507" t="s">
        <v>336</v>
      </c>
      <c r="P304" s="182">
        <f>SUM(D304:I304,K304)</f>
        <v>0.361558884375</v>
      </c>
      <c r="Q304" s="1233"/>
      <c r="R304" s="3219">
        <f>F304+G304</f>
        <v>0</v>
      </c>
      <c r="S304" s="3219">
        <f>E304+H304+K304</f>
        <v>3.6152634374999999E-2</v>
      </c>
      <c r="T304" s="129">
        <f>C304</f>
        <v>26.367000000000001</v>
      </c>
      <c r="U304" s="68">
        <f>D304*$K$3/$AB$3</f>
        <v>0.68800178571428572</v>
      </c>
      <c r="V304" s="27"/>
      <c r="W304" s="363">
        <f t="shared" si="540"/>
        <v>0</v>
      </c>
      <c r="X304" s="363">
        <f t="shared" si="540"/>
        <v>0</v>
      </c>
      <c r="Y304" s="363">
        <f t="shared" si="540"/>
        <v>0</v>
      </c>
      <c r="Z304" s="28">
        <f t="shared" si="540"/>
        <v>0</v>
      </c>
      <c r="AA304" s="129">
        <f>J304</f>
        <v>26.367000000000001</v>
      </c>
      <c r="AB304" s="28">
        <f>K304*$K$3/$AB$3</f>
        <v>7.6436998392857142E-2</v>
      </c>
      <c r="AC304" s="364">
        <f>L304</f>
        <v>3</v>
      </c>
      <c r="AD304" s="182">
        <f>SUM(U304:Z304,AB304)</f>
        <v>0.76443878410714283</v>
      </c>
      <c r="AE304" s="1084"/>
      <c r="AF304" s="463" t="s">
        <v>1284</v>
      </c>
      <c r="AG304" s="1087"/>
      <c r="AH304" s="1343">
        <f>1-SUM(AI304:AN304)</f>
        <v>0.90000900009000095</v>
      </c>
      <c r="AI304" s="1344">
        <f t="shared" si="541"/>
        <v>0</v>
      </c>
      <c r="AJ304" s="1345">
        <f t="shared" si="541"/>
        <v>0</v>
      </c>
      <c r="AK304" s="1345">
        <f t="shared" si="541"/>
        <v>0</v>
      </c>
      <c r="AL304" s="1345">
        <f t="shared" si="541"/>
        <v>0</v>
      </c>
      <c r="AM304" s="1346">
        <f t="shared" si="541"/>
        <v>0</v>
      </c>
      <c r="AN304" s="1347">
        <f>K304/$P304</f>
        <v>9.9990999909999101E-2</v>
      </c>
      <c r="AO304" s="1084"/>
      <c r="AP304" s="2006" t="s">
        <v>872</v>
      </c>
      <c r="AQ304" s="2006"/>
      <c r="AR304" s="2006"/>
      <c r="AS304" s="2006"/>
      <c r="AT304" s="2006"/>
      <c r="AU304" s="2006"/>
      <c r="AV304" s="2006"/>
      <c r="AW304" s="2006"/>
      <c r="AX304" s="2006"/>
      <c r="AY304" s="2006"/>
      <c r="AZ304" s="2007"/>
      <c r="BA304" s="2007"/>
    </row>
    <row r="305" spans="1:55" ht="15.75" hidden="1" customHeight="1" outlineLevel="2" x14ac:dyDescent="0.2">
      <c r="A305" s="458" t="s">
        <v>1917</v>
      </c>
      <c r="B305" s="451">
        <v>10</v>
      </c>
      <c r="C305" s="155">
        <v>7.91</v>
      </c>
      <c r="D305" s="68">
        <v>2.0756756756756756E-2</v>
      </c>
      <c r="E305" s="27">
        <v>0.48810937500000001</v>
      </c>
      <c r="F305" s="29">
        <v>0</v>
      </c>
      <c r="G305" s="2695">
        <v>0</v>
      </c>
      <c r="H305" s="29">
        <v>0</v>
      </c>
      <c r="I305" s="28">
        <v>0</v>
      </c>
      <c r="J305" s="129">
        <v>26.367000000000001</v>
      </c>
      <c r="K305" s="28">
        <v>5.4228951562500002E-2</v>
      </c>
      <c r="L305" s="146">
        <v>3</v>
      </c>
      <c r="M305" s="571">
        <v>10</v>
      </c>
      <c r="N305" s="2293">
        <v>1</v>
      </c>
      <c r="O305" s="2507" t="s">
        <v>336</v>
      </c>
      <c r="P305" s="182">
        <f t="shared" ref="P305:P307" si="542">SUM(D305:I305,K305)</f>
        <v>0.56309508331925673</v>
      </c>
      <c r="Q305" s="1233"/>
      <c r="R305" s="3219">
        <f t="shared" ref="R305:R307" si="543">F305+G305</f>
        <v>0</v>
      </c>
      <c r="S305" s="3219">
        <f t="shared" ref="S305:S307" si="544">E305+H305+K305</f>
        <v>0.54233832656250003</v>
      </c>
      <c r="T305" s="129">
        <v>5.2729999999999997</v>
      </c>
      <c r="U305" s="68">
        <f t="shared" ref="U305:V307" si="545">D305*$K$3/$AB$3</f>
        <v>4.3885714285714285E-2</v>
      </c>
      <c r="V305" s="27">
        <f>E305*$K$3/$AB$3</f>
        <v>1.0320026785714287</v>
      </c>
      <c r="W305" s="363">
        <f t="shared" si="540"/>
        <v>0</v>
      </c>
      <c r="X305" s="363">
        <f t="shared" si="540"/>
        <v>0</v>
      </c>
      <c r="Y305" s="363">
        <f t="shared" si="540"/>
        <v>0</v>
      </c>
      <c r="Z305" s="28">
        <f t="shared" si="540"/>
        <v>0</v>
      </c>
      <c r="AA305" s="129">
        <f t="shared" ref="AA305:AA307" si="546">J305</f>
        <v>26.367000000000001</v>
      </c>
      <c r="AB305" s="28">
        <f t="shared" ref="AB305:AB307" si="547">K305*$K$3/$AB$3</f>
        <v>0.11465549758928571</v>
      </c>
      <c r="AC305" s="364">
        <f t="shared" ref="AC305:AC307" si="548">L305</f>
        <v>3</v>
      </c>
      <c r="AD305" s="182">
        <f t="shared" ref="AD305:AD307" si="549">SUM(U305:Z305,AB305)</f>
        <v>1.1905438904464287</v>
      </c>
      <c r="AE305" s="1084"/>
      <c r="AF305" s="463" t="s">
        <v>1363</v>
      </c>
      <c r="AG305" s="1087"/>
      <c r="AH305" s="1343">
        <f t="shared" ref="AH305:AH307" si="550">1-SUM(AI305:AN305)</f>
        <v>3.6861903738179658E-2</v>
      </c>
      <c r="AI305" s="1344">
        <f t="shared" si="541"/>
        <v>0.86683295496518797</v>
      </c>
      <c r="AJ305" s="1345">
        <f t="shared" si="541"/>
        <v>0</v>
      </c>
      <c r="AK305" s="1345">
        <f t="shared" si="541"/>
        <v>0</v>
      </c>
      <c r="AL305" s="1345">
        <f t="shared" si="541"/>
        <v>0</v>
      </c>
      <c r="AM305" s="1346">
        <f t="shared" si="541"/>
        <v>0</v>
      </c>
      <c r="AN305" s="1347">
        <f t="shared" ref="AN305:AN307" si="551">K305/$P305</f>
        <v>9.6305141296632382E-2</v>
      </c>
      <c r="AO305" s="1084"/>
      <c r="AP305" s="2006"/>
      <c r="AQ305" s="2006"/>
      <c r="AR305" s="2006"/>
      <c r="AS305" s="2006"/>
      <c r="AT305" s="2006"/>
      <c r="AU305" s="2006"/>
      <c r="AV305" s="2006"/>
      <c r="AW305" s="2006"/>
      <c r="AX305" s="2006"/>
      <c r="AY305" s="2006"/>
      <c r="AZ305" s="2007"/>
      <c r="BA305" s="2007"/>
    </row>
    <row r="306" spans="1:55" ht="15.75" hidden="1" customHeight="1" outlineLevel="2" x14ac:dyDescent="0.2">
      <c r="A306" s="458" t="s">
        <v>1411</v>
      </c>
      <c r="B306" s="451">
        <v>10</v>
      </c>
      <c r="C306" s="155">
        <v>5.274</v>
      </c>
      <c r="D306" s="68">
        <v>2.0756756756756756E-2</v>
      </c>
      <c r="E306" s="27">
        <v>0.32540625000000001</v>
      </c>
      <c r="F306" s="29">
        <v>0</v>
      </c>
      <c r="G306" s="2695">
        <v>0</v>
      </c>
      <c r="H306" s="29">
        <v>0</v>
      </c>
      <c r="I306" s="28">
        <v>0</v>
      </c>
      <c r="J306" s="129">
        <v>26.367000000000001</v>
      </c>
      <c r="K306" s="28">
        <v>3.6152634374999999E-2</v>
      </c>
      <c r="L306" s="146">
        <v>3</v>
      </c>
      <c r="M306" s="571">
        <v>10</v>
      </c>
      <c r="N306" s="2293">
        <v>1</v>
      </c>
      <c r="O306" s="2507" t="s">
        <v>336</v>
      </c>
      <c r="P306" s="182">
        <f t="shared" si="542"/>
        <v>0.38231564113175676</v>
      </c>
      <c r="Q306" s="1233"/>
      <c r="R306" s="3219">
        <f t="shared" si="543"/>
        <v>0</v>
      </c>
      <c r="S306" s="3219">
        <f t="shared" si="544"/>
        <v>0.361558884375</v>
      </c>
      <c r="T306" s="129">
        <v>5.2729999999999997</v>
      </c>
      <c r="U306" s="68">
        <f t="shared" si="545"/>
        <v>4.3885714285714285E-2</v>
      </c>
      <c r="V306" s="27">
        <f t="shared" si="545"/>
        <v>0.68800178571428572</v>
      </c>
      <c r="W306" s="363">
        <f t="shared" si="540"/>
        <v>0</v>
      </c>
      <c r="X306" s="363">
        <f t="shared" si="540"/>
        <v>0</v>
      </c>
      <c r="Y306" s="363">
        <f t="shared" si="540"/>
        <v>0</v>
      </c>
      <c r="Z306" s="28">
        <f t="shared" si="540"/>
        <v>0</v>
      </c>
      <c r="AA306" s="129">
        <f t="shared" si="546"/>
        <v>26.367000000000001</v>
      </c>
      <c r="AB306" s="28">
        <f t="shared" si="547"/>
        <v>7.6436998392857142E-2</v>
      </c>
      <c r="AC306" s="364">
        <f t="shared" si="548"/>
        <v>3</v>
      </c>
      <c r="AD306" s="182">
        <f t="shared" si="549"/>
        <v>0.80832449839285714</v>
      </c>
      <c r="AE306" s="1084"/>
      <c r="AF306" s="463" t="s">
        <v>1286</v>
      </c>
      <c r="AG306" s="1087"/>
      <c r="AH306" s="1343">
        <f t="shared" si="550"/>
        <v>5.4292198706051287E-2</v>
      </c>
      <c r="AI306" s="1344">
        <f t="shared" si="541"/>
        <v>0.85114553261988002</v>
      </c>
      <c r="AJ306" s="1345">
        <f t="shared" si="541"/>
        <v>0</v>
      </c>
      <c r="AK306" s="1345">
        <f t="shared" si="541"/>
        <v>0</v>
      </c>
      <c r="AL306" s="1345">
        <f t="shared" si="541"/>
        <v>0</v>
      </c>
      <c r="AM306" s="1346">
        <f t="shared" si="541"/>
        <v>0</v>
      </c>
      <c r="AN306" s="1347">
        <f t="shared" si="551"/>
        <v>9.4562268674068667E-2</v>
      </c>
      <c r="AO306" s="1084"/>
      <c r="AP306" s="2006"/>
      <c r="AQ306" s="2006"/>
      <c r="AR306" s="2006"/>
      <c r="AS306" s="2006"/>
      <c r="AT306" s="2006"/>
      <c r="AU306" s="2006"/>
      <c r="AV306" s="2006"/>
      <c r="AW306" s="2006"/>
      <c r="AX306" s="2006"/>
      <c r="AY306" s="2006"/>
      <c r="AZ306" s="2007"/>
      <c r="BA306" s="2007"/>
    </row>
    <row r="307" spans="1:55" ht="15" hidden="1" customHeight="1" outlineLevel="2" x14ac:dyDescent="0.2">
      <c r="A307" s="459" t="s">
        <v>1412</v>
      </c>
      <c r="B307" s="451">
        <v>10</v>
      </c>
      <c r="C307" s="155">
        <v>2.6339999999999999</v>
      </c>
      <c r="D307" s="68">
        <v>2.0756756756756756E-2</v>
      </c>
      <c r="E307" s="27">
        <v>0</v>
      </c>
      <c r="F307" s="1931">
        <v>6.9189189189189189E-3</v>
      </c>
      <c r="G307" s="2655">
        <v>0</v>
      </c>
      <c r="H307" s="29">
        <v>0.16564488281249998</v>
      </c>
      <c r="I307" s="28">
        <v>0</v>
      </c>
      <c r="J307" s="129">
        <v>20.010000000000002</v>
      </c>
      <c r="K307" s="28">
        <v>2.8312533046874994E-2</v>
      </c>
      <c r="L307" s="146">
        <v>3</v>
      </c>
      <c r="M307" s="571">
        <v>6</v>
      </c>
      <c r="N307" s="2293">
        <v>1</v>
      </c>
      <c r="O307" s="2507" t="s">
        <v>332</v>
      </c>
      <c r="P307" s="182">
        <f t="shared" si="542"/>
        <v>0.22163309153505065</v>
      </c>
      <c r="Q307" s="1084"/>
      <c r="R307" s="3219">
        <f t="shared" si="543"/>
        <v>6.9189189189189189E-3</v>
      </c>
      <c r="S307" s="3219">
        <f t="shared" si="544"/>
        <v>0.19395741585937498</v>
      </c>
      <c r="T307" s="129">
        <f t="shared" ref="T307" si="552">C307</f>
        <v>2.6339999999999999</v>
      </c>
      <c r="U307" s="68">
        <f t="shared" si="545"/>
        <v>4.3885714285714285E-2</v>
      </c>
      <c r="V307" s="27">
        <f t="shared" si="545"/>
        <v>0</v>
      </c>
      <c r="W307" s="363">
        <f t="shared" si="540"/>
        <v>1.4628571428571428E-2</v>
      </c>
      <c r="X307" s="363">
        <f t="shared" si="540"/>
        <v>0</v>
      </c>
      <c r="Y307" s="363">
        <f t="shared" si="540"/>
        <v>0.35022060937499994</v>
      </c>
      <c r="Z307" s="28">
        <f t="shared" si="540"/>
        <v>0</v>
      </c>
      <c r="AA307" s="129">
        <f t="shared" si="546"/>
        <v>20.010000000000002</v>
      </c>
      <c r="AB307" s="28">
        <f t="shared" si="547"/>
        <v>5.9860784156249992E-2</v>
      </c>
      <c r="AC307" s="364">
        <f t="shared" si="548"/>
        <v>3</v>
      </c>
      <c r="AD307" s="182">
        <f t="shared" si="549"/>
        <v>0.46859567924553563</v>
      </c>
      <c r="AE307" s="1084"/>
      <c r="AF307" s="462" t="s">
        <v>1373</v>
      </c>
      <c r="AG307" s="1087"/>
      <c r="AH307" s="1343">
        <f t="shared" si="550"/>
        <v>9.3653689586665978E-2</v>
      </c>
      <c r="AI307" s="1344">
        <f t="shared" si="541"/>
        <v>0</v>
      </c>
      <c r="AJ307" s="1345">
        <f t="shared" si="541"/>
        <v>3.1217896528888654E-2</v>
      </c>
      <c r="AK307" s="1345">
        <f t="shared" si="541"/>
        <v>0</v>
      </c>
      <c r="AL307" s="1345">
        <f t="shared" si="541"/>
        <v>0.74738335176046444</v>
      </c>
      <c r="AM307" s="1346">
        <f t="shared" si="541"/>
        <v>0</v>
      </c>
      <c r="AN307" s="1347">
        <f t="shared" si="551"/>
        <v>0.12774506212398093</v>
      </c>
      <c r="AO307" s="1084"/>
      <c r="AP307" s="2006" t="s">
        <v>873</v>
      </c>
      <c r="AQ307" s="2006"/>
      <c r="AR307" s="2006"/>
      <c r="AS307" s="2006"/>
      <c r="AT307" s="2006"/>
      <c r="AU307" s="2006"/>
      <c r="AV307" s="2006"/>
      <c r="AW307" s="2006"/>
      <c r="AX307" s="2006"/>
      <c r="AY307" s="2006"/>
      <c r="AZ307" s="2007"/>
      <c r="BA307" s="2007"/>
      <c r="BB307" s="1941">
        <f>+BB304*0.666</f>
        <v>0</v>
      </c>
      <c r="BC307" s="1722"/>
    </row>
    <row r="308" spans="1:55" ht="15" customHeight="1" outlineLevel="1" collapsed="1" x14ac:dyDescent="0.2">
      <c r="A308" s="457" t="s">
        <v>1319</v>
      </c>
      <c r="B308" s="450" t="str">
        <f t="shared" ref="B308:C323" si="553">B$6</f>
        <v>Trips</v>
      </c>
      <c r="C308" s="172" t="str">
        <f t="shared" si="553"/>
        <v>Mbpd</v>
      </c>
      <c r="D308" s="2556" t="s">
        <v>303</v>
      </c>
      <c r="E308" s="2556" t="s">
        <v>9</v>
      </c>
      <c r="F308" s="2556" t="s">
        <v>304</v>
      </c>
      <c r="G308" s="2709" t="s">
        <v>970</v>
      </c>
      <c r="H308" s="2556" t="s">
        <v>312</v>
      </c>
      <c r="I308" s="2556" t="s">
        <v>330</v>
      </c>
      <c r="J308" s="2556" t="s">
        <v>308</v>
      </c>
      <c r="K308" s="2556" t="s">
        <v>309</v>
      </c>
      <c r="L308" s="178" t="s">
        <v>299</v>
      </c>
      <c r="M308" s="572" t="str">
        <f>M$6</f>
        <v>DPM/c</v>
      </c>
      <c r="N308" s="572" t="str">
        <f>N$6</f>
        <v>MT</v>
      </c>
      <c r="O308" s="572" t="str">
        <f>O$6</f>
        <v xml:space="preserve">WF </v>
      </c>
      <c r="P308" s="181" t="s">
        <v>273</v>
      </c>
      <c r="Q308" s="1088"/>
      <c r="R308" s="3217"/>
      <c r="S308" s="3217"/>
      <c r="T308" s="1270" t="s">
        <v>308</v>
      </c>
      <c r="U308" s="2556" t="s">
        <v>303</v>
      </c>
      <c r="V308" s="2556" t="str">
        <f>V$6</f>
        <v xml:space="preserve">WTS </v>
      </c>
      <c r="W308" s="2556" t="str">
        <f>+W$6</f>
        <v>Web</v>
      </c>
      <c r="X308" s="2556" t="str">
        <f>+X$6</f>
        <v>Portal</v>
      </c>
      <c r="Y308" s="2556" t="s">
        <v>312</v>
      </c>
      <c r="Z308" s="2556" t="s">
        <v>330</v>
      </c>
      <c r="AA308" s="2556" t="s">
        <v>308</v>
      </c>
      <c r="AB308" s="2556" t="s">
        <v>309</v>
      </c>
      <c r="AC308" s="178" t="s">
        <v>299</v>
      </c>
      <c r="AD308" s="181" t="s">
        <v>273</v>
      </c>
      <c r="AE308" s="1088"/>
      <c r="AF308" s="404" t="str">
        <f>A308</f>
        <v>Lesson 03  =========</v>
      </c>
      <c r="AG308" s="1087"/>
      <c r="AH308" s="1338" t="str">
        <f t="shared" ref="AH308:AM308" si="554">D308</f>
        <v>Client</v>
      </c>
      <c r="AI308" s="1339" t="str">
        <f t="shared" si="554"/>
        <v xml:space="preserve">WTS </v>
      </c>
      <c r="AJ308" s="1339" t="str">
        <f t="shared" si="554"/>
        <v>Web</v>
      </c>
      <c r="AK308" s="1339" t="str">
        <f t="shared" si="554"/>
        <v>Portal</v>
      </c>
      <c r="AL308" s="1340" t="str">
        <f t="shared" si="554"/>
        <v>SOC</v>
      </c>
      <c r="AM308" s="1341" t="str">
        <f t="shared" si="554"/>
        <v>SDE</v>
      </c>
      <c r="AN308" s="1342" t="str">
        <f>K308</f>
        <v>DBMS</v>
      </c>
      <c r="AO308" s="1084"/>
      <c r="AP308" s="2006"/>
      <c r="AQ308" s="2006"/>
      <c r="AR308" s="2006"/>
      <c r="AS308" s="2006"/>
      <c r="AT308" s="2006"/>
      <c r="AU308" s="2006"/>
      <c r="AV308" s="2006"/>
      <c r="AW308" s="2006"/>
      <c r="AX308" s="2006"/>
      <c r="AY308" s="2006"/>
      <c r="AZ308" s="2007"/>
      <c r="BA308" s="2007"/>
    </row>
    <row r="309" spans="1:55" ht="15" hidden="1" customHeight="1" outlineLevel="2" x14ac:dyDescent="0.2">
      <c r="A309" s="459" t="s">
        <v>1413</v>
      </c>
      <c r="B309" s="451">
        <v>10</v>
      </c>
      <c r="C309" s="155">
        <v>2.5009999999999999</v>
      </c>
      <c r="D309" s="68">
        <v>3.7529961993243238E-2</v>
      </c>
      <c r="E309" s="27">
        <v>0</v>
      </c>
      <c r="F309" s="1931">
        <v>6.9189189189189197E-3</v>
      </c>
      <c r="G309" s="2655">
        <v>0</v>
      </c>
      <c r="H309" s="29">
        <v>6.3709570312499983E-3</v>
      </c>
      <c r="I309" s="28">
        <v>0</v>
      </c>
      <c r="J309" s="129">
        <v>2.0009999999999999</v>
      </c>
      <c r="K309" s="28">
        <v>2.8312533046874989E-3</v>
      </c>
      <c r="L309" s="146">
        <v>3</v>
      </c>
      <c r="M309" s="571">
        <v>6</v>
      </c>
      <c r="N309" s="2293">
        <v>1</v>
      </c>
      <c r="O309" s="2507" t="s">
        <v>332</v>
      </c>
      <c r="P309" s="182">
        <f t="shared" ref="P309" si="555">SUM(D309:I309,K309)</f>
        <v>5.3651091248099657E-2</v>
      </c>
      <c r="Q309" s="1084"/>
      <c r="R309" s="3219">
        <f t="shared" ref="R309" si="556">F309+G309</f>
        <v>6.9189189189189197E-3</v>
      </c>
      <c r="S309" s="3219">
        <f t="shared" ref="S309" si="557">E309+H309+K309</f>
        <v>9.2022103359374972E-3</v>
      </c>
      <c r="T309" s="129">
        <f t="shared" ref="T309" si="558">C309</f>
        <v>2.5009999999999999</v>
      </c>
      <c r="U309" s="68">
        <f t="shared" ref="U309:Z309" si="559">D309*$K$3/$AB$3</f>
        <v>7.9349062499999998E-2</v>
      </c>
      <c r="V309" s="27">
        <f t="shared" si="559"/>
        <v>0</v>
      </c>
      <c r="W309" s="363">
        <f t="shared" si="559"/>
        <v>1.4628571428571428E-2</v>
      </c>
      <c r="X309" s="363">
        <f t="shared" si="559"/>
        <v>0</v>
      </c>
      <c r="Y309" s="363">
        <f t="shared" si="559"/>
        <v>1.3470023437499996E-2</v>
      </c>
      <c r="Z309" s="28">
        <f t="shared" si="559"/>
        <v>0</v>
      </c>
      <c r="AA309" s="129">
        <f t="shared" ref="AA309" si="560">J309</f>
        <v>2.0009999999999999</v>
      </c>
      <c r="AB309" s="28">
        <f t="shared" ref="AB309" si="561">K309*$K$3/$AB$3</f>
        <v>5.9860784156249977E-3</v>
      </c>
      <c r="AC309" s="364">
        <f t="shared" ref="AC309" si="562">L309</f>
        <v>3</v>
      </c>
      <c r="AD309" s="182">
        <f t="shared" ref="AD309" si="563">SUM(U309:Z309,AB309)</f>
        <v>0.11343373578169641</v>
      </c>
      <c r="AE309" s="1084"/>
      <c r="AF309" s="462" t="s">
        <v>1414</v>
      </c>
      <c r="AG309" s="1087"/>
      <c r="AH309" s="1343">
        <f t="shared" ref="AH309" si="564">1-SUM(AI309:AN309)</f>
        <v>0.69951908004429575</v>
      </c>
      <c r="AI309" s="1344">
        <f t="shared" ref="AI309:AM309" si="565">E309/$P309</f>
        <v>0</v>
      </c>
      <c r="AJ309" s="1345">
        <f t="shared" si="565"/>
        <v>0.12896138285284162</v>
      </c>
      <c r="AK309" s="1345">
        <f t="shared" si="565"/>
        <v>0</v>
      </c>
      <c r="AL309" s="1345">
        <f t="shared" si="565"/>
        <v>0.11874794870040337</v>
      </c>
      <c r="AM309" s="1346">
        <f t="shared" si="565"/>
        <v>0</v>
      </c>
      <c r="AN309" s="1347">
        <f t="shared" ref="AN309" si="566">K309/$P309</f>
        <v>5.2771588402459255E-2</v>
      </c>
      <c r="AO309" s="1084"/>
      <c r="AP309" s="2006" t="s">
        <v>873</v>
      </c>
      <c r="AQ309" s="2006"/>
      <c r="AR309" s="2006"/>
      <c r="AS309" s="2006"/>
      <c r="AT309" s="2006"/>
      <c r="AU309" s="2006"/>
      <c r="AV309" s="2006"/>
      <c r="AW309" s="2006"/>
      <c r="AX309" s="2006"/>
      <c r="AY309" s="2006"/>
      <c r="AZ309" s="2007"/>
      <c r="BA309" s="2007"/>
      <c r="BB309" s="1941">
        <f>+BB305*0.666</f>
        <v>0</v>
      </c>
      <c r="BC309" s="1722"/>
    </row>
    <row r="310" spans="1:55" ht="15" customHeight="1" outlineLevel="1" collapsed="1" x14ac:dyDescent="0.2">
      <c r="A310" s="457" t="s">
        <v>1320</v>
      </c>
      <c r="B310" s="450" t="str">
        <f t="shared" si="553"/>
        <v>Trips</v>
      </c>
      <c r="C310" s="172" t="str">
        <f t="shared" si="553"/>
        <v>Mbpd</v>
      </c>
      <c r="D310" s="2556" t="s">
        <v>303</v>
      </c>
      <c r="E310" s="2556" t="s">
        <v>9</v>
      </c>
      <c r="F310" s="2556" t="s">
        <v>304</v>
      </c>
      <c r="G310" s="2709" t="s">
        <v>970</v>
      </c>
      <c r="H310" s="2556" t="s">
        <v>312</v>
      </c>
      <c r="I310" s="2556" t="s">
        <v>330</v>
      </c>
      <c r="J310" s="2556" t="s">
        <v>308</v>
      </c>
      <c r="K310" s="2556" t="s">
        <v>309</v>
      </c>
      <c r="L310" s="178" t="s">
        <v>299</v>
      </c>
      <c r="M310" s="572" t="str">
        <f>M$6</f>
        <v>DPM/c</v>
      </c>
      <c r="N310" s="572" t="str">
        <f>N$6</f>
        <v>MT</v>
      </c>
      <c r="O310" s="572" t="str">
        <f>O$6</f>
        <v xml:space="preserve">WF </v>
      </c>
      <c r="P310" s="181" t="s">
        <v>273</v>
      </c>
      <c r="Q310" s="1088"/>
      <c r="R310" s="3217"/>
      <c r="S310" s="3217"/>
      <c r="T310" s="1270" t="s">
        <v>308</v>
      </c>
      <c r="U310" s="2556" t="s">
        <v>303</v>
      </c>
      <c r="V310" s="2556" t="str">
        <f>V$6</f>
        <v xml:space="preserve">WTS </v>
      </c>
      <c r="W310" s="2556" t="str">
        <f>+W$6</f>
        <v>Web</v>
      </c>
      <c r="X310" s="2556" t="str">
        <f>+X$6</f>
        <v>Portal</v>
      </c>
      <c r="Y310" s="2556" t="s">
        <v>312</v>
      </c>
      <c r="Z310" s="2556" t="s">
        <v>330</v>
      </c>
      <c r="AA310" s="2556" t="s">
        <v>308</v>
      </c>
      <c r="AB310" s="2556" t="s">
        <v>309</v>
      </c>
      <c r="AC310" s="178" t="s">
        <v>299</v>
      </c>
      <c r="AD310" s="181" t="s">
        <v>273</v>
      </c>
      <c r="AE310" s="1088"/>
      <c r="AF310" s="404" t="str">
        <f>A310</f>
        <v>Lesson 05  =========</v>
      </c>
      <c r="AG310" s="1087"/>
      <c r="AH310" s="1338" t="str">
        <f t="shared" ref="AH310:AM310" si="567">D310</f>
        <v>Client</v>
      </c>
      <c r="AI310" s="1339" t="str">
        <f t="shared" si="567"/>
        <v xml:space="preserve">WTS </v>
      </c>
      <c r="AJ310" s="1339" t="str">
        <f t="shared" si="567"/>
        <v>Web</v>
      </c>
      <c r="AK310" s="1339" t="str">
        <f t="shared" si="567"/>
        <v>Portal</v>
      </c>
      <c r="AL310" s="1340" t="str">
        <f t="shared" si="567"/>
        <v>SOC</v>
      </c>
      <c r="AM310" s="1341" t="str">
        <f t="shared" si="567"/>
        <v>SDE</v>
      </c>
      <c r="AN310" s="1342" t="str">
        <f>K310</f>
        <v>DBMS</v>
      </c>
      <c r="AO310" s="1084"/>
      <c r="AP310" s="2006"/>
      <c r="AQ310" s="2006"/>
      <c r="AR310" s="2006"/>
      <c r="AS310" s="2006"/>
      <c r="AT310" s="2006"/>
      <c r="AU310" s="2006"/>
      <c r="AV310" s="2006"/>
      <c r="AW310" s="2006"/>
      <c r="AX310" s="2006"/>
      <c r="AY310" s="2006"/>
      <c r="AZ310" s="2007"/>
      <c r="BA310" s="2007"/>
    </row>
    <row r="311" spans="1:55" ht="15" hidden="1" customHeight="1" outlineLevel="2" x14ac:dyDescent="0.2">
      <c r="A311" s="459" t="s">
        <v>1415</v>
      </c>
      <c r="B311" s="451">
        <v>10</v>
      </c>
      <c r="C311" s="155">
        <v>5.2729999999999997</v>
      </c>
      <c r="D311" s="68">
        <v>2.0756756756756759E-2</v>
      </c>
      <c r="E311" s="27">
        <v>0</v>
      </c>
      <c r="F311" s="1931">
        <v>6.9189189189189197E-3</v>
      </c>
      <c r="G311" s="2655">
        <v>0</v>
      </c>
      <c r="H311" s="29">
        <v>8.7262500000000007E-2</v>
      </c>
      <c r="I311" s="28">
        <v>1.0907812500000001E-2</v>
      </c>
      <c r="J311" s="129">
        <v>26.367000000000001</v>
      </c>
      <c r="K311" s="28">
        <v>1.0907812500000001E-2</v>
      </c>
      <c r="L311" s="146">
        <v>3</v>
      </c>
      <c r="M311" s="571">
        <v>6</v>
      </c>
      <c r="N311" s="2293">
        <v>1</v>
      </c>
      <c r="O311" s="2507" t="s">
        <v>541</v>
      </c>
      <c r="P311" s="182">
        <f t="shared" ref="P311" si="568">SUM(D311:I311,K311)</f>
        <v>0.13675380067567569</v>
      </c>
      <c r="Q311" s="1084"/>
      <c r="R311" s="3219">
        <f t="shared" ref="R311" si="569">F311+G311</f>
        <v>6.9189189189189197E-3</v>
      </c>
      <c r="S311" s="3219">
        <f t="shared" ref="S311" si="570">E311+H311+K311</f>
        <v>9.8170312500000009E-2</v>
      </c>
      <c r="T311" s="129">
        <f t="shared" ref="T311" si="571">C311</f>
        <v>5.2729999999999997</v>
      </c>
      <c r="U311" s="68">
        <f t="shared" ref="U311:Z311" si="572">D311*$K$3/$AB$3</f>
        <v>4.3885714285714292E-2</v>
      </c>
      <c r="V311" s="27">
        <f t="shared" si="572"/>
        <v>0</v>
      </c>
      <c r="W311" s="363">
        <f t="shared" si="572"/>
        <v>1.4628571428571428E-2</v>
      </c>
      <c r="X311" s="363">
        <f t="shared" si="572"/>
        <v>0</v>
      </c>
      <c r="Y311" s="363">
        <f t="shared" si="572"/>
        <v>0.18449785714285716</v>
      </c>
      <c r="Z311" s="28">
        <f t="shared" si="572"/>
        <v>2.3062232142857145E-2</v>
      </c>
      <c r="AA311" s="129">
        <f t="shared" ref="AA311" si="573">J311</f>
        <v>26.367000000000001</v>
      </c>
      <c r="AB311" s="28">
        <f t="shared" ref="AB311" si="574">K311*$K$3/$AB$3</f>
        <v>2.3062232142857145E-2</v>
      </c>
      <c r="AC311" s="364">
        <f t="shared" ref="AC311" si="575">L311</f>
        <v>3</v>
      </c>
      <c r="AD311" s="182">
        <f t="shared" ref="AD311" si="576">SUM(U311:Z311,AB311)</f>
        <v>0.28913660714285716</v>
      </c>
      <c r="AE311" s="1084"/>
      <c r="AF311" s="462" t="s">
        <v>1381</v>
      </c>
      <c r="AG311" s="1087"/>
      <c r="AH311" s="1343">
        <f t="shared" ref="AH311" si="577">1-SUM(AI311:AN311)</f>
        <v>0.15178193698603915</v>
      </c>
      <c r="AI311" s="1344">
        <f t="shared" ref="AI311:AM311" si="578">E311/$P311</f>
        <v>0</v>
      </c>
      <c r="AJ311" s="1345">
        <f t="shared" si="578"/>
        <v>5.0593978995346366E-2</v>
      </c>
      <c r="AK311" s="1345">
        <f t="shared" si="578"/>
        <v>0</v>
      </c>
      <c r="AL311" s="1345">
        <f t="shared" si="578"/>
        <v>0.63809926721489163</v>
      </c>
      <c r="AM311" s="1346">
        <f t="shared" si="578"/>
        <v>7.9762408401861454E-2</v>
      </c>
      <c r="AN311" s="1347">
        <f t="shared" ref="AN311" si="579">K311/$P311</f>
        <v>7.9762408401861454E-2</v>
      </c>
      <c r="AO311" s="1084"/>
      <c r="AP311" s="2006" t="s">
        <v>873</v>
      </c>
      <c r="AQ311" s="2006"/>
      <c r="AR311" s="2006"/>
      <c r="AS311" s="2006"/>
      <c r="AT311" s="2006"/>
      <c r="AU311" s="2006"/>
      <c r="AV311" s="2006"/>
      <c r="AW311" s="2006"/>
      <c r="AX311" s="2006"/>
      <c r="AY311" s="2006"/>
      <c r="AZ311" s="2007"/>
      <c r="BA311" s="2007"/>
      <c r="BB311" s="1941">
        <f>+BB306*0.666</f>
        <v>0</v>
      </c>
      <c r="BC311" s="1722"/>
    </row>
    <row r="312" spans="1:55" ht="15" customHeight="1" outlineLevel="1" collapsed="1" x14ac:dyDescent="0.2">
      <c r="A312" s="457" t="s">
        <v>1321</v>
      </c>
      <c r="B312" s="450" t="str">
        <f t="shared" si="553"/>
        <v>Trips</v>
      </c>
      <c r="C312" s="172" t="str">
        <f t="shared" si="553"/>
        <v>Mbpd</v>
      </c>
      <c r="D312" s="2556" t="s">
        <v>303</v>
      </c>
      <c r="E312" s="2556" t="s">
        <v>9</v>
      </c>
      <c r="F312" s="2556" t="s">
        <v>304</v>
      </c>
      <c r="G312" s="2709" t="s">
        <v>970</v>
      </c>
      <c r="H312" s="2556" t="s">
        <v>312</v>
      </c>
      <c r="I312" s="2556" t="s">
        <v>330</v>
      </c>
      <c r="J312" s="2556" t="s">
        <v>308</v>
      </c>
      <c r="K312" s="2556" t="s">
        <v>309</v>
      </c>
      <c r="L312" s="178" t="s">
        <v>299</v>
      </c>
      <c r="M312" s="572" t="str">
        <f>M$6</f>
        <v>DPM/c</v>
      </c>
      <c r="N312" s="572" t="str">
        <f>N$6</f>
        <v>MT</v>
      </c>
      <c r="O312" s="572" t="str">
        <f>O$6</f>
        <v xml:space="preserve">WF </v>
      </c>
      <c r="P312" s="181" t="s">
        <v>273</v>
      </c>
      <c r="Q312" s="1088"/>
      <c r="R312" s="3217"/>
      <c r="S312" s="3217"/>
      <c r="T312" s="1270" t="s">
        <v>308</v>
      </c>
      <c r="U312" s="2556" t="s">
        <v>303</v>
      </c>
      <c r="V312" s="2556" t="str">
        <f>V$6</f>
        <v xml:space="preserve">WTS </v>
      </c>
      <c r="W312" s="2556" t="str">
        <f>+W$6</f>
        <v>Web</v>
      </c>
      <c r="X312" s="2556" t="str">
        <f>+X$6</f>
        <v>Portal</v>
      </c>
      <c r="Y312" s="2556" t="s">
        <v>312</v>
      </c>
      <c r="Z312" s="2556" t="s">
        <v>330</v>
      </c>
      <c r="AA312" s="2556" t="s">
        <v>308</v>
      </c>
      <c r="AB312" s="2556" t="s">
        <v>309</v>
      </c>
      <c r="AC312" s="178" t="s">
        <v>299</v>
      </c>
      <c r="AD312" s="181" t="s">
        <v>273</v>
      </c>
      <c r="AE312" s="1088"/>
      <c r="AF312" s="404" t="str">
        <f>A312</f>
        <v>Lesson 06  =========</v>
      </c>
      <c r="AG312" s="1087"/>
      <c r="AH312" s="1338" t="str">
        <f t="shared" ref="AH312:AM312" si="580">D312</f>
        <v>Client</v>
      </c>
      <c r="AI312" s="1339" t="str">
        <f t="shared" si="580"/>
        <v xml:space="preserve">WTS </v>
      </c>
      <c r="AJ312" s="1339" t="str">
        <f t="shared" si="580"/>
        <v>Web</v>
      </c>
      <c r="AK312" s="1339" t="str">
        <f t="shared" si="580"/>
        <v>Portal</v>
      </c>
      <c r="AL312" s="1340" t="str">
        <f t="shared" si="580"/>
        <v>SOC</v>
      </c>
      <c r="AM312" s="1341" t="str">
        <f t="shared" si="580"/>
        <v>SDE</v>
      </c>
      <c r="AN312" s="1342" t="str">
        <f>K312</f>
        <v>DBMS</v>
      </c>
      <c r="AO312" s="1084"/>
      <c r="AP312" s="2006"/>
      <c r="AQ312" s="2006"/>
      <c r="AR312" s="2006"/>
      <c r="AS312" s="2006"/>
      <c r="AT312" s="2006"/>
      <c r="AU312" s="2006"/>
      <c r="AV312" s="2006"/>
      <c r="AW312" s="2006"/>
      <c r="AX312" s="2006"/>
      <c r="AY312" s="2006"/>
      <c r="AZ312" s="2007"/>
      <c r="BA312" s="2007"/>
    </row>
    <row r="313" spans="1:55" ht="15" hidden="1" customHeight="1" outlineLevel="2" x14ac:dyDescent="0.2">
      <c r="A313" s="459" t="s">
        <v>1416</v>
      </c>
      <c r="B313" s="451">
        <v>10</v>
      </c>
      <c r="C313" s="155">
        <v>0.84199999999999997</v>
      </c>
      <c r="D313" s="68">
        <v>2.0756756756756759E-2</v>
      </c>
      <c r="E313" s="27">
        <v>0</v>
      </c>
      <c r="F313" s="1931">
        <v>6.9189189189189197E-3</v>
      </c>
      <c r="G313" s="2655">
        <v>0</v>
      </c>
      <c r="H313" s="29">
        <v>5.0529527343749998E-2</v>
      </c>
      <c r="I313" s="28">
        <v>0</v>
      </c>
      <c r="J313" s="129">
        <v>1.831</v>
      </c>
      <c r="K313" s="28">
        <v>8.6366622890624994E-3</v>
      </c>
      <c r="L313" s="146">
        <v>3</v>
      </c>
      <c r="M313" s="571">
        <v>6</v>
      </c>
      <c r="N313" s="2293">
        <v>1</v>
      </c>
      <c r="O313" s="2507" t="s">
        <v>332</v>
      </c>
      <c r="P313" s="182">
        <f t="shared" ref="P313" si="581">SUM(D313:I313,K313)</f>
        <v>8.6841865308488184E-2</v>
      </c>
      <c r="Q313" s="1084"/>
      <c r="R313" s="3219">
        <f t="shared" ref="R313" si="582">F313+G313</f>
        <v>6.9189189189189197E-3</v>
      </c>
      <c r="S313" s="3219">
        <f t="shared" ref="S313" si="583">E313+H313+K313</f>
        <v>5.9166189632812498E-2</v>
      </c>
      <c r="T313" s="129">
        <f t="shared" ref="T313" si="584">C313</f>
        <v>0.84199999999999997</v>
      </c>
      <c r="U313" s="68">
        <f t="shared" ref="U313:Z313" si="585">D313*$K$3/$AB$3</f>
        <v>4.3885714285714292E-2</v>
      </c>
      <c r="V313" s="27">
        <f t="shared" si="585"/>
        <v>0</v>
      </c>
      <c r="W313" s="363">
        <f t="shared" si="585"/>
        <v>1.4628571428571428E-2</v>
      </c>
      <c r="X313" s="363">
        <f t="shared" si="585"/>
        <v>0</v>
      </c>
      <c r="Y313" s="363">
        <f t="shared" si="585"/>
        <v>0.1068338578125</v>
      </c>
      <c r="Z313" s="28">
        <f t="shared" si="585"/>
        <v>0</v>
      </c>
      <c r="AA313" s="129">
        <f t="shared" ref="AA313" si="586">J313</f>
        <v>1.831</v>
      </c>
      <c r="AB313" s="28">
        <f t="shared" ref="AB313" si="587">K313*$K$3/$AB$3</f>
        <v>1.8260371696875E-2</v>
      </c>
      <c r="AC313" s="364">
        <f t="shared" ref="AC313" si="588">L313</f>
        <v>3</v>
      </c>
      <c r="AD313" s="182">
        <f t="shared" ref="AD313" si="589">SUM(U313:Z313,AB313)</f>
        <v>0.18360851522366073</v>
      </c>
      <c r="AE313" s="1084"/>
      <c r="AF313" s="462" t="s">
        <v>1417</v>
      </c>
      <c r="AG313" s="1087"/>
      <c r="AH313" s="1343">
        <f t="shared" ref="AH313" si="590">1-SUM(AI313:AN313)</f>
        <v>0.23901785945088327</v>
      </c>
      <c r="AI313" s="1344">
        <f t="shared" ref="AI313:AM313" si="591">E313/$P313</f>
        <v>0</v>
      </c>
      <c r="AJ313" s="1345">
        <f t="shared" si="591"/>
        <v>7.9672619816961068E-2</v>
      </c>
      <c r="AK313" s="1345">
        <f t="shared" si="591"/>
        <v>0</v>
      </c>
      <c r="AL313" s="1345">
        <f t="shared" si="591"/>
        <v>0.58185677108908318</v>
      </c>
      <c r="AM313" s="1346">
        <f t="shared" si="591"/>
        <v>0</v>
      </c>
      <c r="AN313" s="1347">
        <f t="shared" ref="AN313" si="592">K313/$P313</f>
        <v>9.9452749643072519E-2</v>
      </c>
      <c r="AO313" s="1084"/>
      <c r="AP313" s="2006" t="s">
        <v>873</v>
      </c>
      <c r="AQ313" s="2006"/>
      <c r="AR313" s="2006"/>
      <c r="AS313" s="2006"/>
      <c r="AT313" s="2006"/>
      <c r="AU313" s="2006"/>
      <c r="AV313" s="2006"/>
      <c r="AW313" s="2006"/>
      <c r="AX313" s="2006"/>
      <c r="AY313" s="2006"/>
      <c r="AZ313" s="2007"/>
      <c r="BA313" s="2007"/>
      <c r="BB313" s="1941">
        <f>+BB308*0.666</f>
        <v>0</v>
      </c>
      <c r="BC313" s="1722"/>
    </row>
    <row r="314" spans="1:55" ht="15" customHeight="1" outlineLevel="1" collapsed="1" x14ac:dyDescent="0.2">
      <c r="A314" s="457" t="s">
        <v>1927</v>
      </c>
      <c r="B314" s="450" t="str">
        <f t="shared" ref="B314:C314" si="593">B$6</f>
        <v>Trips</v>
      </c>
      <c r="C314" s="172" t="str">
        <f t="shared" si="593"/>
        <v>Mbpd</v>
      </c>
      <c r="D314" s="2556" t="s">
        <v>303</v>
      </c>
      <c r="E314" s="2556" t="s">
        <v>9</v>
      </c>
      <c r="F314" s="2556" t="s">
        <v>304</v>
      </c>
      <c r="G314" s="2709" t="s">
        <v>970</v>
      </c>
      <c r="H314" s="2556" t="s">
        <v>312</v>
      </c>
      <c r="I314" s="2556" t="s">
        <v>330</v>
      </c>
      <c r="J314" s="2556" t="s">
        <v>308</v>
      </c>
      <c r="K314" s="2556" t="s">
        <v>309</v>
      </c>
      <c r="L314" s="178" t="s">
        <v>299</v>
      </c>
      <c r="M314" s="572" t="str">
        <f>M$6</f>
        <v>DPM/c</v>
      </c>
      <c r="N314" s="572" t="str">
        <f>N$6</f>
        <v>MT</v>
      </c>
      <c r="O314" s="572" t="str">
        <f>O$6</f>
        <v xml:space="preserve">WF </v>
      </c>
      <c r="P314" s="181" t="s">
        <v>273</v>
      </c>
      <c r="Q314" s="1088"/>
      <c r="R314" s="3217"/>
      <c r="S314" s="3217"/>
      <c r="T314" s="1270" t="s">
        <v>308</v>
      </c>
      <c r="U314" s="2556" t="s">
        <v>303</v>
      </c>
      <c r="V314" s="2556" t="str">
        <f>V$6</f>
        <v xml:space="preserve">WTS </v>
      </c>
      <c r="W314" s="2556" t="str">
        <f>+W$6</f>
        <v>Web</v>
      </c>
      <c r="X314" s="2556" t="str">
        <f>+X$6</f>
        <v>Portal</v>
      </c>
      <c r="Y314" s="2556" t="s">
        <v>312</v>
      </c>
      <c r="Z314" s="2556" t="s">
        <v>330</v>
      </c>
      <c r="AA314" s="2556" t="s">
        <v>308</v>
      </c>
      <c r="AB314" s="2556" t="s">
        <v>309</v>
      </c>
      <c r="AC314" s="178" t="s">
        <v>299</v>
      </c>
      <c r="AD314" s="181" t="s">
        <v>273</v>
      </c>
      <c r="AE314" s="1088"/>
      <c r="AF314" s="404" t="str">
        <f>A314</f>
        <v>Lesson 09 =========</v>
      </c>
      <c r="AG314" s="1087"/>
      <c r="AH314" s="1338" t="str">
        <f t="shared" ref="AH314:AM314" si="594">D314</f>
        <v>Client</v>
      </c>
      <c r="AI314" s="1339" t="str">
        <f t="shared" si="594"/>
        <v xml:space="preserve">WTS </v>
      </c>
      <c r="AJ314" s="1339" t="str">
        <f t="shared" si="594"/>
        <v>Web</v>
      </c>
      <c r="AK314" s="1339" t="str">
        <f t="shared" si="594"/>
        <v>Portal</v>
      </c>
      <c r="AL314" s="1340" t="str">
        <f t="shared" si="594"/>
        <v>SOC</v>
      </c>
      <c r="AM314" s="1341" t="str">
        <f t="shared" si="594"/>
        <v>SDE</v>
      </c>
      <c r="AN314" s="1342" t="str">
        <f>K314</f>
        <v>DBMS</v>
      </c>
      <c r="AO314" s="1084"/>
      <c r="AP314" s="2006"/>
      <c r="AQ314" s="2006"/>
      <c r="AR314" s="2006"/>
      <c r="AS314" s="2006"/>
      <c r="AT314" s="2006"/>
      <c r="AU314" s="2006"/>
      <c r="AV314" s="2006"/>
      <c r="AW314" s="2006"/>
      <c r="AX314" s="2006"/>
      <c r="AY314" s="2006"/>
      <c r="AZ314" s="2007"/>
      <c r="BA314" s="2007"/>
    </row>
    <row r="315" spans="1:55" ht="15" hidden="1" customHeight="1" outlineLevel="2" x14ac:dyDescent="0.2">
      <c r="A315" s="458" t="s">
        <v>1409</v>
      </c>
      <c r="B315" s="451">
        <v>300</v>
      </c>
      <c r="C315" s="155">
        <v>39.551000000000002</v>
      </c>
      <c r="D315" s="68">
        <v>0.48810937500000001</v>
      </c>
      <c r="E315" s="27">
        <v>0</v>
      </c>
      <c r="F315" s="29">
        <v>0</v>
      </c>
      <c r="G315" s="2695">
        <v>0</v>
      </c>
      <c r="H315" s="29">
        <v>0</v>
      </c>
      <c r="I315" s="28">
        <v>0</v>
      </c>
      <c r="J315" s="129">
        <v>39.551000000000002</v>
      </c>
      <c r="K315" s="28">
        <v>5.4228951562500002E-2</v>
      </c>
      <c r="L315" s="146">
        <v>3</v>
      </c>
      <c r="M315" s="571">
        <v>10</v>
      </c>
      <c r="N315" s="2293">
        <v>1</v>
      </c>
      <c r="O315" s="2507" t="s">
        <v>336</v>
      </c>
      <c r="P315" s="182">
        <f>SUM(D315:I315,K315)</f>
        <v>0.54233832656250003</v>
      </c>
      <c r="Q315" s="1084"/>
      <c r="R315" s="3219">
        <f t="shared" ref="R315" si="595">F315+G315</f>
        <v>0</v>
      </c>
      <c r="S315" s="3219">
        <f t="shared" ref="S315" si="596">E315+H315+K315</f>
        <v>5.4228951562500002E-2</v>
      </c>
      <c r="T315" s="129">
        <f>C315</f>
        <v>39.551000000000002</v>
      </c>
      <c r="U315" s="68">
        <f>D315*$K$3/$AB$3</f>
        <v>1.0320026785714287</v>
      </c>
      <c r="V315" s="27">
        <f>E315*$K$3/$AB$3</f>
        <v>0</v>
      </c>
      <c r="W315" s="363">
        <f t="shared" ref="W315:Z322" si="597">F315*$K$3/$AB$3</f>
        <v>0</v>
      </c>
      <c r="X315" s="363">
        <f t="shared" si="597"/>
        <v>0</v>
      </c>
      <c r="Y315" s="363">
        <f t="shared" si="597"/>
        <v>0</v>
      </c>
      <c r="Z315" s="28">
        <f t="shared" si="597"/>
        <v>0</v>
      </c>
      <c r="AA315" s="129">
        <f>J315</f>
        <v>39.551000000000002</v>
      </c>
      <c r="AB315" s="28">
        <f>K315*$K$3/$AB$3</f>
        <v>0.11465549758928571</v>
      </c>
      <c r="AC315" s="364">
        <f>L315</f>
        <v>3</v>
      </c>
      <c r="AD315" s="182">
        <f>SUM(U315:Z315,AB315)</f>
        <v>1.1466581761607144</v>
      </c>
      <c r="AE315" s="1084"/>
      <c r="AF315" s="463" t="s">
        <v>1357</v>
      </c>
      <c r="AG315" s="1087"/>
      <c r="AH315" s="1343">
        <f>1-SUM(AI315:AN315)</f>
        <v>0.90000900009000095</v>
      </c>
      <c r="AI315" s="1344">
        <f t="shared" ref="AI315:AM322" si="598">E315/$P315</f>
        <v>0</v>
      </c>
      <c r="AJ315" s="1345">
        <f t="shared" si="598"/>
        <v>0</v>
      </c>
      <c r="AK315" s="1345">
        <f t="shared" si="598"/>
        <v>0</v>
      </c>
      <c r="AL315" s="1345">
        <f t="shared" si="598"/>
        <v>0</v>
      </c>
      <c r="AM315" s="1346">
        <f t="shared" si="598"/>
        <v>0</v>
      </c>
      <c r="AN315" s="1347">
        <f>K315/$P315</f>
        <v>9.9990999909999101E-2</v>
      </c>
      <c r="AO315" s="1084"/>
      <c r="AP315" s="2006"/>
      <c r="AQ315" s="2006"/>
      <c r="AR315" s="2006"/>
      <c r="AS315" s="2006"/>
      <c r="AT315" s="2006"/>
      <c r="AU315" s="2006"/>
      <c r="AV315" s="2006"/>
      <c r="AW315" s="2006"/>
      <c r="AX315" s="2006"/>
      <c r="AY315" s="2006"/>
      <c r="AZ315" s="2007"/>
      <c r="BA315" s="2007"/>
    </row>
    <row r="316" spans="1:55" ht="15.75" hidden="1" customHeight="1" outlineLevel="2" x14ac:dyDescent="0.2">
      <c r="A316" s="458" t="s">
        <v>1410</v>
      </c>
      <c r="B316" s="451">
        <v>200</v>
      </c>
      <c r="C316" s="155">
        <v>26.367000000000001</v>
      </c>
      <c r="D316" s="68">
        <v>0.32540625000000001</v>
      </c>
      <c r="E316" s="27"/>
      <c r="F316" s="29">
        <v>0</v>
      </c>
      <c r="G316" s="2695">
        <v>0</v>
      </c>
      <c r="H316" s="29">
        <v>0</v>
      </c>
      <c r="I316" s="28">
        <v>0</v>
      </c>
      <c r="J316" s="129">
        <v>26.367000000000001</v>
      </c>
      <c r="K316" s="28">
        <v>3.6152634374999999E-2</v>
      </c>
      <c r="L316" s="146">
        <v>3</v>
      </c>
      <c r="M316" s="571">
        <v>10</v>
      </c>
      <c r="N316" s="2293">
        <v>1</v>
      </c>
      <c r="O316" s="2507" t="s">
        <v>336</v>
      </c>
      <c r="P316" s="182">
        <f>SUM(D316:I316,K316)</f>
        <v>0.361558884375</v>
      </c>
      <c r="Q316" s="1233"/>
      <c r="R316" s="3219">
        <f>F316+G316</f>
        <v>0</v>
      </c>
      <c r="S316" s="3219">
        <f>E316+H316+K316</f>
        <v>3.6152634374999999E-2</v>
      </c>
      <c r="T316" s="129">
        <f>C316</f>
        <v>26.367000000000001</v>
      </c>
      <c r="U316" s="68">
        <f>D316*$K$3/$AB$3</f>
        <v>0.68800178571428572</v>
      </c>
      <c r="V316" s="27"/>
      <c r="W316" s="363">
        <f t="shared" si="597"/>
        <v>0</v>
      </c>
      <c r="X316" s="363">
        <f t="shared" si="597"/>
        <v>0</v>
      </c>
      <c r="Y316" s="363">
        <f t="shared" si="597"/>
        <v>0</v>
      </c>
      <c r="Z316" s="28">
        <f t="shared" si="597"/>
        <v>0</v>
      </c>
      <c r="AA316" s="129">
        <f>J316</f>
        <v>26.367000000000001</v>
      </c>
      <c r="AB316" s="28">
        <f>K316*$K$3/$AB$3</f>
        <v>7.6436998392857142E-2</v>
      </c>
      <c r="AC316" s="364">
        <f>L316</f>
        <v>3</v>
      </c>
      <c r="AD316" s="182">
        <f>SUM(U316:Z316,AB316)</f>
        <v>0.76443878410714283</v>
      </c>
      <c r="AE316" s="1084"/>
      <c r="AF316" s="463" t="s">
        <v>1284</v>
      </c>
      <c r="AG316" s="1087"/>
      <c r="AH316" s="1343">
        <f>1-SUM(AI316:AN316)</f>
        <v>0.90000900009000095</v>
      </c>
      <c r="AI316" s="1344">
        <f t="shared" si="598"/>
        <v>0</v>
      </c>
      <c r="AJ316" s="1345">
        <f t="shared" si="598"/>
        <v>0</v>
      </c>
      <c r="AK316" s="1345">
        <f t="shared" si="598"/>
        <v>0</v>
      </c>
      <c r="AL316" s="1345">
        <f t="shared" si="598"/>
        <v>0</v>
      </c>
      <c r="AM316" s="1346">
        <f t="shared" si="598"/>
        <v>0</v>
      </c>
      <c r="AN316" s="1347">
        <f>K316/$P316</f>
        <v>9.9990999909999101E-2</v>
      </c>
      <c r="AO316" s="1084"/>
      <c r="AP316" s="2006" t="s">
        <v>872</v>
      </c>
      <c r="AQ316" s="2006"/>
      <c r="AR316" s="2006"/>
      <c r="AS316" s="2006"/>
      <c r="AT316" s="2006"/>
      <c r="AU316" s="2006"/>
      <c r="AV316" s="2006"/>
      <c r="AW316" s="2006"/>
      <c r="AX316" s="2006"/>
      <c r="AY316" s="2006"/>
      <c r="AZ316" s="2007"/>
      <c r="BA316" s="2007"/>
    </row>
    <row r="317" spans="1:55" ht="16" hidden="1" outlineLevel="2" x14ac:dyDescent="0.2">
      <c r="A317" s="458" t="s">
        <v>1924</v>
      </c>
      <c r="B317" s="451">
        <v>10</v>
      </c>
      <c r="C317" s="155">
        <v>7.91</v>
      </c>
      <c r="D317" s="68">
        <v>0.97621875000000014</v>
      </c>
      <c r="E317" s="27">
        <v>0</v>
      </c>
      <c r="F317" s="29">
        <v>1.3837837837837839E-2</v>
      </c>
      <c r="G317" s="2695">
        <v>1.4875675675675677E-2</v>
      </c>
      <c r="H317" s="29">
        <v>1.6571953125000004E-2</v>
      </c>
      <c r="I317" s="28">
        <v>0</v>
      </c>
      <c r="J317" s="129">
        <v>7.91</v>
      </c>
      <c r="K317" s="28">
        <v>1.0845790312500004E-2</v>
      </c>
      <c r="L317" s="146">
        <v>3</v>
      </c>
      <c r="M317" s="571">
        <v>6</v>
      </c>
      <c r="N317" s="2293">
        <v>2</v>
      </c>
      <c r="O317" s="2507" t="s">
        <v>336</v>
      </c>
      <c r="P317" s="182">
        <f t="shared" ref="P317:P322" si="599">SUM(D317:I317,K317)</f>
        <v>1.0323500069510136</v>
      </c>
      <c r="Q317" s="1084"/>
      <c r="R317" s="3219">
        <f t="shared" ref="R317:R322" si="600">F317+G317</f>
        <v>2.8713513513513516E-2</v>
      </c>
      <c r="S317" s="3219">
        <f t="shared" ref="S317:S322" si="601">E317+H317+K317</f>
        <v>2.741774343750001E-2</v>
      </c>
      <c r="T317" s="129">
        <f t="shared" ref="T317:T318" si="602">C317</f>
        <v>7.91</v>
      </c>
      <c r="U317" s="68">
        <f t="shared" ref="U317:V322" si="603">D317*$K$3/$AB$3</f>
        <v>2.0640053571428574</v>
      </c>
      <c r="V317" s="27">
        <f t="shared" si="603"/>
        <v>0</v>
      </c>
      <c r="W317" s="363">
        <f t="shared" si="597"/>
        <v>2.9257142857142857E-2</v>
      </c>
      <c r="X317" s="363">
        <f t="shared" si="597"/>
        <v>3.1451428571428575E-2</v>
      </c>
      <c r="Y317" s="363">
        <f t="shared" si="597"/>
        <v>3.5037843750000006E-2</v>
      </c>
      <c r="Z317" s="28">
        <f t="shared" si="597"/>
        <v>0</v>
      </c>
      <c r="AA317" s="129">
        <f t="shared" ref="AA317:AA322" si="604">J317</f>
        <v>7.91</v>
      </c>
      <c r="AB317" s="28">
        <f t="shared" ref="AB317:AB322" si="605">K317*$K$3/$AB$3</f>
        <v>2.2931099517857153E-2</v>
      </c>
      <c r="AC317" s="364">
        <f t="shared" ref="AC317:AC322" si="606">L317</f>
        <v>3</v>
      </c>
      <c r="AD317" s="182">
        <f t="shared" ref="AD317:AD322" si="607">SUM(U317:Z317,AB317)</f>
        <v>2.1826828718392863</v>
      </c>
      <c r="AE317" s="1084"/>
      <c r="AF317" s="463" t="s">
        <v>1875</v>
      </c>
      <c r="AG317" s="1087"/>
      <c r="AH317" s="1343">
        <f t="shared" ref="AH317:AH322" si="608">1-SUM(AI317:AN317)</f>
        <v>0.94562768772889927</v>
      </c>
      <c r="AI317" s="1344">
        <f t="shared" si="598"/>
        <v>0</v>
      </c>
      <c r="AJ317" s="1345">
        <f t="shared" si="598"/>
        <v>1.3404211502557255E-2</v>
      </c>
      <c r="AK317" s="1345">
        <f t="shared" si="598"/>
        <v>1.4409527365249048E-2</v>
      </c>
      <c r="AL317" s="1345">
        <f t="shared" si="598"/>
        <v>1.6052649792626352E-2</v>
      </c>
      <c r="AM317" s="1346">
        <f t="shared" si="598"/>
        <v>0</v>
      </c>
      <c r="AN317" s="1347">
        <f t="shared" ref="AN317:AN322" si="609">K317/$P317</f>
        <v>1.0505923610668074E-2</v>
      </c>
      <c r="AO317" s="1084"/>
      <c r="AP317" s="2006"/>
      <c r="AQ317" s="2006"/>
      <c r="AR317" s="2006"/>
      <c r="AS317" s="2006"/>
      <c r="AT317" s="2006"/>
      <c r="AU317" s="2006"/>
      <c r="AV317" s="2006"/>
      <c r="AW317" s="2006"/>
      <c r="AX317" s="2006"/>
      <c r="AY317" s="2006"/>
      <c r="AZ317" s="2007"/>
      <c r="BA317" s="2007"/>
    </row>
    <row r="318" spans="1:55" ht="16" hidden="1" outlineLevel="2" x14ac:dyDescent="0.2">
      <c r="A318" s="458" t="s">
        <v>1925</v>
      </c>
      <c r="B318" s="451">
        <v>10</v>
      </c>
      <c r="C318" s="155">
        <v>7.91</v>
      </c>
      <c r="D318" s="68">
        <v>0.97621875000000014</v>
      </c>
      <c r="E318" s="27">
        <v>0</v>
      </c>
      <c r="F318" s="29">
        <v>1.3837837837837839E-2</v>
      </c>
      <c r="G318" s="2695">
        <v>1.4875675675675677E-2</v>
      </c>
      <c r="H318" s="29">
        <v>1.6571953125000004E-2</v>
      </c>
      <c r="I318" s="28">
        <v>0</v>
      </c>
      <c r="J318" s="129">
        <v>7.91</v>
      </c>
      <c r="K318" s="28">
        <v>1.0845790312500004E-2</v>
      </c>
      <c r="L318" s="146">
        <v>3</v>
      </c>
      <c r="M318" s="571">
        <v>6</v>
      </c>
      <c r="N318" s="2293">
        <v>2</v>
      </c>
      <c r="O318" s="2507" t="s">
        <v>336</v>
      </c>
      <c r="P318" s="182">
        <f t="shared" si="599"/>
        <v>1.0323500069510136</v>
      </c>
      <c r="Q318" s="1084"/>
      <c r="R318" s="3219">
        <f t="shared" si="600"/>
        <v>2.8713513513513516E-2</v>
      </c>
      <c r="S318" s="3219">
        <f t="shared" si="601"/>
        <v>2.741774343750001E-2</v>
      </c>
      <c r="T318" s="129">
        <f t="shared" si="602"/>
        <v>7.91</v>
      </c>
      <c r="U318" s="68">
        <f t="shared" si="603"/>
        <v>2.0640053571428574</v>
      </c>
      <c r="V318" s="27">
        <f t="shared" si="603"/>
        <v>0</v>
      </c>
      <c r="W318" s="363">
        <f t="shared" si="597"/>
        <v>2.9257142857142857E-2</v>
      </c>
      <c r="X318" s="363">
        <f t="shared" si="597"/>
        <v>3.1451428571428575E-2</v>
      </c>
      <c r="Y318" s="363">
        <f t="shared" si="597"/>
        <v>3.5037843750000006E-2</v>
      </c>
      <c r="Z318" s="28">
        <f t="shared" si="597"/>
        <v>0</v>
      </c>
      <c r="AA318" s="129">
        <f t="shared" si="604"/>
        <v>7.91</v>
      </c>
      <c r="AB318" s="28">
        <f t="shared" si="605"/>
        <v>2.2931099517857153E-2</v>
      </c>
      <c r="AC318" s="364">
        <f t="shared" si="606"/>
        <v>3</v>
      </c>
      <c r="AD318" s="182">
        <f t="shared" si="607"/>
        <v>2.1826828718392863</v>
      </c>
      <c r="AE318" s="1084"/>
      <c r="AF318" s="463" t="s">
        <v>1875</v>
      </c>
      <c r="AG318" s="1087"/>
      <c r="AH318" s="1343">
        <f t="shared" si="608"/>
        <v>0.94562768772889927</v>
      </c>
      <c r="AI318" s="1344">
        <f t="shared" si="598"/>
        <v>0</v>
      </c>
      <c r="AJ318" s="1345">
        <f t="shared" si="598"/>
        <v>1.3404211502557255E-2</v>
      </c>
      <c r="AK318" s="1345">
        <f t="shared" si="598"/>
        <v>1.4409527365249048E-2</v>
      </c>
      <c r="AL318" s="1345">
        <f t="shared" si="598"/>
        <v>1.6052649792626352E-2</v>
      </c>
      <c r="AM318" s="1346">
        <f t="shared" si="598"/>
        <v>0</v>
      </c>
      <c r="AN318" s="1347">
        <f t="shared" si="609"/>
        <v>1.0505923610668074E-2</v>
      </c>
      <c r="AO318" s="1084"/>
      <c r="AP318" s="2006"/>
      <c r="AQ318" s="2006"/>
      <c r="AR318" s="2006"/>
      <c r="AS318" s="2006"/>
      <c r="AT318" s="2006"/>
      <c r="AU318" s="2006"/>
      <c r="AV318" s="2006"/>
      <c r="AW318" s="2006"/>
      <c r="AX318" s="2006"/>
      <c r="AY318" s="2006"/>
      <c r="AZ318" s="2007"/>
      <c r="BA318" s="2007"/>
    </row>
    <row r="319" spans="1:55" ht="15.75" hidden="1" customHeight="1" outlineLevel="2" x14ac:dyDescent="0.2">
      <c r="A319" s="458" t="s">
        <v>1917</v>
      </c>
      <c r="B319" s="451">
        <v>10</v>
      </c>
      <c r="C319" s="155">
        <v>7.91</v>
      </c>
      <c r="D319" s="68">
        <v>2.0756756756756756E-2</v>
      </c>
      <c r="E319" s="27">
        <v>0.48810937500000001</v>
      </c>
      <c r="F319" s="29">
        <v>0</v>
      </c>
      <c r="G319" s="2695">
        <v>0</v>
      </c>
      <c r="H319" s="29">
        <v>0</v>
      </c>
      <c r="I319" s="28">
        <v>0</v>
      </c>
      <c r="J319" s="129">
        <v>26.367000000000001</v>
      </c>
      <c r="K319" s="28">
        <v>5.4228951562500002E-2</v>
      </c>
      <c r="L319" s="146">
        <v>3</v>
      </c>
      <c r="M319" s="571">
        <v>10</v>
      </c>
      <c r="N319" s="2293">
        <v>1</v>
      </c>
      <c r="O319" s="2507" t="s">
        <v>336</v>
      </c>
      <c r="P319" s="182">
        <f t="shared" si="599"/>
        <v>0.56309508331925673</v>
      </c>
      <c r="Q319" s="1233"/>
      <c r="R319" s="3219">
        <f t="shared" si="600"/>
        <v>0</v>
      </c>
      <c r="S319" s="3219">
        <f t="shared" si="601"/>
        <v>0.54233832656250003</v>
      </c>
      <c r="T319" s="129">
        <v>5.2729999999999997</v>
      </c>
      <c r="U319" s="68">
        <f t="shared" si="603"/>
        <v>4.3885714285714285E-2</v>
      </c>
      <c r="V319" s="27">
        <f>E319*$K$3/$AB$3</f>
        <v>1.0320026785714287</v>
      </c>
      <c r="W319" s="363">
        <f t="shared" si="597"/>
        <v>0</v>
      </c>
      <c r="X319" s="363">
        <f t="shared" si="597"/>
        <v>0</v>
      </c>
      <c r="Y319" s="363">
        <f t="shared" si="597"/>
        <v>0</v>
      </c>
      <c r="Z319" s="28">
        <f t="shared" si="597"/>
        <v>0</v>
      </c>
      <c r="AA319" s="129">
        <f t="shared" si="604"/>
        <v>26.367000000000001</v>
      </c>
      <c r="AB319" s="28">
        <f t="shared" si="605"/>
        <v>0.11465549758928571</v>
      </c>
      <c r="AC319" s="364">
        <f t="shared" si="606"/>
        <v>3</v>
      </c>
      <c r="AD319" s="182">
        <f t="shared" si="607"/>
        <v>1.1905438904464287</v>
      </c>
      <c r="AE319" s="1084"/>
      <c r="AF319" s="463" t="s">
        <v>1363</v>
      </c>
      <c r="AG319" s="1087"/>
      <c r="AH319" s="1343">
        <f t="shared" si="608"/>
        <v>3.6861903738179658E-2</v>
      </c>
      <c r="AI319" s="1344">
        <f t="shared" si="598"/>
        <v>0.86683295496518797</v>
      </c>
      <c r="AJ319" s="1345">
        <f t="shared" si="598"/>
        <v>0</v>
      </c>
      <c r="AK319" s="1345">
        <f t="shared" si="598"/>
        <v>0</v>
      </c>
      <c r="AL319" s="1345">
        <f t="shared" si="598"/>
        <v>0</v>
      </c>
      <c r="AM319" s="1346">
        <f t="shared" si="598"/>
        <v>0</v>
      </c>
      <c r="AN319" s="1347">
        <f t="shared" si="609"/>
        <v>9.6305141296632382E-2</v>
      </c>
      <c r="AO319" s="1084"/>
      <c r="AP319" s="2006"/>
      <c r="AQ319" s="2006"/>
      <c r="AR319" s="2006"/>
      <c r="AS319" s="2006"/>
      <c r="AT319" s="2006"/>
      <c r="AU319" s="2006"/>
      <c r="AV319" s="2006"/>
      <c r="AW319" s="2006"/>
      <c r="AX319" s="2006"/>
      <c r="AY319" s="2006"/>
      <c r="AZ319" s="2007"/>
      <c r="BA319" s="2007"/>
    </row>
    <row r="320" spans="1:55" ht="15.75" hidden="1" customHeight="1" outlineLevel="2" x14ac:dyDescent="0.2">
      <c r="A320" s="458" t="s">
        <v>1411</v>
      </c>
      <c r="B320" s="451">
        <v>10</v>
      </c>
      <c r="C320" s="155">
        <v>5.274</v>
      </c>
      <c r="D320" s="68">
        <v>2.0756756756756756E-2</v>
      </c>
      <c r="E320" s="27">
        <v>0.32540625000000001</v>
      </c>
      <c r="F320" s="29">
        <v>0</v>
      </c>
      <c r="G320" s="2695">
        <v>0</v>
      </c>
      <c r="H320" s="29">
        <v>0</v>
      </c>
      <c r="I320" s="28">
        <v>0</v>
      </c>
      <c r="J320" s="129">
        <v>26.367000000000001</v>
      </c>
      <c r="K320" s="28">
        <v>3.6152634374999999E-2</v>
      </c>
      <c r="L320" s="146">
        <v>3</v>
      </c>
      <c r="M320" s="571">
        <v>10</v>
      </c>
      <c r="N320" s="2293">
        <v>1</v>
      </c>
      <c r="O320" s="2507" t="s">
        <v>336</v>
      </c>
      <c r="P320" s="182">
        <f t="shared" si="599"/>
        <v>0.38231564113175676</v>
      </c>
      <c r="Q320" s="1233"/>
      <c r="R320" s="3219">
        <f t="shared" si="600"/>
        <v>0</v>
      </c>
      <c r="S320" s="3219">
        <f t="shared" si="601"/>
        <v>0.361558884375</v>
      </c>
      <c r="T320" s="129">
        <v>5.2729999999999997</v>
      </c>
      <c r="U320" s="68">
        <f t="shared" si="603"/>
        <v>4.3885714285714285E-2</v>
      </c>
      <c r="V320" s="27">
        <f t="shared" si="603"/>
        <v>0.68800178571428572</v>
      </c>
      <c r="W320" s="363">
        <f t="shared" si="597"/>
        <v>0</v>
      </c>
      <c r="X320" s="363">
        <f t="shared" si="597"/>
        <v>0</v>
      </c>
      <c r="Y320" s="363">
        <f t="shared" si="597"/>
        <v>0</v>
      </c>
      <c r="Z320" s="28">
        <f t="shared" si="597"/>
        <v>0</v>
      </c>
      <c r="AA320" s="129">
        <f t="shared" si="604"/>
        <v>26.367000000000001</v>
      </c>
      <c r="AB320" s="28">
        <f t="shared" si="605"/>
        <v>7.6436998392857142E-2</v>
      </c>
      <c r="AC320" s="364">
        <f t="shared" si="606"/>
        <v>3</v>
      </c>
      <c r="AD320" s="182">
        <f t="shared" si="607"/>
        <v>0.80832449839285714</v>
      </c>
      <c r="AE320" s="1084"/>
      <c r="AF320" s="463" t="s">
        <v>1286</v>
      </c>
      <c r="AG320" s="1087"/>
      <c r="AH320" s="1343">
        <f t="shared" si="608"/>
        <v>5.4292198706051287E-2</v>
      </c>
      <c r="AI320" s="1344">
        <f t="shared" si="598"/>
        <v>0.85114553261988002</v>
      </c>
      <c r="AJ320" s="1345">
        <f t="shared" si="598"/>
        <v>0</v>
      </c>
      <c r="AK320" s="1345">
        <f t="shared" si="598"/>
        <v>0</v>
      </c>
      <c r="AL320" s="1345">
        <f t="shared" si="598"/>
        <v>0</v>
      </c>
      <c r="AM320" s="1346">
        <f t="shared" si="598"/>
        <v>0</v>
      </c>
      <c r="AN320" s="1347">
        <f t="shared" si="609"/>
        <v>9.4562268674068667E-2</v>
      </c>
      <c r="AO320" s="1084"/>
      <c r="AP320" s="2006"/>
      <c r="AQ320" s="2006"/>
      <c r="AR320" s="2006"/>
      <c r="AS320" s="2006"/>
      <c r="AT320" s="2006"/>
      <c r="AU320" s="2006"/>
      <c r="AV320" s="2006"/>
      <c r="AW320" s="2006"/>
      <c r="AX320" s="2006"/>
      <c r="AY320" s="2006"/>
      <c r="AZ320" s="2007"/>
      <c r="BA320" s="2007"/>
    </row>
    <row r="321" spans="1:55" ht="15" hidden="1" customHeight="1" outlineLevel="2" x14ac:dyDescent="0.2">
      <c r="A321" s="459" t="s">
        <v>1412</v>
      </c>
      <c r="B321" s="451">
        <v>10</v>
      </c>
      <c r="C321" s="155">
        <v>2.6339999999999999</v>
      </c>
      <c r="D321" s="68">
        <v>2.0756756756756756E-2</v>
      </c>
      <c r="E321" s="27">
        <v>0</v>
      </c>
      <c r="F321" s="1931">
        <v>6.9189189189189189E-3</v>
      </c>
      <c r="G321" s="2655">
        <v>0</v>
      </c>
      <c r="H321" s="29">
        <v>0.16564488281249998</v>
      </c>
      <c r="I321" s="28">
        <v>0</v>
      </c>
      <c r="J321" s="129">
        <v>20.010000000000002</v>
      </c>
      <c r="K321" s="28">
        <v>2.8312533046874994E-2</v>
      </c>
      <c r="L321" s="146">
        <v>3</v>
      </c>
      <c r="M321" s="571">
        <v>6</v>
      </c>
      <c r="N321" s="2293">
        <v>1</v>
      </c>
      <c r="O321" s="2507" t="s">
        <v>332</v>
      </c>
      <c r="P321" s="182">
        <f t="shared" si="599"/>
        <v>0.22163309153505065</v>
      </c>
      <c r="Q321" s="1084"/>
      <c r="R321" s="3219">
        <f t="shared" si="600"/>
        <v>6.9189189189189189E-3</v>
      </c>
      <c r="S321" s="3219">
        <f t="shared" si="601"/>
        <v>0.19395741585937498</v>
      </c>
      <c r="T321" s="129">
        <f t="shared" ref="T321:T322" si="610">C321</f>
        <v>2.6339999999999999</v>
      </c>
      <c r="U321" s="68">
        <f t="shared" si="603"/>
        <v>4.3885714285714285E-2</v>
      </c>
      <c r="V321" s="27">
        <f t="shared" si="603"/>
        <v>0</v>
      </c>
      <c r="W321" s="363">
        <f t="shared" si="597"/>
        <v>1.4628571428571428E-2</v>
      </c>
      <c r="X321" s="363">
        <f t="shared" si="597"/>
        <v>0</v>
      </c>
      <c r="Y321" s="363">
        <f t="shared" si="597"/>
        <v>0.35022060937499994</v>
      </c>
      <c r="Z321" s="28">
        <f t="shared" si="597"/>
        <v>0</v>
      </c>
      <c r="AA321" s="129">
        <f t="shared" si="604"/>
        <v>20.010000000000002</v>
      </c>
      <c r="AB321" s="28">
        <f t="shared" si="605"/>
        <v>5.9860784156249992E-2</v>
      </c>
      <c r="AC321" s="364">
        <f t="shared" si="606"/>
        <v>3</v>
      </c>
      <c r="AD321" s="182">
        <f t="shared" si="607"/>
        <v>0.46859567924553563</v>
      </c>
      <c r="AE321" s="1084"/>
      <c r="AF321" s="462" t="s">
        <v>1373</v>
      </c>
      <c r="AG321" s="1087"/>
      <c r="AH321" s="1343">
        <f t="shared" si="608"/>
        <v>9.3653689586665978E-2</v>
      </c>
      <c r="AI321" s="1344">
        <f t="shared" si="598"/>
        <v>0</v>
      </c>
      <c r="AJ321" s="1345">
        <f t="shared" si="598"/>
        <v>3.1217896528888654E-2</v>
      </c>
      <c r="AK321" s="1345">
        <f t="shared" si="598"/>
        <v>0</v>
      </c>
      <c r="AL321" s="1345">
        <f t="shared" si="598"/>
        <v>0.74738335176046444</v>
      </c>
      <c r="AM321" s="1346">
        <f t="shared" si="598"/>
        <v>0</v>
      </c>
      <c r="AN321" s="1347">
        <f t="shared" si="609"/>
        <v>0.12774506212398093</v>
      </c>
      <c r="AO321" s="1084"/>
      <c r="AP321" s="2006" t="s">
        <v>873</v>
      </c>
      <c r="AQ321" s="2006"/>
      <c r="AR321" s="2006"/>
      <c r="AS321" s="2006"/>
      <c r="AT321" s="2006"/>
      <c r="AU321" s="2006"/>
      <c r="AV321" s="2006"/>
      <c r="AW321" s="2006"/>
      <c r="AX321" s="2006"/>
      <c r="AY321" s="2006"/>
      <c r="AZ321" s="2007"/>
      <c r="BA321" s="2007"/>
      <c r="BB321" s="1941">
        <f>+BB316*0.666</f>
        <v>0</v>
      </c>
      <c r="BC321" s="1722"/>
    </row>
    <row r="322" spans="1:55" ht="15" hidden="1" customHeight="1" outlineLevel="2" x14ac:dyDescent="0.2">
      <c r="A322" s="459" t="s">
        <v>1926</v>
      </c>
      <c r="B322" s="451">
        <v>10</v>
      </c>
      <c r="C322" s="155">
        <v>2.6339999999999999</v>
      </c>
      <c r="D322" s="68">
        <v>2.0756756756756756E-2</v>
      </c>
      <c r="E322" s="27">
        <v>0</v>
      </c>
      <c r="F322" s="1931">
        <v>6.9189189189189189E-3</v>
      </c>
      <c r="G322" s="2655">
        <v>0</v>
      </c>
      <c r="H322" s="29">
        <v>0.16564488281249998</v>
      </c>
      <c r="I322" s="28">
        <v>0</v>
      </c>
      <c r="J322" s="129">
        <v>20.010000000000002</v>
      </c>
      <c r="K322" s="28">
        <v>2.8312533046874994E-2</v>
      </c>
      <c r="L322" s="146">
        <v>3</v>
      </c>
      <c r="M322" s="571">
        <v>6</v>
      </c>
      <c r="N322" s="2293">
        <v>1</v>
      </c>
      <c r="O322" s="2507" t="s">
        <v>332</v>
      </c>
      <c r="P322" s="182">
        <f t="shared" si="599"/>
        <v>0.22163309153505065</v>
      </c>
      <c r="Q322" s="1084"/>
      <c r="R322" s="3219">
        <f t="shared" si="600"/>
        <v>6.9189189189189189E-3</v>
      </c>
      <c r="S322" s="3219">
        <f t="shared" si="601"/>
        <v>0.19395741585937498</v>
      </c>
      <c r="T322" s="129">
        <f t="shared" si="610"/>
        <v>2.6339999999999999</v>
      </c>
      <c r="U322" s="68">
        <f t="shared" si="603"/>
        <v>4.3885714285714285E-2</v>
      </c>
      <c r="V322" s="27">
        <f t="shared" si="603"/>
        <v>0</v>
      </c>
      <c r="W322" s="363">
        <f t="shared" si="597"/>
        <v>1.4628571428571428E-2</v>
      </c>
      <c r="X322" s="363">
        <f t="shared" si="597"/>
        <v>0</v>
      </c>
      <c r="Y322" s="363">
        <f t="shared" si="597"/>
        <v>0.35022060937499994</v>
      </c>
      <c r="Z322" s="28">
        <f t="shared" si="597"/>
        <v>0</v>
      </c>
      <c r="AA322" s="129">
        <f t="shared" si="604"/>
        <v>20.010000000000002</v>
      </c>
      <c r="AB322" s="28">
        <f t="shared" si="605"/>
        <v>5.9860784156249992E-2</v>
      </c>
      <c r="AC322" s="364">
        <f t="shared" si="606"/>
        <v>3</v>
      </c>
      <c r="AD322" s="182">
        <f t="shared" si="607"/>
        <v>0.46859567924553563</v>
      </c>
      <c r="AE322" s="1084"/>
      <c r="AF322" s="462" t="s">
        <v>1373</v>
      </c>
      <c r="AG322" s="1087"/>
      <c r="AH322" s="1343">
        <f t="shared" si="608"/>
        <v>9.3653689586665978E-2</v>
      </c>
      <c r="AI322" s="1344">
        <f t="shared" si="598"/>
        <v>0</v>
      </c>
      <c r="AJ322" s="1345">
        <f t="shared" si="598"/>
        <v>3.1217896528888654E-2</v>
      </c>
      <c r="AK322" s="1345">
        <f t="shared" si="598"/>
        <v>0</v>
      </c>
      <c r="AL322" s="1345">
        <f t="shared" si="598"/>
        <v>0.74738335176046444</v>
      </c>
      <c r="AM322" s="1346">
        <f t="shared" si="598"/>
        <v>0</v>
      </c>
      <c r="AN322" s="1347">
        <f t="shared" si="609"/>
        <v>0.12774506212398093</v>
      </c>
      <c r="AO322" s="1084"/>
      <c r="AP322" s="2006" t="s">
        <v>873</v>
      </c>
      <c r="AQ322" s="2006"/>
      <c r="AR322" s="2006"/>
      <c r="AS322" s="2006"/>
      <c r="AT322" s="2006"/>
      <c r="AU322" s="2006"/>
      <c r="AV322" s="2006"/>
      <c r="AW322" s="2006"/>
      <c r="AX322" s="2006"/>
      <c r="AY322" s="2006"/>
      <c r="AZ322" s="2007"/>
      <c r="BA322" s="2007"/>
      <c r="BB322" s="1941">
        <f>+BB316*0.666</f>
        <v>0</v>
      </c>
      <c r="BC322" s="1722"/>
    </row>
    <row r="323" spans="1:55" ht="15" customHeight="1" outlineLevel="1" collapsed="1" x14ac:dyDescent="0.2">
      <c r="A323" s="457" t="s">
        <v>1322</v>
      </c>
      <c r="B323" s="450" t="str">
        <f t="shared" si="553"/>
        <v>Trips</v>
      </c>
      <c r="C323" s="172" t="str">
        <f t="shared" si="553"/>
        <v>Mbpd</v>
      </c>
      <c r="D323" s="2556" t="s">
        <v>303</v>
      </c>
      <c r="E323" s="2556" t="s">
        <v>9</v>
      </c>
      <c r="F323" s="2556" t="s">
        <v>304</v>
      </c>
      <c r="G323" s="2709" t="s">
        <v>970</v>
      </c>
      <c r="H323" s="2556" t="s">
        <v>312</v>
      </c>
      <c r="I323" s="2556" t="s">
        <v>330</v>
      </c>
      <c r="J323" s="2556" t="s">
        <v>308</v>
      </c>
      <c r="K323" s="2556" t="s">
        <v>309</v>
      </c>
      <c r="L323" s="178" t="s">
        <v>299</v>
      </c>
      <c r="M323" s="572" t="str">
        <f>M$6</f>
        <v>DPM/c</v>
      </c>
      <c r="N323" s="572" t="str">
        <f>N$6</f>
        <v>MT</v>
      </c>
      <c r="O323" s="572" t="str">
        <f>O$6</f>
        <v xml:space="preserve">WF </v>
      </c>
      <c r="P323" s="181" t="s">
        <v>273</v>
      </c>
      <c r="Q323" s="1088"/>
      <c r="R323" s="3217"/>
      <c r="S323" s="3217"/>
      <c r="T323" s="1270" t="s">
        <v>308</v>
      </c>
      <c r="U323" s="2556" t="s">
        <v>303</v>
      </c>
      <c r="V323" s="2556" t="str">
        <f>V$6</f>
        <v xml:space="preserve">WTS </v>
      </c>
      <c r="W323" s="2556" t="str">
        <f>+W$6</f>
        <v>Web</v>
      </c>
      <c r="X323" s="2556" t="str">
        <f>+X$6</f>
        <v>Portal</v>
      </c>
      <c r="Y323" s="2556" t="s">
        <v>312</v>
      </c>
      <c r="Z323" s="2556" t="s">
        <v>330</v>
      </c>
      <c r="AA323" s="2556" t="s">
        <v>308</v>
      </c>
      <c r="AB323" s="2556" t="s">
        <v>309</v>
      </c>
      <c r="AC323" s="178" t="s">
        <v>299</v>
      </c>
      <c r="AD323" s="181" t="s">
        <v>273</v>
      </c>
      <c r="AE323" s="1088"/>
      <c r="AF323" s="404" t="str">
        <f>A323</f>
        <v>Lesson 10  =========</v>
      </c>
      <c r="AG323" s="1087"/>
      <c r="AH323" s="1338" t="str">
        <f t="shared" ref="AH323:AM323" si="611">D323</f>
        <v>Client</v>
      </c>
      <c r="AI323" s="1339" t="str">
        <f t="shared" si="611"/>
        <v xml:space="preserve">WTS </v>
      </c>
      <c r="AJ323" s="1339" t="str">
        <f t="shared" si="611"/>
        <v>Web</v>
      </c>
      <c r="AK323" s="1339" t="str">
        <f t="shared" si="611"/>
        <v>Portal</v>
      </c>
      <c r="AL323" s="1340" t="str">
        <f t="shared" si="611"/>
        <v>SOC</v>
      </c>
      <c r="AM323" s="1341" t="str">
        <f t="shared" si="611"/>
        <v>SDE</v>
      </c>
      <c r="AN323" s="1342" t="str">
        <f>K323</f>
        <v>DBMS</v>
      </c>
      <c r="AO323" s="1084"/>
      <c r="AP323" s="2006"/>
      <c r="AQ323" s="2006"/>
      <c r="AR323" s="2006"/>
      <c r="AS323" s="2006"/>
      <c r="AT323" s="2006"/>
      <c r="AU323" s="2006"/>
      <c r="AV323" s="2006"/>
      <c r="AW323" s="2006"/>
      <c r="AX323" s="2006"/>
      <c r="AY323" s="2006"/>
      <c r="AZ323" s="2007"/>
      <c r="BA323" s="2007"/>
    </row>
    <row r="324" spans="1:55" ht="15" customHeight="1" outlineLevel="2" thickBot="1" x14ac:dyDescent="0.25">
      <c r="A324" s="459" t="s">
        <v>1418</v>
      </c>
      <c r="B324" s="451">
        <v>10</v>
      </c>
      <c r="C324" s="155">
        <v>2.13</v>
      </c>
      <c r="D324" s="68">
        <v>2.0756756756756756E-2</v>
      </c>
      <c r="E324" s="27">
        <v>0</v>
      </c>
      <c r="F324" s="1931">
        <v>6.9689189189189177E-3</v>
      </c>
      <c r="G324" s="2655">
        <v>0</v>
      </c>
      <c r="H324" s="29">
        <v>0.16570540540540543</v>
      </c>
      <c r="I324" s="28">
        <v>0</v>
      </c>
      <c r="J324" s="129">
        <v>13.314629999999999</v>
      </c>
      <c r="K324" s="28">
        <v>2.8391891891891893E-2</v>
      </c>
      <c r="L324" s="146">
        <v>3</v>
      </c>
      <c r="M324" s="571">
        <v>6</v>
      </c>
      <c r="N324" s="2293">
        <v>1</v>
      </c>
      <c r="O324" s="2507" t="s">
        <v>332</v>
      </c>
      <c r="P324" s="182">
        <f t="shared" ref="P324" si="612">SUM(D324:I324,K324)</f>
        <v>0.22182297297297299</v>
      </c>
      <c r="Q324" s="1084"/>
      <c r="R324" s="3219">
        <f t="shared" ref="R324" si="613">F324+G324</f>
        <v>6.9689189189189177E-3</v>
      </c>
      <c r="S324" s="3219">
        <f t="shared" ref="S324" si="614">E324+H324+K324</f>
        <v>0.19409729729729733</v>
      </c>
      <c r="T324" s="129">
        <f t="shared" ref="T324" si="615">C324</f>
        <v>2.13</v>
      </c>
      <c r="U324" s="68">
        <f t="shared" ref="U324:Z324" si="616">D324*$K$3/$AB$3</f>
        <v>4.3885714285714285E-2</v>
      </c>
      <c r="V324" s="27">
        <f t="shared" si="616"/>
        <v>0</v>
      </c>
      <c r="W324" s="363">
        <f t="shared" si="616"/>
        <v>1.4734285714285712E-2</v>
      </c>
      <c r="X324" s="363">
        <f t="shared" si="616"/>
        <v>0</v>
      </c>
      <c r="Y324" s="363">
        <f t="shared" si="616"/>
        <v>0.35034857142857145</v>
      </c>
      <c r="Z324" s="28">
        <f t="shared" si="616"/>
        <v>0</v>
      </c>
      <c r="AA324" s="129">
        <f t="shared" ref="AA324" si="617">J324</f>
        <v>13.314629999999999</v>
      </c>
      <c r="AB324" s="28">
        <f t="shared" ref="AB324" si="618">K324*$K$3/$AB$3</f>
        <v>6.0028571428571431E-2</v>
      </c>
      <c r="AC324" s="364">
        <f t="shared" ref="AC324" si="619">L324</f>
        <v>3</v>
      </c>
      <c r="AD324" s="182">
        <f t="shared" ref="AD324" si="620">SUM(U324:Z324,AB324)</f>
        <v>0.46899714285714289</v>
      </c>
      <c r="AE324" s="1084"/>
      <c r="AF324" s="462" t="s">
        <v>1918</v>
      </c>
      <c r="AG324" s="1087"/>
      <c r="AH324" s="1343">
        <f t="shared" ref="AH324" si="621">1-SUM(AI324:AN324)</f>
        <v>9.3573521617554722E-2</v>
      </c>
      <c r="AI324" s="1344">
        <f t="shared" ref="AI324:AM324" si="622">E324/$P324</f>
        <v>0</v>
      </c>
      <c r="AJ324" s="1345">
        <f t="shared" si="622"/>
        <v>3.1416578839956376E-2</v>
      </c>
      <c r="AK324" s="1345">
        <f t="shared" si="622"/>
        <v>0</v>
      </c>
      <c r="AL324" s="1345">
        <f t="shared" si="622"/>
        <v>0.74701643019451847</v>
      </c>
      <c r="AM324" s="1346">
        <f t="shared" si="622"/>
        <v>0</v>
      </c>
      <c r="AN324" s="1347">
        <f t="shared" ref="AN324" si="623">K324/$P324</f>
        <v>0.12799346934797043</v>
      </c>
      <c r="AO324" s="1084"/>
      <c r="AP324" s="2006" t="s">
        <v>873</v>
      </c>
      <c r="AQ324" s="2006"/>
      <c r="AR324" s="2006"/>
      <c r="AS324" s="2006"/>
      <c r="AT324" s="2006"/>
      <c r="AU324" s="2006"/>
      <c r="AV324" s="2006"/>
      <c r="AW324" s="2006"/>
      <c r="AX324" s="2006"/>
      <c r="AY324" s="2006"/>
      <c r="AZ324" s="2007"/>
      <c r="BA324" s="2007"/>
      <c r="BB324" s="1941">
        <f>+BB312*0.666</f>
        <v>0</v>
      </c>
      <c r="BC324" s="1722"/>
    </row>
    <row r="325" spans="1:55" ht="15" customHeight="1" x14ac:dyDescent="0.2">
      <c r="A325" s="2538" t="s">
        <v>1316</v>
      </c>
      <c r="B325" s="2539"/>
      <c r="C325" s="2539"/>
      <c r="D325" s="2539"/>
      <c r="E325" s="2539"/>
      <c r="F325" s="2539"/>
      <c r="G325" s="2717"/>
      <c r="H325" s="2539"/>
      <c r="I325" s="2539"/>
      <c r="J325" s="2539"/>
      <c r="K325" s="2539"/>
      <c r="L325" s="2539"/>
      <c r="M325" s="2539"/>
      <c r="N325" s="2539"/>
      <c r="O325" s="2539"/>
      <c r="P325" s="2539"/>
      <c r="Q325" s="2275"/>
      <c r="R325" s="3216"/>
      <c r="S325" s="3216"/>
      <c r="T325" s="2537"/>
      <c r="U325" s="2537"/>
      <c r="V325" s="2537"/>
      <c r="W325" s="2537"/>
      <c r="X325" s="2537"/>
      <c r="Y325" s="2537"/>
      <c r="Z325" s="2537"/>
      <c r="AA325" s="2537"/>
      <c r="AB325" s="2537"/>
      <c r="AC325" s="2537"/>
      <c r="AD325" s="2537"/>
      <c r="AE325" s="2275"/>
      <c r="AF325" s="2593"/>
      <c r="AG325" s="2276"/>
      <c r="AH325" s="1330">
        <f t="shared" ref="AH325:AM325" si="624">D325</f>
        <v>0</v>
      </c>
      <c r="AI325" s="1330">
        <f t="shared" si="624"/>
        <v>0</v>
      </c>
      <c r="AJ325" s="1330">
        <f t="shared" si="624"/>
        <v>0</v>
      </c>
      <c r="AK325" s="1330">
        <f t="shared" si="624"/>
        <v>0</v>
      </c>
      <c r="AL325" s="1331">
        <f t="shared" si="624"/>
        <v>0</v>
      </c>
      <c r="AM325" s="1332">
        <f t="shared" si="624"/>
        <v>0</v>
      </c>
      <c r="AN325" s="1333">
        <f>K325</f>
        <v>0</v>
      </c>
      <c r="AO325" s="1084"/>
      <c r="AP325" s="2006"/>
      <c r="AQ325" s="2006"/>
      <c r="AR325" s="2006"/>
      <c r="AS325" s="2006"/>
      <c r="AT325" s="2006"/>
      <c r="AU325" s="2006"/>
      <c r="AV325" s="2006"/>
      <c r="AW325" s="2006"/>
      <c r="AX325" s="2006"/>
      <c r="AY325" s="2006"/>
      <c r="AZ325" s="2007"/>
      <c r="BA325" s="2007"/>
    </row>
    <row r="326" spans="1:55" s="320" customFormat="1" ht="16" hidden="1" x14ac:dyDescent="0.2">
      <c r="A326" s="2592" t="s">
        <v>1117</v>
      </c>
      <c r="B326" s="2236"/>
      <c r="C326" s="2236"/>
      <c r="D326" s="2237"/>
      <c r="E326" s="25"/>
      <c r="F326" s="25"/>
      <c r="G326" s="1959"/>
      <c r="N326" s="2304"/>
      <c r="O326" s="2504"/>
      <c r="R326" s="3218"/>
      <c r="S326" s="3218"/>
      <c r="V326" s="324"/>
    </row>
    <row r="327" spans="1:55" s="320" customFormat="1" ht="16" hidden="1" x14ac:dyDescent="0.2">
      <c r="A327" s="2235" t="s">
        <v>1869</v>
      </c>
      <c r="B327" s="2236"/>
      <c r="C327" s="2236"/>
      <c r="D327" s="2237"/>
      <c r="E327" s="25"/>
      <c r="F327" s="25"/>
      <c r="G327" s="1959"/>
      <c r="N327" s="2304"/>
      <c r="O327" s="2504"/>
      <c r="R327" s="3218"/>
      <c r="S327" s="3218"/>
      <c r="V327" s="324"/>
    </row>
    <row r="328" spans="1:55" s="320" customFormat="1" ht="16" hidden="1" x14ac:dyDescent="0.2">
      <c r="A328" s="2235" t="s">
        <v>1870</v>
      </c>
      <c r="B328" s="2236"/>
      <c r="C328" s="2236"/>
      <c r="D328" s="2237"/>
      <c r="E328" s="25"/>
      <c r="F328" s="25"/>
      <c r="G328" s="1959"/>
      <c r="N328" s="2304"/>
      <c r="O328" s="2504"/>
      <c r="R328" s="3218"/>
      <c r="S328" s="3218"/>
      <c r="V328" s="324"/>
    </row>
    <row r="329" spans="1:55" ht="15" hidden="1" customHeight="1" x14ac:dyDescent="0.2">
      <c r="A329" s="2235" t="s">
        <v>1871</v>
      </c>
      <c r="B329" s="2241"/>
      <c r="C329" s="2242"/>
      <c r="D329" s="2243"/>
      <c r="R329" s="3205"/>
      <c r="S329" s="3205"/>
    </row>
    <row r="330" spans="1:55" ht="15" hidden="1" customHeight="1" x14ac:dyDescent="0.2">
      <c r="A330" s="2235" t="s">
        <v>1872</v>
      </c>
      <c r="B330" s="2241"/>
      <c r="C330" s="2242"/>
      <c r="D330" s="2243"/>
      <c r="R330" s="3205"/>
      <c r="S330" s="3205"/>
    </row>
    <row r="331" spans="1:55" ht="15" hidden="1" customHeight="1" x14ac:dyDescent="0.2">
      <c r="A331" s="2238" t="s">
        <v>1119</v>
      </c>
      <c r="B331" s="2244"/>
      <c r="C331" s="2245"/>
      <c r="D331" s="2246"/>
      <c r="R331" s="3205"/>
      <c r="S331" s="3205"/>
    </row>
    <row r="332" spans="1:55" ht="15" customHeight="1" x14ac:dyDescent="0.2">
      <c r="M332" s="2595"/>
      <c r="R332" s="3205"/>
      <c r="S332" s="3205"/>
    </row>
    <row r="333" spans="1:55" ht="15" customHeight="1" x14ac:dyDescent="0.2">
      <c r="H333" s="371"/>
      <c r="R333" s="3205"/>
      <c r="S333" s="3205"/>
    </row>
    <row r="334" spans="1:55" ht="15" customHeight="1" x14ac:dyDescent="0.2">
      <c r="R334" s="3205"/>
      <c r="S334" s="3205"/>
    </row>
    <row r="335" spans="1:55" ht="15" customHeight="1" x14ac:dyDescent="0.2">
      <c r="R335" s="3205"/>
      <c r="S335" s="3205"/>
    </row>
    <row r="341" spans="2:3" ht="15" customHeight="1" x14ac:dyDescent="0.2">
      <c r="B341" s="25"/>
      <c r="C341" s="25"/>
    </row>
    <row r="342" spans="2:3" ht="15" customHeight="1" x14ac:dyDescent="0.2">
      <c r="B342" s="25"/>
      <c r="C342" s="25"/>
    </row>
    <row r="343" spans="2:3" ht="15" customHeight="1" x14ac:dyDescent="0.2">
      <c r="B343" s="25"/>
      <c r="C343" s="25"/>
    </row>
    <row r="344" spans="2:3" ht="15" customHeight="1" x14ac:dyDescent="0.2">
      <c r="B344" s="25"/>
      <c r="C344" s="25"/>
    </row>
    <row r="345" spans="2:3" ht="15" customHeight="1" x14ac:dyDescent="0.2">
      <c r="B345" s="25"/>
      <c r="C345" s="25"/>
    </row>
    <row r="346" spans="2:3" ht="15" customHeight="1" x14ac:dyDescent="0.2">
      <c r="B346" s="25"/>
      <c r="C346" s="25"/>
    </row>
  </sheetData>
  <sheetProtection selectLockedCells="1"/>
  <mergeCells count="46">
    <mergeCell ref="BA2:BA5"/>
    <mergeCell ref="BA81:BA84"/>
    <mergeCell ref="BA91:BA94"/>
    <mergeCell ref="D92:H92"/>
    <mergeCell ref="B92:B94"/>
    <mergeCell ref="AO2:AO5"/>
    <mergeCell ref="AO91:AO94"/>
    <mergeCell ref="AG91:AG94"/>
    <mergeCell ref="P81:P84"/>
    <mergeCell ref="B2:B5"/>
    <mergeCell ref="P2:P5"/>
    <mergeCell ref="Q2:Q5"/>
    <mergeCell ref="M2:M5"/>
    <mergeCell ref="D3:H3"/>
    <mergeCell ref="AG2:AG5"/>
    <mergeCell ref="AD2:AD5"/>
    <mergeCell ref="O2:O5"/>
    <mergeCell ref="L81:L84"/>
    <mergeCell ref="AZ2:AZ5"/>
    <mergeCell ref="AZ91:AZ94"/>
    <mergeCell ref="U92:Y92"/>
    <mergeCell ref="M91:M94"/>
    <mergeCell ref="P91:P94"/>
    <mergeCell ref="Q91:Q94"/>
    <mergeCell ref="AD91:AD94"/>
    <mergeCell ref="AE91:AE94"/>
    <mergeCell ref="AT84:AU84"/>
    <mergeCell ref="AE2:AE5"/>
    <mergeCell ref="U3:Y3"/>
    <mergeCell ref="N2:N5"/>
    <mergeCell ref="AZ81:AZ84"/>
    <mergeCell ref="M81:M84"/>
    <mergeCell ref="BA298:BA301"/>
    <mergeCell ref="B299:B301"/>
    <mergeCell ref="D299:H299"/>
    <mergeCell ref="U299:Y299"/>
    <mergeCell ref="M298:M301"/>
    <mergeCell ref="P298:P301"/>
    <mergeCell ref="Q298:Q301"/>
    <mergeCell ref="AD298:AD301"/>
    <mergeCell ref="AE298:AE301"/>
    <mergeCell ref="R3:S3"/>
    <mergeCell ref="R4:S4"/>
    <mergeCell ref="AG298:AG301"/>
    <mergeCell ref="AO298:AO301"/>
    <mergeCell ref="AZ298:AZ301"/>
  </mergeCells>
  <phoneticPr fontId="84" type="noConversion"/>
  <dataValidations count="2">
    <dataValidation type="list" allowBlank="1" showInputMessage="1" showErrorMessage="1" sqref="U3:Y3">
      <formula1>ServerCandidates</formula1>
    </dataValidation>
    <dataValidation type="list" allowBlank="1" showInputMessage="1" showErrorMessage="1" sqref="A86:A87">
      <formula1>IF($B$4=$B$399,wfList,wfFavorites)</formula1>
    </dataValidation>
  </dataValidations>
  <pageMargins left="0.75" right="0.75" top="1" bottom="1" header="0.5" footer="0.5"/>
  <pageSetup scale="44" orientation="landscape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indexed="57"/>
    <pageSetUpPr fitToPage="1"/>
  </sheetPr>
  <dimension ref="A1:HC204"/>
  <sheetViews>
    <sheetView showZeros="0" zoomScale="90" zoomScaleNormal="90" zoomScalePageLayoutView="90" workbookViewId="0">
      <selection activeCell="B20" sqref="B20"/>
    </sheetView>
  </sheetViews>
  <sheetFormatPr baseColWidth="10" defaultColWidth="9.1640625" defaultRowHeight="13" outlineLevelRow="2" outlineLevelCol="2" x14ac:dyDescent="0.15"/>
  <cols>
    <col min="1" max="1" width="10.33203125" style="1415" bestFit="1" customWidth="1"/>
    <col min="2" max="2" width="48.83203125" style="1415" customWidth="1"/>
    <col min="3" max="3" width="12.1640625" style="1415" customWidth="1"/>
    <col min="4" max="4" width="10.1640625" style="1415" customWidth="1"/>
    <col min="5" max="5" width="12.1640625" style="1415" customWidth="1" outlineLevel="1"/>
    <col min="6" max="6" width="9.5" style="1415" customWidth="1" outlineLevel="1"/>
    <col min="7" max="7" width="11.1640625" style="1415" customWidth="1"/>
    <col min="8" max="8" width="11.5" style="24" customWidth="1"/>
    <col min="9" max="9" width="9.1640625" style="1415" customWidth="1"/>
    <col min="10" max="10" width="13.5" style="1415" hidden="1" customWidth="1" outlineLevel="2"/>
    <col min="11" max="11" width="10.5" style="1415" hidden="1" customWidth="1" outlineLevel="2"/>
    <col min="12" max="12" width="10" style="1415" hidden="1" customWidth="1" outlineLevel="2"/>
    <col min="13" max="13" width="10.33203125" style="1415" hidden="1" customWidth="1" outlineLevel="2"/>
    <col min="14" max="14" width="10.6640625" style="1415" hidden="1" customWidth="1" outlineLevel="2"/>
    <col min="15" max="15" width="12.5" style="1415" hidden="1" customWidth="1" outlineLevel="2"/>
    <col min="16" max="16" width="9.5" style="1415" hidden="1" customWidth="1" outlineLevel="2"/>
    <col min="17" max="17" width="10.6640625" style="1415" hidden="1" customWidth="1" outlineLevel="2"/>
    <col min="18" max="18" width="10.83203125" style="1415" hidden="1" customWidth="1" outlineLevel="2"/>
    <col min="19" max="19" width="8.6640625" style="1592" customWidth="1" collapsed="1"/>
    <col min="20" max="20" width="8.33203125" style="1415" customWidth="1" outlineLevel="1"/>
    <col min="21" max="21" width="6.5" style="1415" customWidth="1" outlineLevel="1"/>
    <col min="22" max="22" width="7.6640625" style="1592" customWidth="1"/>
    <col min="23" max="23" width="7.5" style="1592" customWidth="1"/>
    <col min="24" max="24" width="7" style="1592" customWidth="1"/>
    <col min="25" max="25" width="7.5" style="1592" customWidth="1"/>
    <col min="26" max="26" width="6.6640625" style="1592" customWidth="1"/>
    <col min="27" max="29" width="7.33203125" style="1592" customWidth="1"/>
    <col min="30" max="30" width="9.33203125" style="1415" customWidth="1"/>
    <col min="31" max="31" width="10.5" style="1415" customWidth="1"/>
    <col min="32" max="32" width="10.1640625" style="1415" customWidth="1"/>
    <col min="33" max="33" width="7.33203125" style="1415" customWidth="1"/>
    <col min="34" max="34" width="6.6640625" style="1415" customWidth="1"/>
    <col min="35" max="46" width="7.33203125" style="1415" customWidth="1"/>
    <col min="47" max="53" width="6.6640625" style="1415" customWidth="1"/>
    <col min="54" max="54" width="9" style="1415" customWidth="1"/>
    <col min="55" max="56" width="7.5" style="1415" customWidth="1"/>
    <col min="57" max="58" width="6.6640625" style="1415" customWidth="1"/>
    <col min="59" max="66" width="6.6640625" style="1415" hidden="1" customWidth="1"/>
    <col min="67" max="72" width="6.6640625" style="1592" hidden="1" customWidth="1"/>
    <col min="73" max="91" width="6.6640625" style="1415" hidden="1" customWidth="1"/>
    <col min="92" max="92" width="6.6640625" style="1415" hidden="1" customWidth="1" collapsed="1"/>
    <col min="93" max="96" width="6.6640625" style="1415" hidden="1" customWidth="1"/>
    <col min="97" max="97" width="9.1640625" style="1415" hidden="1" customWidth="1"/>
    <col min="98" max="114" width="6.6640625" style="1415" hidden="1" customWidth="1"/>
    <col min="115" max="115" width="8.1640625" style="1415" hidden="1" customWidth="1"/>
    <col min="116" max="122" width="6.6640625" style="1415" hidden="1" customWidth="1"/>
    <col min="123" max="124" width="6.6640625" style="1592" hidden="1" customWidth="1"/>
    <col min="125" max="127" width="6.6640625" style="1415" hidden="1" customWidth="1"/>
    <col min="128" max="129" width="6.6640625" style="1592" hidden="1" customWidth="1"/>
    <col min="130" max="133" width="6.6640625" style="1415" hidden="1" customWidth="1"/>
    <col min="134" max="134" width="6.6640625" style="1592" hidden="1" customWidth="1"/>
    <col min="135" max="137" width="6.6640625" style="1415" hidden="1" customWidth="1"/>
    <col min="138" max="138" width="6.6640625" style="1592" hidden="1" customWidth="1"/>
    <col min="139" max="139" width="6.6640625" style="1415" hidden="1" customWidth="1"/>
    <col min="140" max="140" width="6.6640625" style="1592" hidden="1" customWidth="1"/>
    <col min="141" max="141" width="6.6640625" style="1415" hidden="1" customWidth="1"/>
    <col min="142" max="142" width="8" style="1415" hidden="1" customWidth="1"/>
    <col min="143" max="143" width="6.6640625" style="1415" hidden="1" customWidth="1"/>
    <col min="144" max="144" width="6.6640625" style="1592" hidden="1" customWidth="1"/>
    <col min="145" max="145" width="6.6640625" style="1415" hidden="1" customWidth="1"/>
    <col min="146" max="146" width="6.6640625" style="1592" hidden="1" customWidth="1"/>
    <col min="147" max="147" width="6.6640625" style="1415" hidden="1" customWidth="1"/>
    <col min="148" max="148" width="7.83203125" style="1415" hidden="1" customWidth="1"/>
    <col min="149" max="149" width="6.6640625" style="1415" hidden="1" customWidth="1"/>
    <col min="150" max="150" width="6.6640625" style="1592" hidden="1" customWidth="1"/>
    <col min="151" max="151" width="6.6640625" style="1415" hidden="1" customWidth="1"/>
    <col min="152" max="152" width="6.6640625" style="1592" hidden="1" customWidth="1"/>
    <col min="153" max="155" width="6.6640625" style="1415" hidden="1" customWidth="1"/>
    <col min="156" max="156" width="6.6640625" style="1592" hidden="1" customWidth="1"/>
    <col min="157" max="157" width="6.6640625" style="1415" hidden="1" customWidth="1"/>
    <col min="158" max="158" width="6.6640625" style="1592" hidden="1" customWidth="1"/>
    <col min="159" max="161" width="6.6640625" style="1415" hidden="1" customWidth="1"/>
    <col min="162" max="162" width="6.6640625" style="1592" hidden="1" customWidth="1"/>
    <col min="163" max="163" width="7.83203125" style="1415" hidden="1" customWidth="1"/>
    <col min="164" max="164" width="6.6640625" style="1592" hidden="1" customWidth="1"/>
    <col min="165" max="167" width="6.6640625" style="1415" hidden="1" customWidth="1"/>
    <col min="168" max="168" width="6.6640625" style="1592" hidden="1" customWidth="1"/>
    <col min="169" max="169" width="6.6640625" style="1415" hidden="1" customWidth="1"/>
    <col min="170" max="170" width="6.6640625" style="1592" hidden="1" customWidth="1"/>
    <col min="171" max="173" width="6.6640625" style="1415" hidden="1" customWidth="1"/>
    <col min="174" max="174" width="6.6640625" style="1592" hidden="1" customWidth="1"/>
    <col min="175" max="175" width="6.6640625" style="1415" hidden="1" customWidth="1"/>
    <col min="176" max="176" width="6.6640625" style="1592" hidden="1" customWidth="1"/>
    <col min="177" max="179" width="6.6640625" style="1415" hidden="1" customWidth="1"/>
    <col min="180" max="180" width="6.6640625" style="1592" hidden="1" customWidth="1"/>
    <col min="181" max="181" width="8.1640625" style="1415" hidden="1" customWidth="1"/>
    <col min="182" max="182" width="6.6640625" style="1592" hidden="1" customWidth="1"/>
    <col min="183" max="183" width="6.6640625" style="1415" hidden="1" customWidth="1"/>
    <col min="184" max="184" width="8.5" style="1415" hidden="1" customWidth="1"/>
    <col min="185" max="185" width="6.6640625" style="1415" hidden="1" customWidth="1"/>
    <col min="186" max="186" width="6.6640625" style="1592" hidden="1" customWidth="1"/>
    <col min="187" max="187" width="8.33203125" style="1415" hidden="1" customWidth="1"/>
    <col min="188" max="188" width="6.6640625" style="1415" hidden="1" customWidth="1"/>
    <col min="189" max="189" width="6.6640625" style="1592" hidden="1" customWidth="1"/>
    <col min="190" max="191" width="6.6640625" style="1415" hidden="1" customWidth="1"/>
    <col min="192" max="192" width="6.6640625" style="1592" hidden="1" customWidth="1"/>
    <col min="193" max="194" width="6.6640625" style="1415" hidden="1" customWidth="1"/>
    <col min="195" max="195" width="6.6640625" style="1592" hidden="1" customWidth="1"/>
    <col min="196" max="196" width="6.6640625" style="1415" hidden="1" customWidth="1"/>
    <col min="197" max="197" width="6.6640625" style="1592" hidden="1" customWidth="1"/>
    <col min="198" max="198" width="7.5" style="1592" hidden="1" customWidth="1"/>
    <col min="199" max="200" width="6.6640625" style="1415" hidden="1" customWidth="1"/>
    <col min="201" max="202" width="6.6640625" style="1592" hidden="1" customWidth="1"/>
    <col min="203" max="206" width="6.6640625" style="1415" hidden="1" customWidth="1"/>
    <col min="207" max="207" width="5.83203125" style="1415" hidden="1" customWidth="1"/>
    <col min="208" max="208" width="5.5" style="1415" hidden="1" customWidth="1"/>
    <col min="209" max="209" width="9.1640625" style="1415" hidden="1" customWidth="1"/>
    <col min="210" max="210" width="9.1640625" style="1415" customWidth="1"/>
    <col min="211" max="16384" width="9.1640625" style="1415"/>
  </cols>
  <sheetData>
    <row r="1" spans="1:211" ht="15" customHeight="1" x14ac:dyDescent="0.15">
      <c r="A1" s="908"/>
      <c r="B1" s="195" t="s">
        <v>331</v>
      </c>
      <c r="C1" s="196"/>
      <c r="D1" s="2553" t="s">
        <v>387</v>
      </c>
      <c r="E1" s="3422" t="s">
        <v>351</v>
      </c>
      <c r="F1" s="3422"/>
      <c r="G1" s="2503"/>
      <c r="H1" s="2481" t="s">
        <v>327</v>
      </c>
      <c r="I1" s="190" t="s">
        <v>310</v>
      </c>
      <c r="J1" s="1256" t="s">
        <v>400</v>
      </c>
      <c r="K1" s="1257"/>
      <c r="L1" s="1257"/>
      <c r="M1" s="1257"/>
      <c r="N1" s="1257"/>
      <c r="O1" s="1257"/>
      <c r="P1" s="1257"/>
      <c r="Q1" s="1257"/>
      <c r="R1" s="1258"/>
      <c r="S1" s="901" t="s">
        <v>341</v>
      </c>
      <c r="T1" s="1261" t="s">
        <v>359</v>
      </c>
      <c r="U1" s="1262" t="s">
        <v>296</v>
      </c>
      <c r="V1" s="1403" t="s">
        <v>33</v>
      </c>
      <c r="W1" s="2675" t="s">
        <v>1448</v>
      </c>
      <c r="X1" s="757"/>
      <c r="Y1" s="1404" t="s">
        <v>1453</v>
      </c>
      <c r="Z1" s="1404"/>
      <c r="AA1" s="1404"/>
      <c r="AB1" s="1405"/>
      <c r="AC1" s="1405"/>
      <c r="AD1" s="1405"/>
      <c r="AE1" s="1405"/>
      <c r="AF1" s="1405"/>
      <c r="AG1" s="1405"/>
      <c r="AH1" s="1405"/>
      <c r="AI1" s="1405"/>
      <c r="AJ1" s="1405"/>
      <c r="AK1" s="1405"/>
      <c r="AL1" s="1405"/>
      <c r="AM1" s="1405"/>
      <c r="AN1" s="1405"/>
      <c r="AO1" s="1405"/>
      <c r="AP1" s="1405"/>
      <c r="AQ1" s="1405"/>
      <c r="AR1" s="1405"/>
      <c r="AS1" s="1405"/>
      <c r="AT1" s="1405"/>
      <c r="AU1" s="1405"/>
      <c r="AV1" s="1405"/>
      <c r="AW1" s="1405"/>
      <c r="AX1" s="1405"/>
      <c r="AY1" s="1405"/>
      <c r="AZ1" s="1405"/>
      <c r="BA1" s="1405"/>
      <c r="BB1" s="1405"/>
      <c r="BC1" s="1405"/>
      <c r="BD1" s="1405"/>
      <c r="BE1" s="1405"/>
      <c r="BF1" s="902"/>
      <c r="BG1" s="1264" t="s">
        <v>783</v>
      </c>
      <c r="BH1" s="1265"/>
      <c r="BI1" s="1265"/>
      <c r="BJ1" s="1265"/>
      <c r="BK1" s="1265"/>
      <c r="BL1" s="1265"/>
      <c r="BM1" s="1265"/>
      <c r="BN1" s="1265"/>
      <c r="BO1" s="1265"/>
      <c r="BP1" s="1266"/>
      <c r="BQ1" s="1259" t="s">
        <v>782</v>
      </c>
      <c r="BR1" s="1260"/>
      <c r="BS1" s="1260"/>
      <c r="BT1" s="1260"/>
      <c r="BU1" s="1260"/>
      <c r="BV1" s="1260"/>
      <c r="BW1" s="1260"/>
      <c r="BX1" s="1260"/>
      <c r="BY1" s="1260"/>
      <c r="BZ1" s="1260"/>
      <c r="CA1" s="1260"/>
      <c r="CB1" s="1260"/>
      <c r="CC1" s="1260"/>
      <c r="CD1" s="1260"/>
      <c r="CE1" s="1260"/>
      <c r="CF1" s="1260"/>
      <c r="CG1" s="1260"/>
      <c r="CH1" s="903"/>
      <c r="CI1" s="1405"/>
      <c r="CJ1" s="1406" t="s">
        <v>378</v>
      </c>
      <c r="CK1" s="1407" t="s">
        <v>379</v>
      </c>
      <c r="CL1" s="1408" t="s">
        <v>346</v>
      </c>
      <c r="CM1" s="2815"/>
      <c r="CN1" s="904"/>
      <c r="CO1" s="1409"/>
      <c r="CP1" s="1410"/>
      <c r="CQ1" s="1411"/>
      <c r="CR1" s="1410"/>
      <c r="CS1" s="1410"/>
      <c r="CT1" s="1410"/>
      <c r="CU1" s="1410"/>
      <c r="CV1" s="1412"/>
      <c r="CW1" s="1413" t="str">
        <f>CY185</f>
        <v>Tier01</v>
      </c>
      <c r="CX1" s="1413" t="str">
        <f t="shared" ref="CX1:DF1" si="0">CZ185</f>
        <v>Tier02</v>
      </c>
      <c r="CY1" s="1413" t="str">
        <f t="shared" si="0"/>
        <v>Tier03</v>
      </c>
      <c r="CZ1" s="1413" t="str">
        <f t="shared" si="0"/>
        <v>Tier04</v>
      </c>
      <c r="DA1" s="1413" t="str">
        <f t="shared" si="0"/>
        <v>Tier05</v>
      </c>
      <c r="DB1" s="1413" t="str">
        <f t="shared" si="0"/>
        <v>Tier06</v>
      </c>
      <c r="DC1" s="1413" t="str">
        <f t="shared" si="0"/>
        <v>Tier12</v>
      </c>
      <c r="DD1" s="1413" t="str">
        <f t="shared" si="0"/>
        <v>Web</v>
      </c>
      <c r="DE1" s="1413" t="str">
        <f>DG185</f>
        <v>GIS</v>
      </c>
      <c r="DF1" s="1413" t="str">
        <f t="shared" si="0"/>
        <v>DBMS</v>
      </c>
      <c r="DG1" s="298" t="s">
        <v>1</v>
      </c>
      <c r="DH1" s="85" t="s">
        <v>218</v>
      </c>
      <c r="DI1" s="85"/>
      <c r="DJ1" s="85"/>
      <c r="DK1" s="85"/>
      <c r="DL1" s="85"/>
      <c r="DM1" s="85"/>
      <c r="DN1" s="85"/>
      <c r="DO1" s="85"/>
      <c r="DP1" s="85"/>
      <c r="DQ1" s="85"/>
      <c r="DR1" s="85"/>
      <c r="DS1" s="85"/>
      <c r="DT1" s="85"/>
      <c r="DU1" s="85"/>
      <c r="DV1" s="85"/>
      <c r="DW1" s="85"/>
      <c r="DX1" s="85"/>
      <c r="DY1" s="85"/>
      <c r="DZ1" s="85"/>
      <c r="EA1" s="85"/>
      <c r="EB1" s="85"/>
      <c r="EC1" s="85"/>
      <c r="ED1" s="85"/>
      <c r="EE1" s="85"/>
      <c r="EF1" s="85"/>
      <c r="EG1" s="85"/>
      <c r="EH1" s="85"/>
      <c r="EI1" s="85"/>
      <c r="EJ1" s="85"/>
      <c r="EK1" s="85"/>
      <c r="EL1" s="85"/>
      <c r="EM1" s="85"/>
      <c r="EN1" s="85"/>
      <c r="EO1" s="85"/>
      <c r="EP1" s="85"/>
      <c r="EQ1" s="85"/>
      <c r="ER1" s="85"/>
      <c r="ES1" s="85"/>
      <c r="ET1" s="85"/>
      <c r="EU1" s="85"/>
      <c r="EV1" s="85"/>
      <c r="EW1" s="85"/>
      <c r="EX1" s="85"/>
      <c r="EY1" s="85"/>
      <c r="EZ1" s="85"/>
      <c r="FA1" s="85"/>
      <c r="FB1" s="85"/>
      <c r="FC1" s="85"/>
      <c r="FD1" s="85"/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  <c r="FW1" s="85"/>
      <c r="FX1" s="85"/>
      <c r="FY1" s="85"/>
      <c r="FZ1" s="85"/>
      <c r="GA1" s="85"/>
      <c r="GB1" s="85"/>
      <c r="GC1" s="85"/>
      <c r="GD1" s="85"/>
      <c r="GE1" s="85"/>
      <c r="GF1" s="85"/>
      <c r="GG1" s="85"/>
      <c r="GH1" s="85"/>
      <c r="GI1" s="85"/>
      <c r="GJ1" s="85"/>
      <c r="GK1" s="85"/>
      <c r="GL1" s="85"/>
      <c r="GM1" s="85"/>
      <c r="GN1" s="85"/>
      <c r="GO1" s="85"/>
      <c r="GP1" s="85"/>
      <c r="GQ1" s="85"/>
      <c r="GR1" s="85"/>
      <c r="GS1" s="85"/>
      <c r="GT1" s="85"/>
      <c r="GU1" s="85"/>
      <c r="GV1" s="85"/>
      <c r="GW1" s="86"/>
      <c r="GX1" s="89"/>
      <c r="GY1" s="1414"/>
      <c r="GZ1" s="1414"/>
      <c r="HA1" s="1414"/>
      <c r="HB1" s="3420" t="s">
        <v>1557</v>
      </c>
      <c r="HC1" s="3421"/>
    </row>
    <row r="2" spans="1:211" ht="15" customHeight="1" thickBot="1" x14ac:dyDescent="0.2">
      <c r="A2" s="907" t="s">
        <v>280</v>
      </c>
      <c r="B2" s="1928"/>
      <c r="C2" s="1416" t="s">
        <v>395</v>
      </c>
      <c r="D2" s="1417"/>
      <c r="E2" s="1417"/>
      <c r="F2" s="1926"/>
      <c r="G2" s="1925"/>
      <c r="H2" s="2482" t="s">
        <v>326</v>
      </c>
      <c r="I2" s="191" t="s">
        <v>396</v>
      </c>
      <c r="J2" s="193" t="s">
        <v>401</v>
      </c>
      <c r="K2" s="79"/>
      <c r="L2" s="79"/>
      <c r="M2" s="79"/>
      <c r="N2" s="79"/>
      <c r="O2" s="79"/>
      <c r="P2" s="79"/>
      <c r="Q2" s="1418"/>
      <c r="R2" s="1419"/>
      <c r="S2" s="164" t="s">
        <v>342</v>
      </c>
      <c r="T2" s="528" t="s">
        <v>352</v>
      </c>
      <c r="U2" s="167">
        <v>10</v>
      </c>
      <c r="V2" s="1420" t="s">
        <v>361</v>
      </c>
      <c r="W2" s="2676" t="s">
        <v>375</v>
      </c>
      <c r="X2" s="2820"/>
      <c r="Y2" s="1421"/>
      <c r="Z2" s="1421"/>
      <c r="AA2" s="1421"/>
      <c r="AB2" s="16"/>
      <c r="AC2" s="16"/>
      <c r="AD2" s="1263">
        <f>S26</f>
        <v>0</v>
      </c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81"/>
      <c r="BG2" s="2818"/>
      <c r="BH2" s="3423" t="str">
        <f>Calculator!B101</f>
        <v>Arc18 Baseline 4 core (1 chip) 3600 MHz</v>
      </c>
      <c r="BI2" s="3423"/>
      <c r="BJ2" s="3423"/>
      <c r="BK2" s="3423"/>
      <c r="BL2" s="3423"/>
      <c r="BM2" s="3424" t="s">
        <v>321</v>
      </c>
      <c r="BN2" s="3424"/>
      <c r="BO2" s="94">
        <f>Calculator!I101</f>
        <v>74</v>
      </c>
      <c r="BP2" s="752" t="s">
        <v>273</v>
      </c>
      <c r="BQ2" s="1249" t="str">
        <f>BH2</f>
        <v>Arc18 Baseline 4 core (1 chip) 3600 MHz</v>
      </c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/>
      <c r="CF2" s="93"/>
      <c r="CG2" s="93"/>
      <c r="CH2" s="82"/>
      <c r="CI2" s="696" t="str">
        <f>Calculator!A164</f>
        <v>Client or TPH</v>
      </c>
      <c r="CJ2" s="1423">
        <v>1</v>
      </c>
      <c r="CK2" s="1424">
        <v>1</v>
      </c>
      <c r="CL2" s="569">
        <v>1E-3</v>
      </c>
      <c r="CM2" s="1422"/>
      <c r="CN2" s="1425"/>
      <c r="CO2" s="1426"/>
      <c r="CP2" s="1421"/>
      <c r="CQ2" s="1425"/>
      <c r="CR2" s="553"/>
      <c r="CS2" s="1427"/>
      <c r="CT2" s="1427"/>
      <c r="CU2" s="1427"/>
      <c r="CV2" s="1428"/>
      <c r="CW2" s="3425" t="s">
        <v>377</v>
      </c>
      <c r="CX2" s="3425"/>
      <c r="CY2" s="3425"/>
      <c r="CZ2" s="3425"/>
      <c r="DA2" s="3425"/>
      <c r="DB2" s="3425"/>
      <c r="DC2" s="3425"/>
      <c r="DD2" s="3425"/>
      <c r="DE2" s="3425"/>
      <c r="DF2" s="3425"/>
      <c r="DG2" s="1429" t="s">
        <v>456</v>
      </c>
      <c r="DH2" s="790"/>
      <c r="DI2" s="90"/>
      <c r="DJ2" s="90"/>
      <c r="DK2" s="90"/>
      <c r="DL2" s="90"/>
      <c r="DM2" s="1430"/>
      <c r="DN2" s="90"/>
      <c r="DO2" s="1431">
        <f>H24</f>
        <v>0.8</v>
      </c>
      <c r="DP2" s="90"/>
      <c r="DQ2" s="90"/>
      <c r="DR2" s="90"/>
      <c r="DS2" s="795"/>
      <c r="DT2" s="90"/>
      <c r="DU2" s="1431">
        <f>H28</f>
        <v>0.8</v>
      </c>
      <c r="DV2" s="90"/>
      <c r="DW2" s="90"/>
      <c r="DX2" s="90"/>
      <c r="DY2" s="795"/>
      <c r="DZ2" s="90"/>
      <c r="EA2" s="1431">
        <f>H32</f>
        <v>0.8</v>
      </c>
      <c r="EB2" s="90"/>
      <c r="EC2" s="90"/>
      <c r="ED2" s="90"/>
      <c r="EE2" s="795"/>
      <c r="EF2" s="90"/>
      <c r="EG2" s="1431">
        <f>H36</f>
        <v>0.8</v>
      </c>
      <c r="EH2" s="90"/>
      <c r="EI2" s="90"/>
      <c r="EJ2" s="90"/>
      <c r="EK2" s="83"/>
      <c r="EL2" s="83"/>
      <c r="EM2" s="1432">
        <f>H40</f>
        <v>0.8</v>
      </c>
      <c r="EN2" s="83"/>
      <c r="EO2" s="83"/>
      <c r="EP2" s="90"/>
      <c r="EQ2" s="83"/>
      <c r="ER2" s="83"/>
      <c r="ES2" s="1432">
        <f>H45</f>
        <v>0.8</v>
      </c>
      <c r="ET2" s="83"/>
      <c r="EU2" s="83"/>
      <c r="EV2" s="90"/>
      <c r="EW2" s="2767"/>
      <c r="EX2" s="83"/>
      <c r="EY2" s="1432">
        <f>H49</f>
        <v>0.8</v>
      </c>
      <c r="EZ2" s="83"/>
      <c r="FA2" s="83"/>
      <c r="FB2" s="90"/>
      <c r="FC2" s="83"/>
      <c r="FD2" s="83"/>
      <c r="FE2" s="1432">
        <f>H53</f>
        <v>0.8</v>
      </c>
      <c r="FF2" s="83"/>
      <c r="FG2" s="83"/>
      <c r="FH2" s="90"/>
      <c r="FI2" s="83"/>
      <c r="FJ2" s="83"/>
      <c r="FK2" s="1432">
        <f>H57</f>
        <v>0.8</v>
      </c>
      <c r="FL2" s="83"/>
      <c r="FM2" s="83"/>
      <c r="FN2" s="90"/>
      <c r="FO2" s="83"/>
      <c r="FP2" s="83"/>
      <c r="FQ2" s="1432">
        <f>H61</f>
        <v>0.8</v>
      </c>
      <c r="FR2" s="83"/>
      <c r="FS2" s="83"/>
      <c r="FT2" s="90"/>
      <c r="FU2" s="83"/>
      <c r="FV2" s="83"/>
      <c r="FW2" s="1432">
        <f>H66</f>
        <v>0.8</v>
      </c>
      <c r="FX2" s="83"/>
      <c r="FY2" s="83"/>
      <c r="FZ2" s="90"/>
      <c r="GA2" s="2766"/>
      <c r="GB2" s="83"/>
      <c r="GC2" s="1432">
        <f>H70</f>
        <v>0.8</v>
      </c>
      <c r="GD2" s="83"/>
      <c r="GE2" s="83"/>
      <c r="GF2" s="90"/>
      <c r="GG2" s="83"/>
      <c r="GH2" s="83"/>
      <c r="GI2" s="1432">
        <f>H74</f>
        <v>0.8</v>
      </c>
      <c r="GJ2" s="83"/>
      <c r="GK2" s="83"/>
      <c r="GL2" s="90"/>
      <c r="GM2" s="83"/>
      <c r="GN2" s="83"/>
      <c r="GO2" s="1432">
        <f>H78</f>
        <v>0.8</v>
      </c>
      <c r="GP2" s="83"/>
      <c r="GQ2" s="83"/>
      <c r="GR2" s="90"/>
      <c r="GS2" s="83"/>
      <c r="GT2" s="83"/>
      <c r="GU2" s="1432">
        <f>H82</f>
        <v>0.8</v>
      </c>
      <c r="GV2" s="83"/>
      <c r="GW2" s="84"/>
      <c r="GX2" s="90"/>
      <c r="GY2" s="1414"/>
      <c r="GZ2" s="1414"/>
      <c r="HA2" s="2473"/>
      <c r="HB2" s="2861" t="s">
        <v>1551</v>
      </c>
      <c r="HC2" s="2862" t="s">
        <v>992</v>
      </c>
    </row>
    <row r="3" spans="1:211" ht="15" customHeight="1" x14ac:dyDescent="0.2">
      <c r="A3" s="909" t="s">
        <v>291</v>
      </c>
      <c r="B3" s="197" t="s">
        <v>302</v>
      </c>
      <c r="C3" s="186" t="s">
        <v>403</v>
      </c>
      <c r="D3" s="1418"/>
      <c r="E3" s="69" t="s">
        <v>422</v>
      </c>
      <c r="F3" s="700"/>
      <c r="G3" s="154" t="s">
        <v>327</v>
      </c>
      <c r="H3" s="1433" t="s">
        <v>307</v>
      </c>
      <c r="I3" s="782" t="s">
        <v>317</v>
      </c>
      <c r="J3" s="194" t="s">
        <v>336</v>
      </c>
      <c r="K3" s="74"/>
      <c r="L3" s="3411" t="s">
        <v>304</v>
      </c>
      <c r="M3" s="3412"/>
      <c r="N3" s="187" t="s">
        <v>332</v>
      </c>
      <c r="O3" s="3413" t="s">
        <v>300</v>
      </c>
      <c r="P3" s="3414"/>
      <c r="Q3" s="3414"/>
      <c r="R3" s="3415"/>
      <c r="S3" s="170" t="s">
        <v>277</v>
      </c>
      <c r="T3" s="3416" t="s">
        <v>376</v>
      </c>
      <c r="U3" s="3417"/>
      <c r="V3" s="1420" t="s">
        <v>293</v>
      </c>
      <c r="W3" s="2676" t="s">
        <v>1449</v>
      </c>
      <c r="X3" s="758" t="s">
        <v>124</v>
      </c>
      <c r="Y3" s="2738"/>
      <c r="Z3" s="2739"/>
      <c r="AA3" s="2738"/>
      <c r="AB3" s="2739"/>
      <c r="AC3" s="2738"/>
      <c r="AD3" s="2739"/>
      <c r="AE3" s="2738"/>
      <c r="AF3" s="2740"/>
      <c r="AG3" s="2738"/>
      <c r="AH3" s="2740"/>
      <c r="AI3" s="2738"/>
      <c r="AJ3" s="2740"/>
      <c r="AK3" s="2738"/>
      <c r="AL3" s="2740"/>
      <c r="AM3" s="2738"/>
      <c r="AN3" s="2740"/>
      <c r="AO3" s="2738"/>
      <c r="AP3" s="2740"/>
      <c r="AQ3" s="2738"/>
      <c r="AR3" s="2740"/>
      <c r="AS3" s="2738"/>
      <c r="AT3" s="2740"/>
      <c r="AU3" s="2738"/>
      <c r="AV3" s="2740"/>
      <c r="AW3" s="2738"/>
      <c r="AX3" s="2740"/>
      <c r="AY3" s="2740"/>
      <c r="AZ3" s="2739"/>
      <c r="BA3" s="2738"/>
      <c r="BB3" s="2740"/>
      <c r="BC3" s="783"/>
      <c r="BD3" s="2740"/>
      <c r="BE3" s="2741"/>
      <c r="BF3" s="2742"/>
      <c r="BG3" s="162" t="s">
        <v>303</v>
      </c>
      <c r="BH3" s="26" t="str">
        <f>J3</f>
        <v>Desktop</v>
      </c>
      <c r="BI3" s="26"/>
      <c r="BJ3" s="76" t="s">
        <v>332</v>
      </c>
      <c r="BK3" s="75"/>
      <c r="BL3" s="26"/>
      <c r="BM3" s="26" t="s">
        <v>368</v>
      </c>
      <c r="BN3" s="69"/>
      <c r="BO3" s="26"/>
      <c r="BP3" s="752" t="s">
        <v>375</v>
      </c>
      <c r="BQ3" s="779"/>
      <c r="BR3" s="877">
        <f>DN3</f>
        <v>0</v>
      </c>
      <c r="BS3" s="878">
        <f>DT3</f>
        <v>0</v>
      </c>
      <c r="BT3" s="879">
        <f>DZ3</f>
        <v>0</v>
      </c>
      <c r="BU3" s="879">
        <f>EF3</f>
        <v>0</v>
      </c>
      <c r="BV3" s="879">
        <f>EL3</f>
        <v>0</v>
      </c>
      <c r="BW3" s="878">
        <f>ER3</f>
        <v>0</v>
      </c>
      <c r="BX3" s="878">
        <f>EO3</f>
        <v>0</v>
      </c>
      <c r="BY3" s="878">
        <f>EP3</f>
        <v>0</v>
      </c>
      <c r="BZ3" s="878" t="str">
        <f>EQ3</f>
        <v>Tier06</v>
      </c>
      <c r="CA3" s="878">
        <f>ER3</f>
        <v>0</v>
      </c>
      <c r="CB3" s="878">
        <f>ES3</f>
        <v>0</v>
      </c>
      <c r="CC3" s="877">
        <f>GB3</f>
        <v>0</v>
      </c>
      <c r="CD3" s="878">
        <f>GH3</f>
        <v>0</v>
      </c>
      <c r="CE3" s="878">
        <f>GN3</f>
        <v>0</v>
      </c>
      <c r="CF3" s="879">
        <f>GT3</f>
        <v>0</v>
      </c>
      <c r="CG3" s="780" t="s">
        <v>329</v>
      </c>
      <c r="CH3" s="1435" t="s">
        <v>425</v>
      </c>
      <c r="CI3" s="1436"/>
      <c r="CJ3" s="1436"/>
      <c r="CK3" s="1436"/>
      <c r="CL3" s="1436"/>
      <c r="CM3" s="1434" t="s">
        <v>310</v>
      </c>
      <c r="CN3" s="1437"/>
      <c r="CO3" s="1437"/>
      <c r="CP3" s="1437"/>
      <c r="CQ3" s="1437"/>
      <c r="CR3" s="1437"/>
      <c r="CS3" s="1437"/>
      <c r="CT3" s="762"/>
      <c r="CU3" s="762"/>
      <c r="CV3" s="763"/>
      <c r="CW3" s="763"/>
      <c r="CX3" s="1910"/>
      <c r="CY3" s="1912" t="s">
        <v>816</v>
      </c>
      <c r="CZ3" s="1913"/>
      <c r="DA3" s="763"/>
      <c r="DB3" s="931"/>
      <c r="DC3" s="931"/>
      <c r="DD3" s="931"/>
      <c r="DE3" s="931"/>
      <c r="DF3" s="931"/>
      <c r="DG3" s="789" t="s">
        <v>1</v>
      </c>
      <c r="DH3" s="791" t="str">
        <f>$BQ4</f>
        <v>Client</v>
      </c>
      <c r="DI3" s="787"/>
      <c r="DJ3" s="787"/>
      <c r="DK3" s="792"/>
      <c r="DL3" s="783"/>
      <c r="DM3" s="784" t="str">
        <f>$BR4</f>
        <v>Tier01</v>
      </c>
      <c r="DN3" s="785"/>
      <c r="DO3" s="786"/>
      <c r="DP3" s="787">
        <f>S27*G25</f>
        <v>0</v>
      </c>
      <c r="DQ3" s="798">
        <f>H26</f>
        <v>0</v>
      </c>
      <c r="DR3" s="783"/>
      <c r="DS3" s="787" t="str">
        <f>$BS4</f>
        <v>Tier02</v>
      </c>
      <c r="DT3" s="796"/>
      <c r="DU3" s="786"/>
      <c r="DV3" s="787">
        <f>S31*G29</f>
        <v>0</v>
      </c>
      <c r="DW3" s="800">
        <f>H30</f>
        <v>0</v>
      </c>
      <c r="DX3" s="783"/>
      <c r="DY3" s="787" t="str">
        <f>$BT4</f>
        <v>Tier03</v>
      </c>
      <c r="DZ3" s="796"/>
      <c r="EA3" s="786"/>
      <c r="EB3" s="787">
        <f>S35*G33</f>
        <v>0</v>
      </c>
      <c r="EC3" s="800">
        <f>H34</f>
        <v>0</v>
      </c>
      <c r="ED3" s="783"/>
      <c r="EE3" s="787" t="str">
        <f>$BU4</f>
        <v>Tier04</v>
      </c>
      <c r="EF3" s="796"/>
      <c r="EG3" s="786"/>
      <c r="EH3" s="787">
        <f>S39*G37</f>
        <v>0</v>
      </c>
      <c r="EI3" s="797">
        <f>H38</f>
        <v>0</v>
      </c>
      <c r="EJ3" s="783"/>
      <c r="EK3" s="73" t="str">
        <f>$BV4</f>
        <v>Tier05</v>
      </c>
      <c r="EL3" s="750"/>
      <c r="EM3" s="771"/>
      <c r="EN3" s="73">
        <f>S43*G41</f>
        <v>0</v>
      </c>
      <c r="EO3" s="778">
        <f>H42</f>
        <v>0</v>
      </c>
      <c r="EP3" s="783"/>
      <c r="EQ3" s="72" t="str">
        <f>$BW4</f>
        <v>Tier06</v>
      </c>
      <c r="ER3" s="750"/>
      <c r="ES3" s="771"/>
      <c r="ET3" s="73">
        <f>S48*G46</f>
        <v>0</v>
      </c>
      <c r="EU3" s="778">
        <f>H47</f>
        <v>0</v>
      </c>
      <c r="EV3" s="783"/>
      <c r="EW3" s="72" t="str">
        <f>$BX4</f>
        <v>Tier07</v>
      </c>
      <c r="EX3" s="750"/>
      <c r="EY3" s="771"/>
      <c r="EZ3" s="73">
        <f>S52*G50</f>
        <v>0</v>
      </c>
      <c r="FA3" s="778">
        <f>H51</f>
        <v>0</v>
      </c>
      <c r="FB3" s="783"/>
      <c r="FC3" s="72" t="str">
        <f>$BY4</f>
        <v>Tier08</v>
      </c>
      <c r="FD3" s="750"/>
      <c r="FE3" s="771"/>
      <c r="FF3" s="73">
        <f>S56*G54</f>
        <v>0</v>
      </c>
      <c r="FG3" s="778">
        <f>H55</f>
        <v>0</v>
      </c>
      <c r="FH3" s="783"/>
      <c r="FI3" s="72" t="str">
        <f>$BZ4</f>
        <v>Tier09</v>
      </c>
      <c r="FJ3" s="750"/>
      <c r="FK3" s="771"/>
      <c r="FL3" s="73">
        <f>S60*G58</f>
        <v>0</v>
      </c>
      <c r="FM3" s="778">
        <f>H59</f>
        <v>0</v>
      </c>
      <c r="FN3" s="783"/>
      <c r="FO3" s="72" t="str">
        <f>$CA4</f>
        <v>Tier10</v>
      </c>
      <c r="FP3" s="750"/>
      <c r="FQ3" s="771"/>
      <c r="FR3" s="73">
        <f>S64*G62</f>
        <v>0</v>
      </c>
      <c r="FS3" s="778">
        <f>H63</f>
        <v>0</v>
      </c>
      <c r="FT3" s="783"/>
      <c r="FU3" s="72" t="str">
        <f>$CB$4</f>
        <v>WTS</v>
      </c>
      <c r="FV3" s="750"/>
      <c r="FW3" s="771"/>
      <c r="FX3" s="73">
        <f>S69*G67</f>
        <v>0</v>
      </c>
      <c r="FY3" s="778">
        <f>H68</f>
        <v>0</v>
      </c>
      <c r="FZ3" s="783"/>
      <c r="GA3" s="72" t="str">
        <f>$CC4</f>
        <v>Tier12</v>
      </c>
      <c r="GB3" s="750"/>
      <c r="GC3" s="771"/>
      <c r="GD3" s="73">
        <f>S73*G71</f>
        <v>0</v>
      </c>
      <c r="GE3" s="778">
        <f>H72</f>
        <v>0</v>
      </c>
      <c r="GF3" s="783"/>
      <c r="GG3" s="72" t="str">
        <f>$CD4</f>
        <v>Web</v>
      </c>
      <c r="GH3" s="750"/>
      <c r="GI3" s="771"/>
      <c r="GJ3" s="73">
        <f>S77*G75</f>
        <v>0</v>
      </c>
      <c r="GK3" s="778">
        <f>H76</f>
        <v>0</v>
      </c>
      <c r="GL3" s="783"/>
      <c r="GM3" s="72" t="str">
        <f>$CE4</f>
        <v>GIS</v>
      </c>
      <c r="GN3" s="750"/>
      <c r="GO3" s="771"/>
      <c r="GP3" s="73">
        <f>S81*G79</f>
        <v>0</v>
      </c>
      <c r="GQ3" s="778">
        <f>H80</f>
        <v>0</v>
      </c>
      <c r="GR3" s="783"/>
      <c r="GS3" s="72" t="str">
        <f>$CF4</f>
        <v>DBMS</v>
      </c>
      <c r="GT3" s="750"/>
      <c r="GU3" s="771"/>
      <c r="GV3" s="73">
        <f>S85*G83</f>
        <v>0</v>
      </c>
      <c r="GW3" s="778">
        <f>H84</f>
        <v>0</v>
      </c>
      <c r="GX3" s="91" t="s">
        <v>372</v>
      </c>
      <c r="GY3" s="531" t="s">
        <v>110</v>
      </c>
      <c r="GZ3" s="2468"/>
      <c r="HA3" s="2474"/>
      <c r="HB3" s="2861">
        <f>10*(SUM(HB5:HB14)-HB14)</f>
        <v>5259.5888966074635</v>
      </c>
      <c r="HC3" s="2863">
        <f>SUM(HC14:HC19)-HC19</f>
        <v>525.95888966074642</v>
      </c>
    </row>
    <row r="4" spans="1:211" ht="15" customHeight="1" thickBot="1" x14ac:dyDescent="0.2">
      <c r="A4" s="1438" t="s">
        <v>388</v>
      </c>
      <c r="B4" s="359" t="s">
        <v>397</v>
      </c>
      <c r="C4" s="162" t="s">
        <v>305</v>
      </c>
      <c r="D4" s="147" t="s">
        <v>75</v>
      </c>
      <c r="E4" s="22" t="s">
        <v>424</v>
      </c>
      <c r="F4" s="154" t="s">
        <v>273</v>
      </c>
      <c r="G4" s="154" t="s">
        <v>307</v>
      </c>
      <c r="H4" s="1128" t="s">
        <v>404</v>
      </c>
      <c r="I4" s="192" t="s">
        <v>308</v>
      </c>
      <c r="J4" s="1439" t="str">
        <f>Workflow!D6</f>
        <v>Client</v>
      </c>
      <c r="K4" s="1440" t="str">
        <f>Workflow!E6</f>
        <v>Citrix</v>
      </c>
      <c r="L4" s="362" t="str">
        <f>Workflow!F6</f>
        <v>Web</v>
      </c>
      <c r="M4" s="361" t="str">
        <f>Workflow!G6</f>
        <v>Portal</v>
      </c>
      <c r="N4" s="1441" t="str">
        <f>Workflow!H6</f>
        <v>SOC</v>
      </c>
      <c r="O4" s="357" t="str">
        <f>Workflow!I6</f>
        <v>DS/MDS</v>
      </c>
      <c r="P4" s="358" t="str">
        <f>O4</f>
        <v>DS/MDS</v>
      </c>
      <c r="Q4" s="358" t="str">
        <f>Workflow!K6</f>
        <v>DBMS</v>
      </c>
      <c r="R4" s="188" t="s">
        <v>300</v>
      </c>
      <c r="S4" s="171" t="s">
        <v>343</v>
      </c>
      <c r="T4" s="204" t="s">
        <v>364</v>
      </c>
      <c r="U4" s="163" t="s">
        <v>363</v>
      </c>
      <c r="V4" s="1420" t="s">
        <v>106</v>
      </c>
      <c r="W4" s="2676" t="s">
        <v>970</v>
      </c>
      <c r="X4" s="2731" t="s">
        <v>123</v>
      </c>
      <c r="Y4" s="2748" t="str">
        <f>IF(SUM(Y5:Y19)&gt;0,$A183,"")</f>
        <v>DBMS</v>
      </c>
      <c r="Z4" s="2749" t="str">
        <f>IF(SUM(Z5:Z19)&gt;0,CONCATENATE(Y4,"Q"),"")</f>
        <v>DBMSQ</v>
      </c>
      <c r="AA4" s="2748" t="str">
        <f>IF(SUM(AA5:AA19)&gt;0,$A182,"")</f>
        <v>GIS</v>
      </c>
      <c r="AB4" s="2749" t="str">
        <f>IF(AA4="","",CONCATENATE(AA4,"Q"))</f>
        <v>GISQ</v>
      </c>
      <c r="AC4" s="2748" t="str">
        <f>IF(SUM(AC5:AC19)&gt;0,$A181,"")</f>
        <v>Web</v>
      </c>
      <c r="AD4" s="2749" t="str">
        <f>IF(AC4="","",CONCATENATE(AC4,"Q"))</f>
        <v>WebQ</v>
      </c>
      <c r="AE4" s="2748" t="str">
        <f>IF(SUM(AE5:AE19)&gt;0,$A180,"")</f>
        <v/>
      </c>
      <c r="AF4" s="2749" t="str">
        <f>IF(AE4="","",CONCATENATE(AE4,"Q"))</f>
        <v/>
      </c>
      <c r="AG4" s="2748" t="str">
        <f>IF(SUM(AG5:AG19)&gt;0,$A179,"")</f>
        <v>WTS</v>
      </c>
      <c r="AH4" s="2749" t="str">
        <f>IF(AG4="","",CONCATENATE(AG4,"Q"))</f>
        <v>WTSQ</v>
      </c>
      <c r="AI4" s="2748" t="str">
        <f>IF(SUM(AI5:AI19)&gt;0,$A178,"")</f>
        <v/>
      </c>
      <c r="AJ4" s="2749" t="str">
        <f>IF(AI4="","",CONCATENATE(AI4,"Q"))</f>
        <v/>
      </c>
      <c r="AK4" s="2748" t="str">
        <f>IF(SUM(AK5:AK19)&gt;0,$A177,"")</f>
        <v/>
      </c>
      <c r="AL4" s="2749" t="str">
        <f>IF(AK4="","",CONCATENATE(AK4,"Q"))</f>
        <v/>
      </c>
      <c r="AM4" s="2748" t="str">
        <f>IF(SUM(AM5:AM19)&gt;0,$A176,"")</f>
        <v/>
      </c>
      <c r="AN4" s="2749" t="str">
        <f>IF(AM4="","",CONCATENATE(AM4,"Q"))</f>
        <v/>
      </c>
      <c r="AO4" s="2748" t="str">
        <f>IF(SUM(AO5:AO19)&gt;0,$A175,"")</f>
        <v/>
      </c>
      <c r="AP4" s="2749" t="str">
        <f>IF(AO4="","",CONCATENATE(AO4,"Q"))</f>
        <v/>
      </c>
      <c r="AQ4" s="2748" t="str">
        <f>IF(SUM(AQ5:AQ19)&gt;0,$A174,"")</f>
        <v/>
      </c>
      <c r="AR4" s="2749" t="str">
        <f>IF(AQ4="","",CONCATENATE(AQ4,"Q"))</f>
        <v/>
      </c>
      <c r="AS4" s="2748" t="str">
        <f>IF(SUM(AS5:AS19)&gt;0,$A173,"")</f>
        <v/>
      </c>
      <c r="AT4" s="2749" t="str">
        <f>IF(AS4="","",CONCATENATE(AS4,"Q"))</f>
        <v/>
      </c>
      <c r="AU4" s="2748" t="str">
        <f>IF(SUM(AU5:AU19)&gt;0,$A172,"")</f>
        <v/>
      </c>
      <c r="AV4" s="2749" t="str">
        <f>IF(AU4="","",CONCATENATE(AU4,"Q"))</f>
        <v/>
      </c>
      <c r="AW4" s="2748" t="str">
        <f>IF(SUM(AW5:AW19)&gt;0,$A171,"")</f>
        <v/>
      </c>
      <c r="AX4" s="2749" t="str">
        <f>IF(AW4="","",CONCATENATE(AW4,"Q"))</f>
        <v/>
      </c>
      <c r="AY4" s="2748" t="str">
        <f>IF(SUM(AY5:AY19)&gt;0,$A170,"")</f>
        <v/>
      </c>
      <c r="AZ4" s="2749" t="str">
        <f>IF(AY4="","",CONCATENATE(AY4,"Q"))</f>
        <v/>
      </c>
      <c r="BA4" s="2748" t="str">
        <f>IF(SUM(BA5:BA19)&gt;0,$A169,"")</f>
        <v/>
      </c>
      <c r="BB4" s="2749" t="str">
        <f>IF(BA4="","",CONCATENATE(BA4,"Q"))</f>
        <v/>
      </c>
      <c r="BC4" s="2757" t="s">
        <v>327</v>
      </c>
      <c r="BD4" s="1026" t="s">
        <v>298</v>
      </c>
      <c r="BE4" s="1025" t="s">
        <v>277</v>
      </c>
      <c r="BF4" s="1025" t="str">
        <f>$A168</f>
        <v>Client</v>
      </c>
      <c r="BG4" s="22" t="s">
        <v>317</v>
      </c>
      <c r="BH4" s="69" t="str">
        <f>J4</f>
        <v>Client</v>
      </c>
      <c r="BI4" s="69"/>
      <c r="BJ4" s="69" t="str">
        <f>L3</f>
        <v>Web</v>
      </c>
      <c r="BK4" s="69"/>
      <c r="BL4" s="22" t="s">
        <v>312</v>
      </c>
      <c r="BM4" s="22" t="str">
        <f>O3</f>
        <v>Data Source</v>
      </c>
      <c r="BN4" s="22" t="s">
        <v>317</v>
      </c>
      <c r="BO4" s="22" t="str">
        <f>O3</f>
        <v>Data Source</v>
      </c>
      <c r="BP4" s="752" t="s">
        <v>293</v>
      </c>
      <c r="BQ4" s="128" t="str">
        <f>$A168</f>
        <v>Client</v>
      </c>
      <c r="BR4" s="77" t="str">
        <f>$A169</f>
        <v>Tier01</v>
      </c>
      <c r="BS4" s="77" t="str">
        <f>$A170</f>
        <v>Tier02</v>
      </c>
      <c r="BT4" s="77" t="str">
        <f>$A171</f>
        <v>Tier03</v>
      </c>
      <c r="BU4" s="77" t="str">
        <f>$A172</f>
        <v>Tier04</v>
      </c>
      <c r="BV4" s="77" t="str">
        <f>$A173</f>
        <v>Tier05</v>
      </c>
      <c r="BW4" s="77" t="str">
        <f>$A174</f>
        <v>Tier06</v>
      </c>
      <c r="BX4" s="77" t="str">
        <f>$A175</f>
        <v>Tier07</v>
      </c>
      <c r="BY4" s="77" t="str">
        <f>$A176</f>
        <v>Tier08</v>
      </c>
      <c r="BZ4" s="77" t="str">
        <f>$A177</f>
        <v>Tier09</v>
      </c>
      <c r="CA4" s="77" t="str">
        <f>$A178</f>
        <v>Tier10</v>
      </c>
      <c r="CB4" s="77" t="str">
        <f>$A179</f>
        <v>WTS</v>
      </c>
      <c r="CC4" s="77" t="str">
        <f>$A180</f>
        <v>Tier12</v>
      </c>
      <c r="CD4" s="77" t="str">
        <f>$A181</f>
        <v>Web</v>
      </c>
      <c r="CE4" s="77" t="str">
        <f>$A182</f>
        <v>GIS</v>
      </c>
      <c r="CF4" s="148" t="str">
        <f>$A183</f>
        <v>DBMS</v>
      </c>
      <c r="CG4" s="77" t="s">
        <v>317</v>
      </c>
      <c r="CH4" s="3418" t="s">
        <v>295</v>
      </c>
      <c r="CI4" s="3418"/>
      <c r="CJ4" s="3418"/>
      <c r="CK4" s="3418"/>
      <c r="CL4" s="1443" t="s">
        <v>310</v>
      </c>
      <c r="CM4" s="754" t="s">
        <v>277</v>
      </c>
      <c r="CN4" s="3419" t="s">
        <v>326</v>
      </c>
      <c r="CO4" s="3419"/>
      <c r="CP4" s="1444" t="s">
        <v>292</v>
      </c>
      <c r="CQ4" s="1442" t="s">
        <v>123</v>
      </c>
      <c r="CR4" s="1445"/>
      <c r="CS4" s="764"/>
      <c r="CT4" s="1446" t="s">
        <v>291</v>
      </c>
      <c r="CU4" s="1446" t="s">
        <v>329</v>
      </c>
      <c r="CV4" s="1447" t="s">
        <v>399</v>
      </c>
      <c r="CW4" s="1448" t="s">
        <v>423</v>
      </c>
      <c r="CX4" s="1895" t="s">
        <v>562</v>
      </c>
      <c r="CY4" s="1904" t="s">
        <v>815</v>
      </c>
      <c r="CZ4" s="1905" t="s">
        <v>818</v>
      </c>
      <c r="DA4" s="1448" t="s">
        <v>1210</v>
      </c>
      <c r="DB4" s="931"/>
      <c r="DC4" s="931"/>
      <c r="DD4" s="931"/>
      <c r="DE4" s="931"/>
      <c r="DF4" s="1449"/>
      <c r="DG4" s="5"/>
      <c r="DH4" s="793" t="s">
        <v>305</v>
      </c>
      <c r="DI4" s="7" t="s">
        <v>306</v>
      </c>
      <c r="DJ4" s="7" t="s">
        <v>289</v>
      </c>
      <c r="DK4" s="794" t="s">
        <v>1244</v>
      </c>
      <c r="DL4" s="788" t="s">
        <v>219</v>
      </c>
      <c r="DM4" s="781" t="s">
        <v>305</v>
      </c>
      <c r="DN4" s="781" t="s">
        <v>306</v>
      </c>
      <c r="DO4" s="781" t="s">
        <v>289</v>
      </c>
      <c r="DP4" s="781" t="s">
        <v>380</v>
      </c>
      <c r="DQ4" s="794" t="s">
        <v>1244</v>
      </c>
      <c r="DR4" s="788" t="s">
        <v>219</v>
      </c>
      <c r="DS4" s="799" t="s">
        <v>305</v>
      </c>
      <c r="DT4" s="799" t="s">
        <v>306</v>
      </c>
      <c r="DU4" s="799" t="s">
        <v>310</v>
      </c>
      <c r="DV4" s="799" t="s">
        <v>380</v>
      </c>
      <c r="DW4" s="794" t="s">
        <v>1244</v>
      </c>
      <c r="DX4" s="788" t="s">
        <v>219</v>
      </c>
      <c r="DY4" s="799" t="s">
        <v>305</v>
      </c>
      <c r="DZ4" s="799" t="s">
        <v>306</v>
      </c>
      <c r="EA4" s="799" t="s">
        <v>310</v>
      </c>
      <c r="EB4" s="799" t="s">
        <v>380</v>
      </c>
      <c r="EC4" s="794" t="s">
        <v>1244</v>
      </c>
      <c r="ED4" s="788" t="s">
        <v>219</v>
      </c>
      <c r="EE4" s="799" t="s">
        <v>305</v>
      </c>
      <c r="EF4" s="799" t="s">
        <v>306</v>
      </c>
      <c r="EG4" s="799" t="s">
        <v>310</v>
      </c>
      <c r="EH4" s="799" t="s">
        <v>380</v>
      </c>
      <c r="EI4" s="794" t="s">
        <v>1244</v>
      </c>
      <c r="EJ4" s="788" t="s">
        <v>219</v>
      </c>
      <c r="EK4" s="7" t="s">
        <v>305</v>
      </c>
      <c r="EL4" s="7" t="s">
        <v>306</v>
      </c>
      <c r="EM4" s="7" t="s">
        <v>310</v>
      </c>
      <c r="EN4" s="7" t="s">
        <v>380</v>
      </c>
      <c r="EO4" s="794" t="s">
        <v>1244</v>
      </c>
      <c r="EP4" s="788" t="s">
        <v>219</v>
      </c>
      <c r="EQ4" s="6" t="s">
        <v>305</v>
      </c>
      <c r="ER4" s="7" t="s">
        <v>306</v>
      </c>
      <c r="ES4" s="7" t="s">
        <v>310</v>
      </c>
      <c r="ET4" s="7" t="s">
        <v>380</v>
      </c>
      <c r="EU4" s="794" t="s">
        <v>1244</v>
      </c>
      <c r="EV4" s="788" t="s">
        <v>219</v>
      </c>
      <c r="EW4" s="6" t="s">
        <v>305</v>
      </c>
      <c r="EX4" s="7" t="s">
        <v>306</v>
      </c>
      <c r="EY4" s="7" t="s">
        <v>289</v>
      </c>
      <c r="EZ4" s="7" t="s">
        <v>380</v>
      </c>
      <c r="FA4" s="794" t="s">
        <v>1244</v>
      </c>
      <c r="FB4" s="788" t="s">
        <v>219</v>
      </c>
      <c r="FC4" s="6" t="s">
        <v>305</v>
      </c>
      <c r="FD4" s="7" t="s">
        <v>306</v>
      </c>
      <c r="FE4" s="7" t="s">
        <v>289</v>
      </c>
      <c r="FF4" s="7" t="s">
        <v>380</v>
      </c>
      <c r="FG4" s="794" t="s">
        <v>1244</v>
      </c>
      <c r="FH4" s="788" t="s">
        <v>219</v>
      </c>
      <c r="FI4" s="6" t="s">
        <v>305</v>
      </c>
      <c r="FJ4" s="7" t="s">
        <v>306</v>
      </c>
      <c r="FK4" s="7" t="s">
        <v>289</v>
      </c>
      <c r="FL4" s="7" t="s">
        <v>380</v>
      </c>
      <c r="FM4" s="794" t="s">
        <v>1244</v>
      </c>
      <c r="FN4" s="788" t="s">
        <v>219</v>
      </c>
      <c r="FO4" s="6" t="s">
        <v>305</v>
      </c>
      <c r="FP4" s="7" t="s">
        <v>306</v>
      </c>
      <c r="FQ4" s="7" t="s">
        <v>289</v>
      </c>
      <c r="FR4" s="7" t="s">
        <v>380</v>
      </c>
      <c r="FS4" s="794" t="s">
        <v>1244</v>
      </c>
      <c r="FT4" s="788" t="s">
        <v>219</v>
      </c>
      <c r="FU4" s="6" t="s">
        <v>305</v>
      </c>
      <c r="FV4" s="7" t="s">
        <v>306</v>
      </c>
      <c r="FW4" s="7" t="s">
        <v>289</v>
      </c>
      <c r="FX4" s="7" t="s">
        <v>380</v>
      </c>
      <c r="FY4" s="794" t="s">
        <v>1244</v>
      </c>
      <c r="FZ4" s="788" t="s">
        <v>219</v>
      </c>
      <c r="GA4" s="6" t="s">
        <v>305</v>
      </c>
      <c r="GB4" s="7" t="s">
        <v>306</v>
      </c>
      <c r="GC4" s="7" t="s">
        <v>289</v>
      </c>
      <c r="GD4" s="7" t="s">
        <v>380</v>
      </c>
      <c r="GE4" s="794" t="s">
        <v>1244</v>
      </c>
      <c r="GF4" s="788" t="s">
        <v>219</v>
      </c>
      <c r="GG4" s="6" t="s">
        <v>305</v>
      </c>
      <c r="GH4" s="7" t="s">
        <v>306</v>
      </c>
      <c r="GI4" s="7" t="s">
        <v>289</v>
      </c>
      <c r="GJ4" s="7" t="s">
        <v>380</v>
      </c>
      <c r="GK4" s="8" t="s">
        <v>311</v>
      </c>
      <c r="GL4" s="788" t="s">
        <v>219</v>
      </c>
      <c r="GM4" s="6" t="s">
        <v>305</v>
      </c>
      <c r="GN4" s="7" t="s">
        <v>306</v>
      </c>
      <c r="GO4" s="7" t="s">
        <v>289</v>
      </c>
      <c r="GP4" s="7" t="s">
        <v>380</v>
      </c>
      <c r="GQ4" s="8" t="s">
        <v>1244</v>
      </c>
      <c r="GR4" s="788" t="s">
        <v>219</v>
      </c>
      <c r="GS4" s="6" t="s">
        <v>305</v>
      </c>
      <c r="GT4" s="7" t="s">
        <v>306</v>
      </c>
      <c r="GU4" s="7" t="s">
        <v>290</v>
      </c>
      <c r="GV4" s="7"/>
      <c r="GW4" s="87" t="s">
        <v>309</v>
      </c>
      <c r="GX4" s="92" t="s">
        <v>373</v>
      </c>
      <c r="GY4" s="532" t="s">
        <v>300</v>
      </c>
      <c r="GZ4" s="2469"/>
      <c r="HA4" s="2475" t="s">
        <v>307</v>
      </c>
      <c r="HB4" s="2864"/>
    </row>
    <row r="5" spans="1:211" s="390" customFormat="1" ht="15" customHeight="1" x14ac:dyDescent="0.15">
      <c r="A5" s="1450" t="str">
        <f>CT5</f>
        <v>LAN</v>
      </c>
      <c r="B5" s="1089" t="s">
        <v>392</v>
      </c>
      <c r="C5" s="1451"/>
      <c r="D5" s="1452" t="s">
        <v>112</v>
      </c>
      <c r="E5" s="1090">
        <f ca="1">SUM(C5:OFFSET(C5,MATCH(BG5,OFFSET(BG5,1,0):BG$20,0)-1,0))</f>
        <v>3</v>
      </c>
      <c r="F5" s="1091">
        <f ca="1">SUM(G5:OFFSET(G5,MATCH(BG5,OFFSET(BG5,1,0):BG$20,0)-1,0))</f>
        <v>11.033333333333331</v>
      </c>
      <c r="G5" s="1092"/>
      <c r="H5" s="2479">
        <v>1000</v>
      </c>
      <c r="I5" s="1096">
        <f ca="1">F5/H5</f>
        <v>1.1033333333333331E-2</v>
      </c>
      <c r="J5" s="1020" t="s">
        <v>303</v>
      </c>
      <c r="K5" s="1020" t="s">
        <v>333</v>
      </c>
      <c r="L5" s="1020" t="s">
        <v>304</v>
      </c>
      <c r="M5" s="1020" t="str">
        <f>L5</f>
        <v>Web</v>
      </c>
      <c r="N5" s="1020" t="s">
        <v>517</v>
      </c>
      <c r="O5" s="3135" t="s">
        <v>835</v>
      </c>
      <c r="P5" s="1021"/>
      <c r="Q5" s="1020" t="s">
        <v>309</v>
      </c>
      <c r="R5" s="2730">
        <v>10</v>
      </c>
      <c r="S5" s="1453"/>
      <c r="T5" s="1111"/>
      <c r="U5" s="1112"/>
      <c r="V5" s="1113"/>
      <c r="W5" s="2677"/>
      <c r="X5" s="2732"/>
      <c r="Y5" s="2750"/>
      <c r="Z5" s="1455"/>
      <c r="AA5" s="1456"/>
      <c r="AB5" s="1455"/>
      <c r="AC5" s="1456"/>
      <c r="AD5" s="1455"/>
      <c r="AE5" s="1456"/>
      <c r="AF5" s="1455"/>
      <c r="AG5" s="2750"/>
      <c r="AH5" s="1455"/>
      <c r="AI5" s="2750"/>
      <c r="AJ5" s="1455"/>
      <c r="AK5" s="2750"/>
      <c r="AL5" s="1455"/>
      <c r="AM5" s="2750"/>
      <c r="AN5" s="1455"/>
      <c r="AO5" s="2750"/>
      <c r="AP5" s="1455"/>
      <c r="AQ5" s="2750"/>
      <c r="AR5" s="1455"/>
      <c r="AS5" s="2750"/>
      <c r="AT5" s="1455"/>
      <c r="AU5" s="2750"/>
      <c r="AV5" s="1455"/>
      <c r="AW5" s="2750"/>
      <c r="AX5" s="1455"/>
      <c r="AY5" s="2750"/>
      <c r="AZ5" s="1455"/>
      <c r="BA5" s="2750"/>
      <c r="BB5" s="1455"/>
      <c r="BC5" s="2758"/>
      <c r="BD5" s="2759"/>
      <c r="BE5" s="2764"/>
      <c r="BF5" s="2764"/>
      <c r="BG5" s="1099" t="s">
        <v>308</v>
      </c>
      <c r="BH5" s="1085" t="str">
        <f>J4</f>
        <v>Client</v>
      </c>
      <c r="BI5" s="1085" t="str">
        <f>K4</f>
        <v>Citrix</v>
      </c>
      <c r="BJ5" s="1085" t="str">
        <f>L4</f>
        <v>Web</v>
      </c>
      <c r="BK5" s="1085"/>
      <c r="BL5" s="1085" t="str">
        <f>N4</f>
        <v>SOC</v>
      </c>
      <c r="BM5" s="1085" t="str">
        <f>O4</f>
        <v>DS/MDS</v>
      </c>
      <c r="BN5" s="1115" t="s">
        <v>308</v>
      </c>
      <c r="BO5" s="1099" t="str">
        <f>Q4</f>
        <v>DBMS</v>
      </c>
      <c r="BP5" s="1083" t="s">
        <v>273</v>
      </c>
      <c r="BQ5" s="1110" t="s">
        <v>374</v>
      </c>
      <c r="BR5" s="1110"/>
      <c r="BS5" s="1110"/>
      <c r="BT5" s="1110"/>
      <c r="BU5" s="1110"/>
      <c r="BV5" s="1110"/>
      <c r="BW5" s="1110"/>
      <c r="BX5" s="1110"/>
      <c r="BY5" s="1110"/>
      <c r="BZ5" s="1110"/>
      <c r="CA5" s="1110"/>
      <c r="CB5" s="1110"/>
      <c r="CC5" s="1110"/>
      <c r="CD5" s="1110"/>
      <c r="CE5" s="1110"/>
      <c r="CF5" s="1110"/>
      <c r="CG5" s="1099" t="s">
        <v>308</v>
      </c>
      <c r="CH5" s="1457">
        <f>COUNTBLANK($CI$5:$CI5)</f>
        <v>1</v>
      </c>
      <c r="CI5" s="1458"/>
      <c r="CJ5" s="1459">
        <f>H5</f>
        <v>1000</v>
      </c>
      <c r="CK5" s="1460"/>
      <c r="CL5" s="1106">
        <f ca="1">I5</f>
        <v>1.1033333333333331E-2</v>
      </c>
      <c r="CM5" s="1114"/>
      <c r="CN5" s="1107"/>
      <c r="CO5" s="1107"/>
      <c r="CP5" s="1108"/>
      <c r="CQ5" s="1454">
        <f>IF($D$1=$H$175,1000,0)</f>
        <v>0</v>
      </c>
      <c r="CR5" s="1116">
        <f ca="1">F5/H5</f>
        <v>1.1033333333333331E-2</v>
      </c>
      <c r="CS5" s="1461" t="s">
        <v>346</v>
      </c>
      <c r="CT5" s="1462" t="str">
        <f t="shared" ref="CT5:CT19" si="1">IF(ISERROR(FIND("_",B5)),B5,LEFT(B5,FIND("_",B5)-1))</f>
        <v>LAN</v>
      </c>
      <c r="CU5" s="1462">
        <f>IF(ISERROR(FIND("_",CW5)),CW5,LEFT(CW5,FIND("_",CW5)-1))</f>
        <v>0</v>
      </c>
      <c r="CV5" s="1463">
        <f>H5</f>
        <v>1000</v>
      </c>
      <c r="CW5" s="1899"/>
      <c r="CX5" s="1911"/>
      <c r="CY5" s="1896"/>
      <c r="CZ5" s="1465"/>
      <c r="DA5" s="1899"/>
      <c r="DB5" s="1464"/>
      <c r="DC5" s="1464"/>
      <c r="DD5" s="1464"/>
      <c r="DE5" s="1464"/>
      <c r="DF5" s="1465"/>
      <c r="DG5" s="1117"/>
      <c r="DH5" s="1118"/>
      <c r="DI5" s="1119"/>
      <c r="DJ5" s="1119"/>
      <c r="DK5" s="1120"/>
      <c r="DL5" s="1118"/>
      <c r="DM5" s="1119"/>
      <c r="DN5" s="1119"/>
      <c r="DO5" s="1119"/>
      <c r="DP5" s="1119"/>
      <c r="DQ5" s="1120"/>
      <c r="DR5" s="1118"/>
      <c r="DS5" s="1119"/>
      <c r="DT5" s="1119"/>
      <c r="DU5" s="1119"/>
      <c r="DV5" s="1119"/>
      <c r="DW5" s="1120"/>
      <c r="DX5" s="1118"/>
      <c r="DY5" s="1119"/>
      <c r="DZ5" s="1119"/>
      <c r="EA5" s="1119"/>
      <c r="EB5" s="1119"/>
      <c r="EC5" s="1120"/>
      <c r="ED5" s="1118"/>
      <c r="EE5" s="1119"/>
      <c r="EF5" s="1119"/>
      <c r="EG5" s="1119"/>
      <c r="EH5" s="1119"/>
      <c r="EI5" s="1120"/>
      <c r="EJ5" s="1118"/>
      <c r="EK5" s="1119"/>
      <c r="EL5" s="1119"/>
      <c r="EM5" s="1119"/>
      <c r="EN5" s="1119"/>
      <c r="EO5" s="1119"/>
      <c r="EP5" s="1118"/>
      <c r="EQ5" s="1121"/>
      <c r="ER5" s="1119"/>
      <c r="ES5" s="1119"/>
      <c r="ET5" s="1119"/>
      <c r="EU5" s="1119"/>
      <c r="EV5" s="1118"/>
      <c r="EW5" s="1121"/>
      <c r="EX5" s="1119"/>
      <c r="EY5" s="1119"/>
      <c r="EZ5" s="1119"/>
      <c r="FA5" s="1122"/>
      <c r="FB5" s="1118"/>
      <c r="FC5" s="1121"/>
      <c r="FD5" s="1119"/>
      <c r="FE5" s="1119"/>
      <c r="FF5" s="1119"/>
      <c r="FG5" s="1122"/>
      <c r="FH5" s="1118"/>
      <c r="FI5" s="1121"/>
      <c r="FJ5" s="1119"/>
      <c r="FK5" s="1119"/>
      <c r="FL5" s="1119"/>
      <c r="FM5" s="1122"/>
      <c r="FN5" s="1118"/>
      <c r="FO5" s="1121"/>
      <c r="FP5" s="1119"/>
      <c r="FQ5" s="1119"/>
      <c r="FR5" s="1119"/>
      <c r="FS5" s="1122"/>
      <c r="FT5" s="1118"/>
      <c r="FU5" s="1121"/>
      <c r="FV5" s="1119"/>
      <c r="FW5" s="1119"/>
      <c r="FX5" s="1119"/>
      <c r="FY5" s="1122"/>
      <c r="FZ5" s="1118"/>
      <c r="GA5" s="1121"/>
      <c r="GB5" s="1119"/>
      <c r="GC5" s="1119"/>
      <c r="GD5" s="1119"/>
      <c r="GE5" s="1122"/>
      <c r="GF5" s="1118"/>
      <c r="GG5" s="1121"/>
      <c r="GH5" s="1119"/>
      <c r="GI5" s="1119"/>
      <c r="GJ5" s="1119"/>
      <c r="GK5" s="1122"/>
      <c r="GL5" s="1118"/>
      <c r="GM5" s="1121"/>
      <c r="GN5" s="1119"/>
      <c r="GO5" s="1119"/>
      <c r="GP5" s="1119"/>
      <c r="GQ5" s="1122"/>
      <c r="GR5" s="1118"/>
      <c r="GS5" s="1121"/>
      <c r="GT5" s="1119"/>
      <c r="GU5" s="1119"/>
      <c r="GV5" s="1119"/>
      <c r="GW5" s="1122"/>
      <c r="GX5" s="1123"/>
      <c r="GY5" s="1466"/>
      <c r="GZ5" s="2470"/>
      <c r="HA5" s="1493">
        <f>H5</f>
        <v>1000</v>
      </c>
      <c r="HB5" s="2865"/>
      <c r="HC5" s="2865"/>
    </row>
    <row r="6" spans="1:211" s="1490" customFormat="1" ht="15" customHeight="1" x14ac:dyDescent="0.2">
      <c r="A6" s="1467" t="str">
        <f>IF($A$4=$H$167,$CI6&amp;"."&amp;$CJ6&amp;"."&amp;$CK6,CT6)</f>
        <v>S DeskEdit</v>
      </c>
      <c r="B6" s="159" t="s">
        <v>209</v>
      </c>
      <c r="C6" s="1468">
        <v>1</v>
      </c>
      <c r="D6" s="1469"/>
      <c r="E6" s="537">
        <f>IF(D6&lt;1000,IF(SUM(C6:D6)=0,0,IF(AND(D$1=H$173,T6=0),CS6,IF(T$2=$H$178,X6,IF(T$2=$H$179,IF(T6&gt;0,  IF(CR6&gt;X6,X6,CS6),CS6),E6)))),X6)</f>
        <v>10</v>
      </c>
      <c r="F6" s="538">
        <f>IF($T$2=$H$177,0,IF($D$4=Calculator!$A$162,C6*E6+D6/60,IF(OR($D$4=Calculator!$A$163,D6&lt;1000),(C6+D6)*E6,C6*E6+D6/60)))</f>
        <v>10</v>
      </c>
      <c r="G6" s="803">
        <f>IF(SUM($C6:$D6)&gt;0,F6*$I6/60,0)</f>
        <v>6.5</v>
      </c>
      <c r="H6" s="925" t="str">
        <f>W6&amp;CU6&amp;" {"&amp;TEXT(F6*60,"###,##0")&amp;"}"</f>
        <v>DB {600}</v>
      </c>
      <c r="I6" s="540">
        <f>$BG6</f>
        <v>39</v>
      </c>
      <c r="J6" s="926" t="s">
        <v>382</v>
      </c>
      <c r="K6" s="926" t="s">
        <v>382</v>
      </c>
      <c r="L6" s="927" t="s">
        <v>382</v>
      </c>
      <c r="M6" s="927" t="s">
        <v>382</v>
      </c>
      <c r="N6" s="927" t="s">
        <v>382</v>
      </c>
      <c r="O6" s="927" t="s">
        <v>382</v>
      </c>
      <c r="P6" s="928" t="str">
        <f>IF(OR(AND($O6=$A$167,  $O$5=$A$167),AND($O6=$A$167,  $O$5=$A$187)), IF(BL6&gt;0,IF($N6=$A$167,$N$5,$N6), IF(BI6&gt;0,  IF($K6=$A$167,$K$5,$K6), IF($J6=$A$167,$J$5,$J6))),IF(O6=$A$167,O$5,O6))</f>
        <v>Client</v>
      </c>
      <c r="Q6" s="929" t="s">
        <v>382</v>
      </c>
      <c r="R6" s="160" t="s">
        <v>1055</v>
      </c>
      <c r="S6" s="1470">
        <f>VLOOKUP($B6,wfRange,Workflow!B$1,FALSE)</f>
        <v>200</v>
      </c>
      <c r="T6" s="1245">
        <f>CP6</f>
        <v>3</v>
      </c>
      <c r="U6" s="546">
        <f ca="1">IF(F6=0,T6,60/E6-V6)</f>
        <v>5.6045033611415445</v>
      </c>
      <c r="V6" s="759">
        <f ca="1">IF(F6=0,0,SUM(Y6:BF6))</f>
        <v>0.39549663885845521</v>
      </c>
      <c r="W6" s="2682"/>
      <c r="X6" s="2733">
        <f>CQ6</f>
        <v>10</v>
      </c>
      <c r="Y6" s="2751">
        <f>IF(SUM($C6:$D6)&gt;0,$K$85*CF6,0)*1/VLOOKUP(B6,wfRange,Workflow!N$1,FALSE)</f>
        <v>3.186157458904957E-2</v>
      </c>
      <c r="Z6" s="1474">
        <f>IF(Y6&gt;0, IF($A$83&lt;0.9999,   IF($T6=0,  MAX($CL$2*Y6*$Q$82,$CL$2*Y6*$Q$81),  MAX(Y6*$Q$82,Y6*$Q$81)),  Y6*200),0)</f>
        <v>3.0020259687703874E-4</v>
      </c>
      <c r="AA6" s="2751">
        <f>IF(SUM($C6:$D6)&gt;0,$K$81*CE6,0)*1/VLOOKUP(B6,wfRange,Workflow!N$1,FALSE)</f>
        <v>0</v>
      </c>
      <c r="AB6" s="1474">
        <f>IF(AA6&gt;0, IF($A$79&lt;0.9999,   IF($T6=0,  MAX($CL$2*AA6*$Q$78,$CL$2*AA6*$Q$77),  MAX(AA6*$Q$78,AA6*$Q$77)),  AA6*200),0)</f>
        <v>0</v>
      </c>
      <c r="AC6" s="2751">
        <f>IF(SUM($C6:$D6)&gt;0,$K$77*CD6,0)*1/VLOOKUP(B6,wfRange,Workflow!N$1,FALSE)</f>
        <v>0</v>
      </c>
      <c r="AD6" s="1474">
        <f>IF(AC6&gt;0, IF($A$75&lt;0.9999,   IF($T6=0,  MAX($CL$2*AC6*$Q$74,$CL$2*AC6*$Q$73),  MAX(AC6*$Q$74,AC6*$Q$73)),  AC6*200),0)</f>
        <v>0</v>
      </c>
      <c r="AE6" s="2751">
        <f>IF(SUM($C6:$D6)&gt;0,$K$73*CC6,0)*1/VLOOKUP(B6,wfRange,Workflow!N$1,FALSE)</f>
        <v>0</v>
      </c>
      <c r="AF6" s="1474">
        <f>IF(AE6&gt;0, IF($A$71&lt;0.9999,   IF($T6=0,  MAX($CL$2*AE6*$Q$70,$CL$2*AE6*$Q$69),  MAX(AE6*$Q$70,AE6*$Q$69)),  AE6*200),0)</f>
        <v>0</v>
      </c>
      <c r="AG6" s="2751">
        <f>IF(SUM($C6:$D6)&gt;0,$K$69*CB6,0)*1/VLOOKUP(B6,wfRange,Workflow!N$1,FALSE)</f>
        <v>0</v>
      </c>
      <c r="AH6" s="1474">
        <f>IF(AG6&gt;0, IF($A$67&lt;0.9999,   IF($T6=0,  MAX($CL$2*AG6*$Q$66,$CL$2*AG6*$Q$64),  MAX(AG6*$Q$66,AG6*$Q$64)),  AG6*200),0)</f>
        <v>0</v>
      </c>
      <c r="AI6" s="2751">
        <f>IF(SUM($C6:$D6)&gt;0,$K$64*CA6,0)*1/VLOOKUP(B6,wfRange,Workflow!N$1,FALSE)</f>
        <v>0</v>
      </c>
      <c r="AJ6" s="1474">
        <f>IF(AI6&gt;0, IF($A$62&lt;0.9999,   IF($T6=0,  MAX($CL$2*AI6*$Q$61,$CL$2*AI6*$Q$60),  MAX(AI6*$Q$61,AI6*$Q$60)),  AI6*200),0)</f>
        <v>0</v>
      </c>
      <c r="AK6" s="2751">
        <f>IF(SUM($C6:$D6)&gt;0,$K$60*BZ6,0)*1/VLOOKUP(B6,wfRange,Workflow!N$1,FALSE)</f>
        <v>0</v>
      </c>
      <c r="AL6" s="1474">
        <f>IF(AK6&gt;0, IF($A$58&lt;0.9999,   IF($T6=0,  MAX($CL$2*AK6*$Q$57,$CL$2*AK6*$Q$56),  MAX(AK6*$Q$57,AK6*$Q$56)),  AK6*200),0)</f>
        <v>0</v>
      </c>
      <c r="AM6" s="2751">
        <f>IF(SUM($C6:$D6)&gt;0,$K$56*BY6,0)*1/VLOOKUP(B6,wfRange,Workflow!N$1,FALSE)</f>
        <v>0</v>
      </c>
      <c r="AN6" s="1474">
        <f>IF(AM6&gt;0, IF($A$54&lt;0.9999,   IF($T6=0,  MAX($CL$2*AM6*$Q$53,$CL$2*AM6*$Q$52),  MAX(AM6*$Q$53,AM6*$Q$52)),  AM6*200),0)</f>
        <v>0</v>
      </c>
      <c r="AO6" s="2751">
        <f>IF(SUM($C6:$D6)&gt;0,$K$52*BX6,0)*1/VLOOKUP(B6,wfRange,Workflow!N$1,FALSE)</f>
        <v>0</v>
      </c>
      <c r="AP6" s="1474">
        <f>IF(AO6&gt;0, IF($A$50&lt;0.9999,   IF($T6=0,  MAX($CL$2*AO6*$Q$49,$CL$2*AO6*$Q$48),  MAX(AO6*$Q$49,AO6*$Q$48)),  AO6*200),0)</f>
        <v>0</v>
      </c>
      <c r="AQ6" s="2751">
        <f>IF(SUM($C6:$D6)&gt;0,$K$48*BW6,0)*1/VLOOKUP(B6,wfRange,Workflow!N$1,FALSE)</f>
        <v>0</v>
      </c>
      <c r="AR6" s="1474">
        <f>IF(AQ6&gt;0, IF($A$46&lt;0.9999,   IF($T6=0,  MAX($CL$2*AQ6*$Q$45,$CL$2*AQ6*$Q$43),  MAX(AQ6*$Q$45,AQ6*$Q$43)),  AQ6*200),0)</f>
        <v>0</v>
      </c>
      <c r="AS6" s="2751">
        <f>IF(SUM($C6:$D6)&gt;0,$K$43*BV6,0)*1/VLOOKUP(B6,wfRange,Workflow!N$1,FALSE)</f>
        <v>0</v>
      </c>
      <c r="AT6" s="1474">
        <f>IF(AS6&gt;0, IF($A$41&lt;0.9999,   IF($T6=0,  MAX($CL$2*AS6*$Q$40,$CL$2*AS6*$Q$39),  MAX(AS6*$Q$40,AS6*$Q$39)),  AS6*200),0)</f>
        <v>0</v>
      </c>
      <c r="AU6" s="2751">
        <f>IF(SUM($C6:$D6)&gt;0,$K$39*BU6,0)*1/VLOOKUP(B6,wfRange,Workflow!N$1,FALSE)</f>
        <v>0</v>
      </c>
      <c r="AV6" s="1474">
        <f>IF(AU6&gt;0, IF($A$37&lt;0.9999,   IF($T6=0,  MAX($CL$2*AU6*$Q$36,$CL$2*AU6*$Q$35),  MAX(AU6*$Q$36,AU6*$Q$35)),  AU6*200),0)</f>
        <v>0</v>
      </c>
      <c r="AW6" s="2751">
        <f>IF(SUM($C6:$D6)&gt;0,$K$35*BT6,0)*1/VLOOKUP(B6,wfRange,Workflow!N$1,FALSE)</f>
        <v>0</v>
      </c>
      <c r="AX6" s="1474">
        <f>IF(AW6&gt;0, IF($A$33&lt;0.9999,   IF($T6=0,  MAX($CL$2*AW6*$Q$32,$CL$2*AW6*$Q$31),  MAX(AW6*$Q$32,AW6*$Q$31)),  AW6*200),0)</f>
        <v>0</v>
      </c>
      <c r="AY6" s="2751">
        <f>IF(SUM($C6:$D6)&gt;0,$K$31*BS6,0)*1/VLOOKUP(B6,wfRange,Workflow!N$1,FALSE)</f>
        <v>0</v>
      </c>
      <c r="AZ6" s="1474">
        <f>IF(AY6&gt;0, IF($A$29&lt;0.9999,   IF($T6=0,  MAX($CL$2*AY6*$Q$28,$CL$2*AY6*$Q$27),  MAX(AY6*$Q$28,AY6*$Q$27)),  AY6*200),0)</f>
        <v>0</v>
      </c>
      <c r="BA6" s="2751">
        <f>IF(SUM($C6:$D6)&gt;0,$K$27*BR6,0)*1/VLOOKUP(B6,wfRange,Workflow!N$1,FALSE)</f>
        <v>0</v>
      </c>
      <c r="BB6" s="1474">
        <f>IF(BA6&gt;0, IF($A$25&lt;0.9999,   IF($T6=0,  MAX($CL$2*BA6*$Q$24,$CL$2*BA6*$Q$23),  MAX(BA6*$Q$24,BA6*$Q$23)),  BA6*200),0)</f>
        <v>0</v>
      </c>
      <c r="BC6" s="2751">
        <f ca="1">IF(SUM($C6:$D6)&gt;0,IF($CJ6&gt;0,IF($CO6&gt;$CN6,$I6/$CN6,$I6/$CO6),$I6/$CN6),0)</f>
        <v>3.9E-2</v>
      </c>
      <c r="BD6" s="930">
        <f ca="1">IF(BC6&gt;0,IF(CL6&lt;0.9999,BC6*CL6/((1+$CK$2*CL6)*(1-CL6)),BC6*500),0)</f>
        <v>4.3035238870895473E-4</v>
      </c>
      <c r="BE6" s="2765">
        <f ca="1">IF(SUM($C6:$D6)&gt;0,IF(CJ6&gt;0,VLOOKUP($CJ6+200,NL,6,FALSE)*S6,0),0)/1000</f>
        <v>0</v>
      </c>
      <c r="BF6" s="2765">
        <f>IF(SUM($C6:$D6)&gt;0,BQ6*$BO$2/$G$22,0)*1/VLOOKUP(B6,wfRange,Workflow!N$1,FALSE)</f>
        <v>0.32390450928381964</v>
      </c>
      <c r="BG6" s="2736">
        <f>IF($CW6="desktop",VLOOKUP($R6,DataArray,5,FALSE)* VLOOKUP($B6,wfRange,Workflow!C$1,FALSE), VLOOKUP($B6,wfRange,Workflow!C$1,FALSE))</f>
        <v>39</v>
      </c>
      <c r="BH6" s="1476">
        <f>IF(CW6="Desktop", VLOOKUP($R6,DataArray,4,FALSE)* IF(ISERROR(FIND("File",$R6)), VLOOKUP($B6,wfRange,Workflow!D$1,FALSE), VLOOKUP($B6,wfRange,Workflow!D$1,FALSE)+ VLOOKUP($B6,wfRange,Workflow!I$1,FALSE)+ VLOOKUP($B6,wfRange,Workflow!K$1,FALSE)), VLOOKUP($B6,wfRange,Workflow!D$1,FALSE))</f>
        <v>0.24025349487418457</v>
      </c>
      <c r="BI6" s="542">
        <f>IF(VLOOKUP($B6,wfRange,Workflow!E$1,FALSE)&gt;0, VLOOKUP($R6,DataArray,4,FALSE)* IF(ISERROR(FIND("File",$R6)),   VLOOKUP($B6,wfRange,Workflow!E$1,FALSE),     VLOOKUP($B6,wfRange,Workflow!E$1,FALSE)+ VLOOKUP($B6,wfRange,Workflow!I$1,FALSE)+ VLOOKUP($B6,wfRange,Workflow!K$1,FALSE)),0)</f>
        <v>0</v>
      </c>
      <c r="BJ6" s="543">
        <f>VLOOKUP($B6,wfRange,Workflow!F$1,FALSE)</f>
        <v>0</v>
      </c>
      <c r="BK6" s="543">
        <f>MAX(VLOOKUP($B6,wfRange,Workflow!G$1,FALSE),IF(W6=$BB$22,$BC$22,0))</f>
        <v>0</v>
      </c>
      <c r="BL6" s="543">
        <f>IF(VLOOKUP($B6,wfRange,Workflow!H$1,FALSE)&gt;0,VLOOKUP($R6,DataArray,4,FALSE)* IF(ISERROR(FIND("File",$R6)),VLOOKUP($B6,wfRange,Workflow!H$1,FALSE),VLOOKUP($B6,wfRange,Workflow!H$1,FALSE)+VLOOKUP($B6,wfRange,Workflow!I$1,FALSE)+VLOOKUP($B6,wfRange,Workflow!K$1,FALSE)),0)</f>
        <v>0</v>
      </c>
      <c r="BM6" s="544">
        <f>VLOOKUP($R6,DataArray,3,FALSE)* VLOOKUP($B6,wfRange,Workflow!I$1,FALSE)</f>
        <v>3.0031686859273071E-2</v>
      </c>
      <c r="BN6" s="545">
        <f>VLOOKUP($R6,DataArray,5,FALSE)* VLOOKUP($B6,wfRange,Workflow!J$1,FALSE)</f>
        <v>10</v>
      </c>
      <c r="BO6" s="544">
        <f>VLOOKUP($R6,DataArray,2,FALSE)* VLOOKUP($B6,wfRange,Workflow!K$1,FALSE)</f>
        <v>3.0031686859273071E-2</v>
      </c>
      <c r="BP6" s="753">
        <f>SUM(BH6:BM6,BO6)</f>
        <v>0.30031686859273066</v>
      </c>
      <c r="BQ6" s="1471">
        <f t="shared" ref="BQ6:CF8" si="2">IF(OR($J6=BQ$4,AND($J6=$A$167,$J$5=BQ$4)),$BH6)+IF(OR($K6=BQ$4,AND($K6=$A$167,$K$5=BQ$4)),$BI6)+IF(OR($L6=BQ$4,AND($L6=$A$167,$L$5=BQ$4)),$BJ6)+IF(OR($M6=BQ$4,AND($M6=$A$167,$M$5=BQ$4)),$BK6)+IF(OR($N6=BQ$4,AND($N6=$A$167,$N$5=BQ$4)),$BL6)+IF($P6=BQ$4,$BM6)+IF(OR($Q6=BQ$4,AND($Q6=$A$167,$Q$5=BQ$4)),$BO6)</f>
        <v>0.27028518173345761</v>
      </c>
      <c r="BR6" s="1472">
        <f t="shared" si="2"/>
        <v>0</v>
      </c>
      <c r="BS6" s="1472">
        <f t="shared" si="2"/>
        <v>0</v>
      </c>
      <c r="BT6" s="1472">
        <f t="shared" si="2"/>
        <v>0</v>
      </c>
      <c r="BU6" s="1472">
        <f t="shared" si="2"/>
        <v>0</v>
      </c>
      <c r="BV6" s="1472">
        <f t="shared" si="2"/>
        <v>0</v>
      </c>
      <c r="BW6" s="1472">
        <f t="shared" si="2"/>
        <v>0</v>
      </c>
      <c r="BX6" s="1472">
        <f t="shared" si="2"/>
        <v>0</v>
      </c>
      <c r="BY6" s="1472">
        <f t="shared" si="2"/>
        <v>0</v>
      </c>
      <c r="BZ6" s="1472">
        <f t="shared" si="2"/>
        <v>0</v>
      </c>
      <c r="CA6" s="1472">
        <f t="shared" si="2"/>
        <v>0</v>
      </c>
      <c r="CB6" s="1472">
        <f t="shared" si="2"/>
        <v>0</v>
      </c>
      <c r="CC6" s="1472">
        <f t="shared" si="2"/>
        <v>0</v>
      </c>
      <c r="CD6" s="1472">
        <f t="shared" si="2"/>
        <v>0</v>
      </c>
      <c r="CE6" s="1472">
        <f t="shared" si="2"/>
        <v>0</v>
      </c>
      <c r="CF6" s="1472">
        <f t="shared" si="2"/>
        <v>3.0031686859273071E-2</v>
      </c>
      <c r="CG6" s="541">
        <f>$BN6</f>
        <v>10</v>
      </c>
      <c r="CH6" s="951">
        <f ca="1">CJ6+100</f>
        <v>100</v>
      </c>
      <c r="CI6" s="951">
        <f ca="1">COUNTBLANK($CI$5:$CI6)</f>
        <v>1</v>
      </c>
      <c r="CJ6" s="951">
        <f ca="1">COUNTBLANK($CJ$5:$CJ6)</f>
        <v>0</v>
      </c>
      <c r="CK6" s="1477">
        <f ca="1">COUNTA($CK$5:$CK6)</f>
        <v>1</v>
      </c>
      <c r="CL6" s="547">
        <f ca="1">IF(CO6=0,VLOOKUP($CI6,NL,5,FALSE),IF(CO6&lt;CN6,VLOOKUP($CJ6+200,NL,5,FALSE),VLOOKUP($CI6,NL,5,FALSE)))</f>
        <v>1.1033333333333331E-2</v>
      </c>
      <c r="CM6" s="1475"/>
      <c r="CN6" s="548">
        <f ca="1">VLOOKUP($CI6,NL,3,FALSE)</f>
        <v>1000</v>
      </c>
      <c r="CO6" s="549">
        <f ca="1">IF(CJ6&gt;0,VLOOKUP($CJ6+200,NL,2,FALSE),0)</f>
        <v>0</v>
      </c>
      <c r="CP6" s="570">
        <f>VLOOKUP($B6,wfRange,Workflow!L$1,FALSE)</f>
        <v>3</v>
      </c>
      <c r="CQ6" s="1473">
        <f>IF($CQ$5=1000,1000,VLOOKUP($B6,wfRange,Workflow!M$1,FALSE))</f>
        <v>10</v>
      </c>
      <c r="CR6" s="767">
        <f ca="1">IF(SUM($C6:$D6)&gt;0,IF(T6&gt;0,60/(T6+V6),60/V6),1000)</f>
        <v>17.670463670425434</v>
      </c>
      <c r="CS6" s="766">
        <f ca="1">IF(CR6&gt;E6,E6+ABS(CR6-E6)*$U$2/100,E6-ABS(CR6-E6)*$U$2/500)</f>
        <v>10.767046367042543</v>
      </c>
      <c r="CT6" s="1478" t="str">
        <f>IF(ISERROR(FIND("_",B6)),B6,LEFT(B6,FIND("_",B6)-1))</f>
        <v>S DeskEdit</v>
      </c>
      <c r="CU6" s="1478" t="str">
        <f>IF(ISERROR(FIND("_",R6)),R6,LEFT(R6,FIND("_",R6)-1))</f>
        <v>DB</v>
      </c>
      <c r="CV6" s="1479">
        <f>F6*60</f>
        <v>600</v>
      </c>
      <c r="CW6" s="1900" t="str">
        <f>VLOOKUP($B6,wfRange,Workflow!O$1,FALSE)</f>
        <v>Desktop</v>
      </c>
      <c r="CX6" s="1478">
        <f>IF(ISERROR(IF(CW6=" Imagery",MATCH(R6,ImageryDataList,0), MATCH(R6,MapDataList,0))),1,0)</f>
        <v>0</v>
      </c>
      <c r="CY6" s="1914">
        <f>IF(CW6=" imagery",IF($O6=$A$185,0,IF($O6=$A$186,0,1)),0)</f>
        <v>0</v>
      </c>
      <c r="CZ6" s="1908">
        <f>IF(AND(O6=$A$186,R6=Calculator!$C$171),1,0)</f>
        <v>0</v>
      </c>
      <c r="DA6" s="1900" t="str">
        <f>IF(BH6&gt;0.04*$BO$2/58,DA$4,"server")</f>
        <v xml:space="preserve"> wkstn </v>
      </c>
      <c r="DB6" s="1480"/>
      <c r="DC6" s="1480"/>
      <c r="DD6" s="1480"/>
      <c r="DE6" s="1480"/>
      <c r="DF6" s="1481"/>
      <c r="DG6" s="550"/>
      <c r="DH6" s="1482">
        <f>IF($BQ6&gt;0, IF(ISTEXT(DH$3), $C6+IF($D6&lt;1000,$D6,$D6/($E6*60)),0),0)</f>
        <v>1</v>
      </c>
      <c r="DI6" s="1483">
        <f>IF(DH6&gt;0,IF(ISTEXT(DH$3),$F6),0)</f>
        <v>10</v>
      </c>
      <c r="DJ6" s="1484">
        <f>IF(DH6&gt;0,IF(ISTEXT(DH$3),$G6),0)</f>
        <v>6.5</v>
      </c>
      <c r="DK6" s="1485">
        <f>$BQ6*DI6</f>
        <v>2.7028518173345759</v>
      </c>
      <c r="DL6" s="801" t="b">
        <f>ISERROR(MATCH(DN$3,$J6:$O6,0))</f>
        <v>1</v>
      </c>
      <c r="DM6" s="802">
        <f>IF($BR6&gt;0, IF(ISTEXT(DM$3), $C6+IF($D6&lt;1000,$D6,$D6/($E6*60)),0),0)</f>
        <v>0</v>
      </c>
      <c r="DN6" s="802">
        <f>IF(DM6&gt;0,IF(ISTEXT(DM$3),$F6),0)</f>
        <v>0</v>
      </c>
      <c r="DO6" s="539">
        <f>IF(DM6&gt;0,IF(ISTEXT(DM$3),$G6),0)</f>
        <v>0</v>
      </c>
      <c r="DP6" s="698">
        <f>IF($I6=0,0,IF(DM6&gt;0,DO6*$CG6/$I6,0))</f>
        <v>0</v>
      </c>
      <c r="DQ6" s="803">
        <f>$BR6*DN6</f>
        <v>0</v>
      </c>
      <c r="DR6" s="801" t="b">
        <f>ISERROR(MATCH(DT$3,$J6:$O6,0))</f>
        <v>1</v>
      </c>
      <c r="DS6" s="802">
        <f>IF($BS6&gt;0, IF(ISTEXT(DS$3), $C6+IF($D6&lt;1000,$D6,$D6/($E6*60)),0),0)</f>
        <v>0</v>
      </c>
      <c r="DT6" s="802">
        <f>IF(DS6&gt;0,IF(ISTEXT(DS$3),$F6),0)</f>
        <v>0</v>
      </c>
      <c r="DU6" s="539">
        <f>IF(DS6&gt;0,IF(ISTEXT(DS$3),$G6),0)</f>
        <v>0</v>
      </c>
      <c r="DV6" s="698">
        <f>IF($I6=0,0,IF(DS6&gt;0,DU6*$CG6/$I6,0))</f>
        <v>0</v>
      </c>
      <c r="DW6" s="803">
        <f>$BS6*DT6</f>
        <v>0</v>
      </c>
      <c r="DX6" s="801" t="b">
        <f>ISERROR(MATCH(DZ$3,$J6:$O6,0))</f>
        <v>1</v>
      </c>
      <c r="DY6" s="802">
        <f>IF($BT6&gt;0, IF(ISTEXT(DY$3), $C6+IF($D6&lt;1000,$D6,$D6/($E6*60)),0),0)</f>
        <v>0</v>
      </c>
      <c r="DZ6" s="802">
        <f>IF(DY6&gt;0,IF(ISTEXT(DY$3),$F6),0)</f>
        <v>0</v>
      </c>
      <c r="EA6" s="539">
        <f>IF(DY6&gt;0,IF(ISTEXT(DY$3),$G6),0)*IF($DX6=FALSE,IF($DZ$3=$D$184,1,$EA$3),1)</f>
        <v>0</v>
      </c>
      <c r="EB6" s="698">
        <f>IF($I6=0,0,IF(DY6&gt;0,EA6*$CG6/$I6,0))</f>
        <v>0</v>
      </c>
      <c r="EC6" s="803">
        <f>$BT6*DZ6</f>
        <v>0</v>
      </c>
      <c r="ED6" s="801" t="b">
        <f>ISERROR(MATCH(EF$3,$J6:$O6,0))</f>
        <v>1</v>
      </c>
      <c r="EE6" s="802">
        <f>IF($BU6&gt;0, IF(ISTEXT(EE$3), $C6+IF($D6&lt;1000,$D6,$D6/($E6*60)),0),0)</f>
        <v>0</v>
      </c>
      <c r="EF6" s="802">
        <f>IF(EE6&gt;0,IF(ISTEXT(EE$3),$F6),0)</f>
        <v>0</v>
      </c>
      <c r="EG6" s="539">
        <f>IF(EE6&gt;0,IF(ISTEXT(EE$3),$G6),0)</f>
        <v>0</v>
      </c>
      <c r="EH6" s="698">
        <f>IF($I6=0,0,IF(EE6&gt;0,EG6*$CG6/$I6,0))</f>
        <v>0</v>
      </c>
      <c r="EI6" s="803">
        <f>$BU6*EF6</f>
        <v>0</v>
      </c>
      <c r="EJ6" s="801" t="b">
        <f>ISERROR(MATCH(EL$3,$J6:$O6,0))</f>
        <v>1</v>
      </c>
      <c r="EK6" s="1483">
        <f>IF($BV6&gt;0, IF(ISTEXT(EK$3), $C6+IF($D6&lt;1000,$D6,$D6/($E6*60)),0),0)</f>
        <v>0</v>
      </c>
      <c r="EL6" s="1483">
        <f>IF(EK6&gt;0,IF(ISTEXT(EK$3),$F6),0)</f>
        <v>0</v>
      </c>
      <c r="EM6" s="1484">
        <f>IF(EK6&gt;0,IF(ISTEXT(EK$3),$G6),0)</f>
        <v>0</v>
      </c>
      <c r="EN6" s="1486">
        <f>IF($I6=0,0,IF(EK6&gt;0,EM6*$CG6/$I6,0))</f>
        <v>0</v>
      </c>
      <c r="EO6" s="1487">
        <f>$BV6*EL6</f>
        <v>0</v>
      </c>
      <c r="EP6" s="801" t="b">
        <f>ISERROR(MATCH(ER$3,$J6:$O6,0))</f>
        <v>1</v>
      </c>
      <c r="EQ6" s="1488">
        <f>IF($BW6&gt;0, IF(ISTEXT(EQ$3), $C6+IF($D6&lt;1000,$D6,$D6/($E6*60)),0),0)</f>
        <v>0</v>
      </c>
      <c r="ER6" s="1483">
        <f>IF(EQ6&gt;0,IF(ISTEXT(EQ$3),$F6),0)</f>
        <v>0</v>
      </c>
      <c r="ES6" s="1484">
        <f>IF(EQ6&gt;0,IF(ISTEXT(EQ$3),$G6),0)</f>
        <v>0</v>
      </c>
      <c r="ET6" s="1486">
        <f>IF($I6=0,0,IF(EQ6&gt;0,ES6*$CG6/$I6,0))</f>
        <v>0</v>
      </c>
      <c r="EU6" s="1487">
        <f>$BW6*ER6</f>
        <v>0</v>
      </c>
      <c r="EV6" s="801" t="b">
        <f>ISERROR(MATCH(EX$3,$J6:$O6,0))</f>
        <v>1</v>
      </c>
      <c r="EW6" s="1488">
        <f>IF($BX6&gt;0, IF(ISTEXT(EW$3), $C6+IF($D6&lt;1000,$D6,$D6/($E6*60)),0),0)</f>
        <v>0</v>
      </c>
      <c r="EX6" s="1483">
        <f>IF(EW6&gt;0,IF(ISTEXT(EW$3),$F6),0)</f>
        <v>0</v>
      </c>
      <c r="EY6" s="1484">
        <f>IF(EW6&gt;0,IF(ISTEXT(EW$3),$G6),0)</f>
        <v>0</v>
      </c>
      <c r="EZ6" s="1486">
        <f>IF($I6=0,0,IF(EW6&gt;0,EY6*$CG6/$I6,0))</f>
        <v>0</v>
      </c>
      <c r="FA6" s="1487">
        <f>$BX6*EX6</f>
        <v>0</v>
      </c>
      <c r="FB6" s="801" t="b">
        <f>ISERROR(MATCH(FD$3,$J6:$O6,0))</f>
        <v>1</v>
      </c>
      <c r="FC6" s="1488">
        <f>IF($BY6&gt;0, IF(ISTEXT(FC$3), $C6+IF($D6&lt;1000,$D6,$D6/($E6*60)),0),0)</f>
        <v>0</v>
      </c>
      <c r="FD6" s="1483">
        <f>IF(FC6&gt;0,IF(ISTEXT(FC$3),$F6),0)</f>
        <v>0</v>
      </c>
      <c r="FE6" s="1484">
        <f>IF(FC6&gt;0,IF(ISTEXT(FC$3),$G6),0)</f>
        <v>0</v>
      </c>
      <c r="FF6" s="1486">
        <f>IF($I6=0,0,IF(FC6&gt;0,FE6*$CG6/$I6,0))</f>
        <v>0</v>
      </c>
      <c r="FG6" s="1487">
        <f>$BY6*FD6</f>
        <v>0</v>
      </c>
      <c r="FH6" s="801" t="b">
        <f>ISERROR(MATCH(FJ$3,$J6:$O6,0))</f>
        <v>1</v>
      </c>
      <c r="FI6" s="1488">
        <f>IF($BZ6&gt;0, IF(ISTEXT(FI$3), $C6+IF($D6&lt;1000,$D6,$D6/($E6*60)),0),0)</f>
        <v>0</v>
      </c>
      <c r="FJ6" s="1483">
        <f>IF(FI6&gt;0,IF(ISTEXT(FI$3),$F6),0)</f>
        <v>0</v>
      </c>
      <c r="FK6" s="1484">
        <f>IF(FI6&gt;0,IF(ISTEXT(FI$3),$G6),0)</f>
        <v>0</v>
      </c>
      <c r="FL6" s="1486">
        <f>IF($I6=0,0,IF(FI6&gt;0,FK6*$CG6/$I6,0))</f>
        <v>0</v>
      </c>
      <c r="FM6" s="1487">
        <f>$BZ6*FJ6</f>
        <v>0</v>
      </c>
      <c r="FN6" s="801" t="b">
        <f>ISERROR(MATCH(FP$3,$J6:$O6,0))</f>
        <v>1</v>
      </c>
      <c r="FO6" s="1488">
        <f>IF($CA6&gt;0, IF(ISTEXT(FO$3), $C6+IF($D6&lt;1000,$D6,$D6/($E6*60)),0),0)</f>
        <v>0</v>
      </c>
      <c r="FP6" s="1483">
        <f>IF(FO6&gt;0,IF(ISTEXT(FO$3),$F6),0)</f>
        <v>0</v>
      </c>
      <c r="FQ6" s="1484">
        <f>IF(FO6&gt;0,IF(ISTEXT(FO$3),$G6),0)</f>
        <v>0</v>
      </c>
      <c r="FR6" s="1486">
        <f>IF($I6=0,0,IF(FO6&gt;0,FQ6*$CG6/$I6,0))</f>
        <v>0</v>
      </c>
      <c r="FS6" s="1487">
        <f>$CA6*FP6</f>
        <v>0</v>
      </c>
      <c r="FT6" s="801" t="b">
        <f>ISERROR(MATCH(FV$3,$J6:$O6,0))</f>
        <v>1</v>
      </c>
      <c r="FU6" s="1488">
        <f>IF($CB6&gt;0, IF(ISTEXT(FU$3), $C6+IF($D6&lt;1000,$D6,$D6/($E6*60)),0),0)</f>
        <v>0</v>
      </c>
      <c r="FV6" s="1483">
        <f>IF(FU6&gt;0,IF(ISTEXT(FU$3),$F6),0)</f>
        <v>0</v>
      </c>
      <c r="FW6" s="1484">
        <f>IF(FU6&gt;0,IF(ISTEXT(FU$3),$G6),0)</f>
        <v>0</v>
      </c>
      <c r="FX6" s="1486">
        <f>IF($I6=0,0,IF(FU6&gt;0,FW6*$CG6/$I6,0))</f>
        <v>0</v>
      </c>
      <c r="FY6" s="1487">
        <f>$CB6*FV6</f>
        <v>0</v>
      </c>
      <c r="FZ6" s="801" t="b">
        <f>ISERROR(MATCH(GB$3,$J6:$O6,0))</f>
        <v>1</v>
      </c>
      <c r="GA6" s="1488">
        <f>IF($CC6&gt;0, IF(ISTEXT(GA$3), $C6+IF($D6&lt;1000,$D6,$D6/($E6*60)),0),0)</f>
        <v>0</v>
      </c>
      <c r="GB6" s="1483">
        <f>IF(GA6&gt;0,IF(ISTEXT(GA$3),$F6),0)</f>
        <v>0</v>
      </c>
      <c r="GC6" s="1484">
        <f>IF(GA6&gt;0,IF(ISTEXT(GA$3),$G6),0)</f>
        <v>0</v>
      </c>
      <c r="GD6" s="1486">
        <f>IF($I6=0,0,IF(GA6&gt;0,GC6*$CG6/$I6,0))</f>
        <v>0</v>
      </c>
      <c r="GE6" s="1487">
        <f>$CC6*GB6</f>
        <v>0</v>
      </c>
      <c r="GF6" s="801" t="b">
        <f>ISERROR(MATCH(GH$3,$J6:$O6,0))</f>
        <v>1</v>
      </c>
      <c r="GG6" s="1488">
        <f>IF($CD6&gt;0, IF(ISTEXT(GG$3), $C6+IF($D6&lt;1000,$D6,$D6/($E6*60)),0),0)</f>
        <v>0</v>
      </c>
      <c r="GH6" s="1483">
        <f>IF(GG6&gt;0,IF(ISTEXT(GG$3),$F6),0)</f>
        <v>0</v>
      </c>
      <c r="GI6" s="1484">
        <f>IF(GG6&gt;0,IF(ISTEXT(GG$3),$G6),0)</f>
        <v>0</v>
      </c>
      <c r="GJ6" s="1486">
        <f>IF($I6=0,0,IF(GG6&gt;0,GI6*$CG6/$I6,0))</f>
        <v>0</v>
      </c>
      <c r="GK6" s="1487">
        <f>$CD6*GH6</f>
        <v>0</v>
      </c>
      <c r="GL6" s="801" t="b">
        <f>ISERROR(MATCH(GN$3,$J6:$O6,0))</f>
        <v>1</v>
      </c>
      <c r="GM6" s="1488">
        <f>IF($CE6&gt;0, IF(ISTEXT(GM$3), $C6+IF($D6&lt;1000,$D6,$D6/($E6*60)),0),0)</f>
        <v>0</v>
      </c>
      <c r="GN6" s="1483">
        <f>IF(GM6&gt;0,IF(ISTEXT(GM$3),$F6),0)</f>
        <v>0</v>
      </c>
      <c r="GO6" s="1484">
        <f>IF(GM6&gt;0,IF(ISTEXT(GM$3),$G6),0)</f>
        <v>0</v>
      </c>
      <c r="GP6" s="1486">
        <f>IF($I6=0,0,IF(GM6&gt;0,GO6*$CG6/$I6,0))</f>
        <v>0</v>
      </c>
      <c r="GQ6" s="1487">
        <f>$CE6*GN6</f>
        <v>0</v>
      </c>
      <c r="GR6" s="801" t="b">
        <f>ISERROR(MATCH(GT$3,$J6:$O6,0))</f>
        <v>1</v>
      </c>
      <c r="GS6" s="1488">
        <f>IF($CF6&gt;0, IF(ISTEXT(GS$3), $C6+IF($D6&lt;1000,$D6,$D6/($E6*60)),0),0)</f>
        <v>1</v>
      </c>
      <c r="GT6" s="1483">
        <f>IF(GS6&gt;0,IF(ISTEXT(GS$3),$F6),0)</f>
        <v>10</v>
      </c>
      <c r="GU6" s="1484">
        <f>IF(I6=0,0,IF(GS6&gt;0,IF(ISTEXT(GS$3),$G6),0)*$CG6/$I6)</f>
        <v>1.6666666666666667</v>
      </c>
      <c r="GV6" s="1484"/>
      <c r="GW6" s="1487">
        <f>$CF6*GT6</f>
        <v>0.30031686859273071</v>
      </c>
      <c r="GX6" s="1489">
        <f>IF(ISERROR(FIND("File",$R6)),0,F6*$BN6*VLOOKUP(R6,DataArray,4,FALSE))/60</f>
        <v>0</v>
      </c>
      <c r="GY6" s="551" t="b">
        <f>ISERROR(OR(FIND("F",$R6)))</f>
        <v>1</v>
      </c>
      <c r="GZ6" s="2471" t="b">
        <f>ISERROR(OR(FIND("Image",$R6)))</f>
        <v>1</v>
      </c>
      <c r="HA6" s="2476"/>
      <c r="HB6" s="2866"/>
    </row>
    <row r="7" spans="1:211" s="1490" customFormat="1" ht="15" customHeight="1" x14ac:dyDescent="0.2">
      <c r="A7" s="1467" t="str">
        <f>IF($A$4=$H$167,$CI7&amp;"."&amp;$CJ7&amp;"."&amp;$CK7,CT7)</f>
        <v>S DeskView</v>
      </c>
      <c r="B7" s="159" t="s">
        <v>210</v>
      </c>
      <c r="C7" s="1468">
        <v>1</v>
      </c>
      <c r="D7" s="1469"/>
      <c r="E7" s="537">
        <f>IF(D7&lt;1000,IF(SUM(C7:D7)=0,0,IF(AND(D$1=H$173,T7=0),CS7,IF(T$2=$H$178,X7,IF(T$2=$H$179,IF(T7&gt;0,  IF(CR7&gt;X7,X7,CS7),CS7),E7)))),X7)</f>
        <v>10</v>
      </c>
      <c r="F7" s="538">
        <f>IF($T$2=$H$177,0,IF($D$4=Calculator!$A$162,C7*E7+D7/60,IF(OR($D$4=Calculator!$A$163,D7&lt;1000),(C7+D7)*E7,C7*E7+D7/60)))</f>
        <v>10</v>
      </c>
      <c r="G7" s="803">
        <f>IF(SUM($C7:$D7)&gt;0,F7*$I7/60,0)</f>
        <v>4.333333333333333</v>
      </c>
      <c r="H7" s="925" t="str">
        <f>W7&amp;CU7&amp;" {"&amp;TEXT(F7*60,"###,##0")&amp;"}"</f>
        <v>DB {600}</v>
      </c>
      <c r="I7" s="540">
        <f>$BG7</f>
        <v>26</v>
      </c>
      <c r="J7" s="926" t="s">
        <v>382</v>
      </c>
      <c r="K7" s="926" t="s">
        <v>382</v>
      </c>
      <c r="L7" s="927" t="s">
        <v>382</v>
      </c>
      <c r="M7" s="927" t="s">
        <v>382</v>
      </c>
      <c r="N7" s="927" t="s">
        <v>382</v>
      </c>
      <c r="O7" s="927" t="s">
        <v>382</v>
      </c>
      <c r="P7" s="928" t="str">
        <f>IF(OR(AND($O7=$A$167,  $O$5=$A$167),AND($O7=$A$167,  $O$5=$A$187)), IF(BL7&gt;0,IF($N7=$A$167,$N$5,$N7), IF(BI7&gt;0,  IF($K7=$A$167,$K$5,$K7), IF($J7=$A$167,$J$5,$J7))),IF(O7=$A$167,O$5,O7))</f>
        <v>Client</v>
      </c>
      <c r="Q7" s="929" t="s">
        <v>382</v>
      </c>
      <c r="R7" s="160" t="s">
        <v>1055</v>
      </c>
      <c r="S7" s="1470">
        <f>VLOOKUP($B7,wfRange,Workflow!B$1,FALSE)</f>
        <v>200</v>
      </c>
      <c r="T7" s="1245">
        <f>CP7</f>
        <v>3</v>
      </c>
      <c r="U7" s="546">
        <f ca="1">IF(F7=0,T7,60/E7-V7)</f>
        <v>5.6176468119377807</v>
      </c>
      <c r="V7" s="759">
        <f ca="1">IF(F7=0,0,SUM(Y7:BF7))</f>
        <v>0.38235318806221891</v>
      </c>
      <c r="W7" s="2682"/>
      <c r="X7" s="2733">
        <f>CQ7</f>
        <v>10</v>
      </c>
      <c r="Y7" s="2751">
        <f>IF(SUM($C7:$D7)&gt;0,$K$85*CF7,0)*1/VLOOKUP(B7,wfRange,Workflow!N$1,FALSE)</f>
        <v>3.186157458904957E-2</v>
      </c>
      <c r="Z7" s="1474">
        <f>IF(Y7&gt;0, IF($A$83&lt;0.9999,   IF($T7=0,  MAX($CL$2*Y7*$Q$82,$CL$2*Y7*$Q$81),  MAX(Y7*$Q$82,Y7*$Q$81)),  Y7*200),0)</f>
        <v>3.0020259687703874E-4</v>
      </c>
      <c r="AA7" s="2751">
        <f>IF(SUM($C7:$D7)&gt;0,$K$81*CE7,0)*1/VLOOKUP(B7,wfRange,Workflow!N$1,FALSE)</f>
        <v>0</v>
      </c>
      <c r="AB7" s="1474">
        <f>IF(AA7&gt;0, IF($A$79&lt;0.9999,   IF($T7=0,  MAX($CL$2*AA7*$Q$78,$CL$2*AA7*$Q$77),  MAX(AA7*$Q$78,AA7*$Q$77)),  AA7*200),0)</f>
        <v>0</v>
      </c>
      <c r="AC7" s="2751">
        <f>IF(SUM($C7:$D7)&gt;0,$K$77*CD7,0)*1/VLOOKUP(B7,wfRange,Workflow!N$1,FALSE)</f>
        <v>0</v>
      </c>
      <c r="AD7" s="1474">
        <f>IF(AC7&gt;0, IF($A$75&lt;0.9999,   IF($T7=0,  MAX($CL$2*AC7*$Q$74,$CL$2*AC7*$Q$73),  MAX(AC7*$Q$74,AC7*$Q$73)),  AC7*200),0)</f>
        <v>0</v>
      </c>
      <c r="AE7" s="2751">
        <f>IF(SUM($C7:$D7)&gt;0,$K$73*CC7,0)*1/VLOOKUP(B7,wfRange,Workflow!N$1,FALSE)</f>
        <v>0</v>
      </c>
      <c r="AF7" s="1474">
        <f>IF(AE7&gt;0, IF($A$71&lt;0.9999,   IF($T7=0,  MAX($CL$2*AE7*$Q$70,$CL$2*AE7*$Q$69),  MAX(AE7*$Q$70,AE7*$Q$69)),  AE7*200),0)</f>
        <v>0</v>
      </c>
      <c r="AG7" s="2751">
        <f>IF(SUM($C7:$D7)&gt;0,$K$69*CB7,0)*1/VLOOKUP(B7,wfRange,Workflow!N$1,FALSE)</f>
        <v>0</v>
      </c>
      <c r="AH7" s="1474">
        <f>IF(AG7&gt;0, IF($A$67&lt;0.9999,   IF($T7=0,  MAX($CL$2*AG7*$Q$66,$CL$2*AG7*$Q$64),  MAX(AG7*$Q$66,AG7*$Q$64)),  AG7*200),0)</f>
        <v>0</v>
      </c>
      <c r="AI7" s="2751">
        <f>IF(SUM($C7:$D7)&gt;0,$K$64*CA7,0)*1/VLOOKUP(B7,wfRange,Workflow!N$1,FALSE)</f>
        <v>0</v>
      </c>
      <c r="AJ7" s="1474">
        <f>IF(AI7&gt;0, IF($A$62&lt;0.9999,   IF($T7=0,  MAX($CL$2*AI7*$Q$61,$CL$2*AI7*$Q$60),  MAX(AI7*$Q$61,AI7*$Q$60)),  AI7*200),0)</f>
        <v>0</v>
      </c>
      <c r="AK7" s="2751">
        <f>IF(SUM($C7:$D7)&gt;0,$K$60*BZ7,0)*1/VLOOKUP(B7,wfRange,Workflow!N$1,FALSE)</f>
        <v>0</v>
      </c>
      <c r="AL7" s="1474">
        <f>IF(AK7&gt;0, IF($A$58&lt;0.9999,   IF($T7=0,  MAX($CL$2*AK7*$Q$57,$CL$2*AK7*$Q$56),  MAX(AK7*$Q$57,AK7*$Q$56)),  AK7*200),0)</f>
        <v>0</v>
      </c>
      <c r="AM7" s="2751">
        <f>IF(SUM($C7:$D7)&gt;0,$K$56*BY7,0)*1/VLOOKUP(B7,wfRange,Workflow!N$1,FALSE)</f>
        <v>0</v>
      </c>
      <c r="AN7" s="1474">
        <f>IF(AM7&gt;0, IF($A$54&lt;0.9999,   IF($T7=0,  MAX($CL$2*AM7*$Q$53,$CL$2*AM7*$Q$52),  MAX(AM7*$Q$53,AM7*$Q$52)),  AM7*200),0)</f>
        <v>0</v>
      </c>
      <c r="AO7" s="2751">
        <f>IF(SUM($C7:$D7)&gt;0,$K$52*BX7,0)*1/VLOOKUP(B7,wfRange,Workflow!N$1,FALSE)</f>
        <v>0</v>
      </c>
      <c r="AP7" s="1474">
        <f>IF(AO7&gt;0, IF($A$50&lt;0.9999,   IF($T7=0,  MAX($CL$2*AO7*$Q$49,$CL$2*AO7*$Q$48),  MAX(AO7*$Q$49,AO7*$Q$48)),  AO7*200),0)</f>
        <v>0</v>
      </c>
      <c r="AQ7" s="2751">
        <f>IF(SUM($C7:$D7)&gt;0,$K$48*BW7,0)*1/VLOOKUP(B7,wfRange,Workflow!N$1,FALSE)</f>
        <v>0</v>
      </c>
      <c r="AR7" s="1474">
        <f>IF(AQ7&gt;0, IF($A$46&lt;0.9999,   IF($T7=0,  MAX($CL$2*AQ7*$Q$45,$CL$2*AQ7*$Q$43),  MAX(AQ7*$Q$45,AQ7*$Q$43)),  AQ7*200),0)</f>
        <v>0</v>
      </c>
      <c r="AS7" s="2751">
        <f>IF(SUM($C7:$D7)&gt;0,$K$43*BV7,0)*1/VLOOKUP(B7,wfRange,Workflow!N$1,FALSE)</f>
        <v>0</v>
      </c>
      <c r="AT7" s="1474">
        <f>IF(AS7&gt;0, IF($A$41&lt;0.9999,   IF($T7=0,  MAX($CL$2*AS7*$Q$40,$CL$2*AS7*$Q$39),  MAX(AS7*$Q$40,AS7*$Q$39)),  AS7*200),0)</f>
        <v>0</v>
      </c>
      <c r="AU7" s="2751">
        <f>IF(SUM($C7:$D7)&gt;0,$K$39*BU7,0)*1/VLOOKUP(B7,wfRange,Workflow!N$1,FALSE)</f>
        <v>0</v>
      </c>
      <c r="AV7" s="1474">
        <f>IF(AU7&gt;0, IF($A$37&lt;0.9999,   IF($T7=0,  MAX($CL$2*AU7*$Q$36,$CL$2*AU7*$Q$35),  MAX(AU7*$Q$36,AU7*$Q$35)),  AU7*200),0)</f>
        <v>0</v>
      </c>
      <c r="AW7" s="2751">
        <f>IF(SUM($C7:$D7)&gt;0,$K$35*BT7,0)*1/VLOOKUP(B7,wfRange,Workflow!N$1,FALSE)</f>
        <v>0</v>
      </c>
      <c r="AX7" s="1474">
        <f>IF(AW7&gt;0, IF($A$33&lt;0.9999,   IF($T7=0,  MAX($CL$2*AW7*$Q$32,$CL$2*AW7*$Q$31),  MAX(AW7*$Q$32,AW7*$Q$31)),  AW7*200),0)</f>
        <v>0</v>
      </c>
      <c r="AY7" s="2751">
        <f>IF(SUM($C7:$D7)&gt;0,$K$31*BS7,0)*1/VLOOKUP(B7,wfRange,Workflow!N$1,FALSE)</f>
        <v>0</v>
      </c>
      <c r="AZ7" s="1474">
        <f>IF(AY7&gt;0, IF($A$29&lt;0.9999,   IF($T7=0,  MAX($CL$2*AY7*$Q$28,$CL$2*AY7*$Q$27),  MAX(AY7*$Q$28,AY7*$Q$27)),  AY7*200),0)</f>
        <v>0</v>
      </c>
      <c r="BA7" s="2751">
        <f>IF(SUM($C7:$D7)&gt;0,$K$27*BR7,0)*1/VLOOKUP(B7,wfRange,Workflow!N$1,FALSE)</f>
        <v>0</v>
      </c>
      <c r="BB7" s="1474">
        <f>IF(BA7&gt;0, IF($A$25&lt;0.9999,   IF($T7=0,  MAX($CL$2*BA7*$Q$24,$CL$2*BA7*$Q$23),  MAX(BA7*$Q$24,BA7*$Q$23)),  BA7*200),0)</f>
        <v>0</v>
      </c>
      <c r="BC7" s="2751">
        <f ca="1">IF(SUM($C7:$D7)&gt;0,IF($CJ7&gt;0,IF($CO7&gt;$CN7,$I7/$CN7,$I7/$CO7),$I7/$CN7),0)</f>
        <v>2.5999999999999999E-2</v>
      </c>
      <c r="BD7" s="930">
        <f ca="1">IF(BC7&gt;0,IF(CL7&lt;0.9999,BC7*CL7/((1+$CK$2*CL7)*(1-CL7)),BC7*500),0)</f>
        <v>2.8690159247263649E-4</v>
      </c>
      <c r="BE7" s="2765">
        <f ca="1">IF(SUM($C7:$D7)&gt;0,IF(CJ7&gt;0,VLOOKUP($CJ7+200,NL,6,FALSE)*S7,0),0)/1000</f>
        <v>0</v>
      </c>
      <c r="BF7" s="2765">
        <f>IF(SUM($C7:$D7)&gt;0,BQ7*$BO$2/$G$22,0)*1/VLOOKUP(B7,wfRange,Workflow!N$1,FALSE)</f>
        <v>0.32390450928381964</v>
      </c>
      <c r="BG7" s="2736">
        <f>IF($CW7="desktop",VLOOKUP($R7,DataArray,5,FALSE)* VLOOKUP($B7,wfRange,Workflow!C$1,FALSE), VLOOKUP($B7,wfRange,Workflow!C$1,FALSE))</f>
        <v>26</v>
      </c>
      <c r="BH7" s="1476">
        <f>IF(CW7="Desktop", VLOOKUP($R7,DataArray,4,FALSE)* IF(ISERROR(FIND("File",$R7)), VLOOKUP($B7,wfRange,Workflow!D$1,FALSE), VLOOKUP($B7,wfRange,Workflow!D$1,FALSE)+ VLOOKUP($B7,wfRange,Workflow!I$1,FALSE)+ VLOOKUP($B7,wfRange,Workflow!K$1,FALSE)), VLOOKUP($B7,wfRange,Workflow!D$1,FALSE))</f>
        <v>0.24025349487418457</v>
      </c>
      <c r="BI7" s="542">
        <f>IF(VLOOKUP($B7,wfRange,Workflow!E$1,FALSE)&gt;0, VLOOKUP($R7,DataArray,4,FALSE)* IF(ISERROR(FIND("File",$R7)),   VLOOKUP($B7,wfRange,Workflow!E$1,FALSE),     VLOOKUP($B7,wfRange,Workflow!E$1,FALSE)+ VLOOKUP($B7,wfRange,Workflow!I$1,FALSE)+ VLOOKUP($B7,wfRange,Workflow!K$1,FALSE)),0)</f>
        <v>0</v>
      </c>
      <c r="BJ7" s="543">
        <f>VLOOKUP($B7,wfRange,Workflow!F$1,FALSE)</f>
        <v>0</v>
      </c>
      <c r="BK7" s="543">
        <f>MAX(VLOOKUP($B7,wfRange,Workflow!G$1,FALSE),IF(W7=$BB$22,$BC$22,0))</f>
        <v>0</v>
      </c>
      <c r="BL7" s="543">
        <f>IF(VLOOKUP($B7,wfRange,Workflow!H$1,FALSE)&gt;0,VLOOKUP($R7,DataArray,4,FALSE)* IF(ISERROR(FIND("File",$R7)),VLOOKUP($B7,wfRange,Workflow!H$1,FALSE),VLOOKUP($B7,wfRange,Workflow!H$1,FALSE)+VLOOKUP($B7,wfRange,Workflow!I$1,FALSE)+VLOOKUP($B7,wfRange,Workflow!K$1,FALSE)),0)</f>
        <v>0</v>
      </c>
      <c r="BM7" s="544">
        <f>VLOOKUP($R7,DataArray,3,FALSE)* VLOOKUP($B7,wfRange,Workflow!I$1,FALSE)</f>
        <v>3.0031686859273071E-2</v>
      </c>
      <c r="BN7" s="545">
        <f>VLOOKUP($R7,DataArray,5,FALSE)* VLOOKUP($B7,wfRange,Workflow!J$1,FALSE)</f>
        <v>10</v>
      </c>
      <c r="BO7" s="544">
        <f>VLOOKUP($R7,DataArray,2,FALSE)* VLOOKUP($B7,wfRange,Workflow!K$1,FALSE)</f>
        <v>3.0031686859273071E-2</v>
      </c>
      <c r="BP7" s="753">
        <f>SUM(BH7:BM7,BO7)</f>
        <v>0.30031686859273066</v>
      </c>
      <c r="BQ7" s="1471">
        <f t="shared" si="2"/>
        <v>0.27028518173345761</v>
      </c>
      <c r="BR7" s="1472">
        <f t="shared" si="2"/>
        <v>0</v>
      </c>
      <c r="BS7" s="1472">
        <f t="shared" si="2"/>
        <v>0</v>
      </c>
      <c r="BT7" s="1472">
        <f t="shared" si="2"/>
        <v>0</v>
      </c>
      <c r="BU7" s="1472">
        <f t="shared" si="2"/>
        <v>0</v>
      </c>
      <c r="BV7" s="1472">
        <f t="shared" si="2"/>
        <v>0</v>
      </c>
      <c r="BW7" s="1472">
        <f t="shared" si="2"/>
        <v>0</v>
      </c>
      <c r="BX7" s="1472">
        <f t="shared" si="2"/>
        <v>0</v>
      </c>
      <c r="BY7" s="1472">
        <f t="shared" si="2"/>
        <v>0</v>
      </c>
      <c r="BZ7" s="1472">
        <f t="shared" si="2"/>
        <v>0</v>
      </c>
      <c r="CA7" s="1472">
        <f t="shared" si="2"/>
        <v>0</v>
      </c>
      <c r="CB7" s="1472">
        <f t="shared" si="2"/>
        <v>0</v>
      </c>
      <c r="CC7" s="1472">
        <f t="shared" si="2"/>
        <v>0</v>
      </c>
      <c r="CD7" s="1472">
        <f t="shared" si="2"/>
        <v>0</v>
      </c>
      <c r="CE7" s="1472">
        <f t="shared" si="2"/>
        <v>0</v>
      </c>
      <c r="CF7" s="1472">
        <f t="shared" si="2"/>
        <v>3.0031686859273071E-2</v>
      </c>
      <c r="CG7" s="541">
        <f>$BN7</f>
        <v>10</v>
      </c>
      <c r="CH7" s="951">
        <f ca="1">CJ7+100</f>
        <v>100</v>
      </c>
      <c r="CI7" s="951">
        <f ca="1">COUNTBLANK($CI$5:$CI7)</f>
        <v>1</v>
      </c>
      <c r="CJ7" s="951">
        <f ca="1">COUNTBLANK($CJ$5:$CJ7)</f>
        <v>0</v>
      </c>
      <c r="CK7" s="1477">
        <f ca="1">COUNTA($CK$5:$CK7)</f>
        <v>2</v>
      </c>
      <c r="CL7" s="547">
        <f ca="1">IF(CO7=0,VLOOKUP($CI7,NL,5,FALSE),IF(CO7&lt;CN7,VLOOKUP($CJ7+200,NL,5,FALSE),VLOOKUP($CI7,NL,5,FALSE)))</f>
        <v>1.1033333333333331E-2</v>
      </c>
      <c r="CM7" s="1475"/>
      <c r="CN7" s="548">
        <f ca="1">VLOOKUP($CI7,NL,3,FALSE)</f>
        <v>1000</v>
      </c>
      <c r="CO7" s="549">
        <f ca="1">IF(CJ7&gt;0,VLOOKUP($CJ7+200,NL,2,FALSE),0)</f>
        <v>0</v>
      </c>
      <c r="CP7" s="570">
        <f>VLOOKUP($B7,wfRange,Workflow!L$1,FALSE)</f>
        <v>3</v>
      </c>
      <c r="CQ7" s="1473">
        <f>IF($CQ$5=1000,1000,VLOOKUP($B7,wfRange,Workflow!M$1,FALSE))</f>
        <v>10</v>
      </c>
      <c r="CR7" s="767">
        <f ca="1">IF(SUM($C7:$D7)&gt;0,IF(T7&gt;0,60/(T7+V7),60/V7),1000)</f>
        <v>17.739129139962628</v>
      </c>
      <c r="CS7" s="766">
        <f ca="1">IF(CR7&gt;E7,E7+ABS(CR7-E7)*$U$2/100,E7-ABS(CR7-E7)*$U$2/500)</f>
        <v>10.773912913996263</v>
      </c>
      <c r="CT7" s="1478" t="str">
        <f>IF(ISERROR(FIND("_",B7)),B7,LEFT(B7,FIND("_",B7)-1))</f>
        <v>S DeskView</v>
      </c>
      <c r="CU7" s="1478" t="str">
        <f>IF(ISERROR(FIND("_",R7)),R7,LEFT(R7,FIND("_",R7)-1))</f>
        <v>DB</v>
      </c>
      <c r="CV7" s="1479">
        <f>F7*60</f>
        <v>600</v>
      </c>
      <c r="CW7" s="1900" t="str">
        <f>VLOOKUP($B7,wfRange,Workflow!O$1,FALSE)</f>
        <v>Desktop</v>
      </c>
      <c r="CX7" s="1478">
        <f>IF(ISERROR(IF(CW7=" Imagery",MATCH(R7,ImageryDataList,0), MATCH(R7,MapDataList,0))),1,0)</f>
        <v>0</v>
      </c>
      <c r="CY7" s="1914">
        <f>IF(CW7=" imagery",IF($O7=$A$185,0,IF($O7=$A$186,0,1)),0)</f>
        <v>0</v>
      </c>
      <c r="CZ7" s="1908">
        <f>IF(AND(O7=$A$186,R7=Calculator!$C$171),1,0)</f>
        <v>0</v>
      </c>
      <c r="DA7" s="1900" t="str">
        <f>IF(BH7&gt;0.04*$BO$2/58,DA$4,"server")</f>
        <v xml:space="preserve"> wkstn </v>
      </c>
      <c r="DB7" s="1480"/>
      <c r="DC7" s="1480"/>
      <c r="DD7" s="1480"/>
      <c r="DE7" s="1480"/>
      <c r="DF7" s="1481"/>
      <c r="DG7" s="550"/>
      <c r="DH7" s="1482">
        <f>IF($BQ7&gt;0, IF(ISTEXT(DH$3), $C7+IF($D7&lt;1000,$D7,$D7/($E7*60)),0),0)</f>
        <v>1</v>
      </c>
      <c r="DI7" s="1483">
        <f>IF(DH7&gt;0,IF(ISTEXT(DH$3),$F7),0)</f>
        <v>10</v>
      </c>
      <c r="DJ7" s="1484">
        <f>IF(DH7&gt;0,IF(ISTEXT(DH$3),$G7),0)</f>
        <v>4.333333333333333</v>
      </c>
      <c r="DK7" s="1485">
        <f>$BQ7*DI7</f>
        <v>2.7028518173345759</v>
      </c>
      <c r="DL7" s="801" t="b">
        <f>ISERROR(MATCH(DN$3,$J7:$O7,0))</f>
        <v>1</v>
      </c>
      <c r="DM7" s="802">
        <f>IF($BR7&gt;0, IF(ISTEXT(DM$3), $C7+IF($D7&lt;1000,$D7,$D7/($E7*60)),0),0)</f>
        <v>0</v>
      </c>
      <c r="DN7" s="802">
        <f>IF(DM7&gt;0,IF(ISTEXT(DM$3),$F7),0)</f>
        <v>0</v>
      </c>
      <c r="DO7" s="539">
        <f>IF(DM7&gt;0,IF(ISTEXT(DM$3),$G7),0)</f>
        <v>0</v>
      </c>
      <c r="DP7" s="698">
        <f>IF($I7=0,0,IF(DM7&gt;0,DO7*$CG7/$I7,0))</f>
        <v>0</v>
      </c>
      <c r="DQ7" s="803">
        <f>$BR7*DN7</f>
        <v>0</v>
      </c>
      <c r="DR7" s="801" t="b">
        <f>ISERROR(MATCH(DT$3,$J7:$O7,0))</f>
        <v>1</v>
      </c>
      <c r="DS7" s="802">
        <f>IF($BS7&gt;0, IF(ISTEXT(DS$3), $C7+IF($D7&lt;1000,$D7,$D7/($E7*60)),0),0)</f>
        <v>0</v>
      </c>
      <c r="DT7" s="802">
        <f>IF(DS7&gt;0,IF(ISTEXT(DS$3),$F7),0)</f>
        <v>0</v>
      </c>
      <c r="DU7" s="539">
        <f>IF(DS7&gt;0,IF(ISTEXT(DS$3),$G7),0)</f>
        <v>0</v>
      </c>
      <c r="DV7" s="698">
        <f>IF($I7=0,0,IF(DS7&gt;0,DU7*$CG7/$I7,0))</f>
        <v>0</v>
      </c>
      <c r="DW7" s="803">
        <f>$BS7*DT7</f>
        <v>0</v>
      </c>
      <c r="DX7" s="801" t="b">
        <f>ISERROR(MATCH(DZ$3,$J7:$O7,0))</f>
        <v>1</v>
      </c>
      <c r="DY7" s="802">
        <f>IF($BT7&gt;0, IF(ISTEXT(DY$3), $C7+IF($D7&lt;1000,$D7,$D7/($E7*60)),0),0)</f>
        <v>0</v>
      </c>
      <c r="DZ7" s="802">
        <f>IF(DY7&gt;0,IF(ISTEXT(DY$3),$F7),0)</f>
        <v>0</v>
      </c>
      <c r="EA7" s="539">
        <f>IF(DY7&gt;0,IF(ISTEXT(DY$3),$G7),0)*IF($DX7=FALSE,IF($DZ$3=$D$184,1,$EA$3),1)</f>
        <v>0</v>
      </c>
      <c r="EB7" s="698">
        <f>IF($I7=0,0,IF(DY7&gt;0,EA7*$CG7/$I7,0))</f>
        <v>0</v>
      </c>
      <c r="EC7" s="803">
        <f>$BT7*DZ7</f>
        <v>0</v>
      </c>
      <c r="ED7" s="801" t="b">
        <f>ISERROR(MATCH(EF$3,$J7:$O7,0))</f>
        <v>1</v>
      </c>
      <c r="EE7" s="802">
        <f>IF($BU7&gt;0, IF(ISTEXT(EE$3), $C7+IF($D7&lt;1000,$D7,$D7/($E7*60)),0),0)</f>
        <v>0</v>
      </c>
      <c r="EF7" s="802">
        <f>IF(EE7&gt;0,IF(ISTEXT(EE$3),$F7),0)</f>
        <v>0</v>
      </c>
      <c r="EG7" s="539">
        <f>IF(EE7&gt;0,IF(ISTEXT(EE$3),$G7),0)</f>
        <v>0</v>
      </c>
      <c r="EH7" s="698">
        <f>IF($I7=0,0,IF(EE7&gt;0,EG7*$CG7/$I7,0))</f>
        <v>0</v>
      </c>
      <c r="EI7" s="803">
        <f>$BU7*EF7</f>
        <v>0</v>
      </c>
      <c r="EJ7" s="801" t="b">
        <f>ISERROR(MATCH(EL$3,$J7:$O7,0))</f>
        <v>1</v>
      </c>
      <c r="EK7" s="1483">
        <f>IF($BV7&gt;0, IF(ISTEXT(EK$3), $C7+IF($D7&lt;1000,$D7,$D7/($E7*60)),0),0)</f>
        <v>0</v>
      </c>
      <c r="EL7" s="1483">
        <f>IF(EK7&gt;0,IF(ISTEXT(EK$3),$F7),0)</f>
        <v>0</v>
      </c>
      <c r="EM7" s="1484">
        <f>IF(EK7&gt;0,IF(ISTEXT(EK$3),$G7),0)</f>
        <v>0</v>
      </c>
      <c r="EN7" s="1486">
        <f>IF($I7=0,0,IF(EK7&gt;0,EM7*$CG7/$I7,0))</f>
        <v>0</v>
      </c>
      <c r="EO7" s="1487">
        <f>$BV7*EL7</f>
        <v>0</v>
      </c>
      <c r="EP7" s="801" t="b">
        <f>ISERROR(MATCH(ER$3,$J7:$O7,0))</f>
        <v>1</v>
      </c>
      <c r="EQ7" s="1488">
        <f>IF($BW7&gt;0, IF(ISTEXT(EQ$3), $C7+IF($D7&lt;1000,$D7,$D7/($E7*60)),0),0)</f>
        <v>0</v>
      </c>
      <c r="ER7" s="1483">
        <f>IF(EQ7&gt;0,IF(ISTEXT(EQ$3),$F7),0)</f>
        <v>0</v>
      </c>
      <c r="ES7" s="1484">
        <f>IF(EQ7&gt;0,IF(ISTEXT(EQ$3),$G7),0)</f>
        <v>0</v>
      </c>
      <c r="ET7" s="1486">
        <f>IF($I7=0,0,IF(EQ7&gt;0,ES7*$CG7/$I7,0))</f>
        <v>0</v>
      </c>
      <c r="EU7" s="1487">
        <f>$BW7*ER7</f>
        <v>0</v>
      </c>
      <c r="EV7" s="801" t="b">
        <f>ISERROR(MATCH(EX$3,$J7:$O7,0))</f>
        <v>1</v>
      </c>
      <c r="EW7" s="1488">
        <f>IF($BX7&gt;0, IF(ISTEXT(EW$3), $C7+IF($D7&lt;1000,$D7,$D7/($E7*60)),0),0)</f>
        <v>0</v>
      </c>
      <c r="EX7" s="1483">
        <f>IF(EW7&gt;0,IF(ISTEXT(EW$3),$F7),0)</f>
        <v>0</v>
      </c>
      <c r="EY7" s="1484">
        <f>IF(EW7&gt;0,IF(ISTEXT(EW$3),$G7),0)</f>
        <v>0</v>
      </c>
      <c r="EZ7" s="1486">
        <f>IF($I7=0,0,IF(EW7&gt;0,EY7*$CG7/$I7,0))</f>
        <v>0</v>
      </c>
      <c r="FA7" s="1487">
        <f>$BX7*EX7</f>
        <v>0</v>
      </c>
      <c r="FB7" s="801" t="b">
        <f>ISERROR(MATCH(FD$3,$J7:$O7,0))</f>
        <v>1</v>
      </c>
      <c r="FC7" s="1488">
        <f>IF($BY7&gt;0, IF(ISTEXT(FC$3), $C7+IF($D7&lt;1000,$D7,$D7/($E7*60)),0),0)</f>
        <v>0</v>
      </c>
      <c r="FD7" s="1483">
        <f>IF(FC7&gt;0,IF(ISTEXT(FC$3),$F7),0)</f>
        <v>0</v>
      </c>
      <c r="FE7" s="1484">
        <f>IF(FC7&gt;0,IF(ISTEXT(FC$3),$G7),0)</f>
        <v>0</v>
      </c>
      <c r="FF7" s="1486">
        <f>IF($I7=0,0,IF(FC7&gt;0,FE7*$CG7/$I7,0))</f>
        <v>0</v>
      </c>
      <c r="FG7" s="1487">
        <f>$BY7*FD7</f>
        <v>0</v>
      </c>
      <c r="FH7" s="801" t="b">
        <f>ISERROR(MATCH(FJ$3,$J7:$O7,0))</f>
        <v>1</v>
      </c>
      <c r="FI7" s="1488">
        <f>IF($BZ7&gt;0, IF(ISTEXT(FI$3), $C7+IF($D7&lt;1000,$D7,$D7/($E7*60)),0),0)</f>
        <v>0</v>
      </c>
      <c r="FJ7" s="1483">
        <f>IF(FI7&gt;0,IF(ISTEXT(FI$3),$F7),0)</f>
        <v>0</v>
      </c>
      <c r="FK7" s="1484">
        <f>IF(FI7&gt;0,IF(ISTEXT(FI$3),$G7),0)</f>
        <v>0</v>
      </c>
      <c r="FL7" s="1486">
        <f>IF($I7=0,0,IF(FI7&gt;0,FK7*$CG7/$I7,0))</f>
        <v>0</v>
      </c>
      <c r="FM7" s="1487">
        <f>$BZ7*FJ7</f>
        <v>0</v>
      </c>
      <c r="FN7" s="801" t="b">
        <f>ISERROR(MATCH(FP$3,$J7:$O7,0))</f>
        <v>1</v>
      </c>
      <c r="FO7" s="1488">
        <f>IF($CA7&gt;0, IF(ISTEXT(FO$3), $C7+IF($D7&lt;1000,$D7,$D7/($E7*60)),0),0)</f>
        <v>0</v>
      </c>
      <c r="FP7" s="1483">
        <f>IF(FO7&gt;0,IF(ISTEXT(FO$3),$F7),0)</f>
        <v>0</v>
      </c>
      <c r="FQ7" s="1484">
        <f>IF(FO7&gt;0,IF(ISTEXT(FO$3),$G7),0)</f>
        <v>0</v>
      </c>
      <c r="FR7" s="1486">
        <f>IF($I7=0,0,IF(FO7&gt;0,FQ7*$CG7/$I7,0))</f>
        <v>0</v>
      </c>
      <c r="FS7" s="1487">
        <f>$CA7*FP7</f>
        <v>0</v>
      </c>
      <c r="FT7" s="801" t="b">
        <f>ISERROR(MATCH(FV$3,$J7:$O7,0))</f>
        <v>1</v>
      </c>
      <c r="FU7" s="1488">
        <f>IF($CB7&gt;0, IF(ISTEXT(FU$3), $C7+IF($D7&lt;1000,$D7,$D7/($E7*60)),0),0)</f>
        <v>0</v>
      </c>
      <c r="FV7" s="1483">
        <f>IF(FU7&gt;0,IF(ISTEXT(FU$3),$F7),0)</f>
        <v>0</v>
      </c>
      <c r="FW7" s="1484">
        <f>IF(FU7&gt;0,IF(ISTEXT(FU$3),$G7),0)</f>
        <v>0</v>
      </c>
      <c r="FX7" s="1486">
        <f>IF($I7=0,0,IF(FU7&gt;0,FW7*$CG7/$I7,0))</f>
        <v>0</v>
      </c>
      <c r="FY7" s="1487">
        <f>$CB7*FV7</f>
        <v>0</v>
      </c>
      <c r="FZ7" s="801" t="b">
        <f>ISERROR(MATCH(GB$3,$J7:$O7,0))</f>
        <v>1</v>
      </c>
      <c r="GA7" s="1488">
        <f>IF($CC7&gt;0, IF(ISTEXT(GA$3), $C7+IF($D7&lt;1000,$D7,$D7/($E7*60)),0),0)</f>
        <v>0</v>
      </c>
      <c r="GB7" s="1483">
        <f>IF(GA7&gt;0,IF(ISTEXT(GA$3),$F7),0)</f>
        <v>0</v>
      </c>
      <c r="GC7" s="1484">
        <f>IF(GA7&gt;0,IF(ISTEXT(GA$3),$G7),0)</f>
        <v>0</v>
      </c>
      <c r="GD7" s="1486">
        <f>IF($I7=0,0,IF(GA7&gt;0,GC7*$CG7/$I7,0))</f>
        <v>0</v>
      </c>
      <c r="GE7" s="1487">
        <f>$CC7*GB7</f>
        <v>0</v>
      </c>
      <c r="GF7" s="801" t="b">
        <f>ISERROR(MATCH(GH$3,$J7:$O7,0))</f>
        <v>1</v>
      </c>
      <c r="GG7" s="1488">
        <f>IF($CD7&gt;0, IF(ISTEXT(GG$3), $C7+IF($D7&lt;1000,$D7,$D7/($E7*60)),0),0)</f>
        <v>0</v>
      </c>
      <c r="GH7" s="1483">
        <f>IF(GG7&gt;0,IF(ISTEXT(GG$3),$F7),0)</f>
        <v>0</v>
      </c>
      <c r="GI7" s="1484">
        <f>IF(GG7&gt;0,IF(ISTEXT(GG$3),$G7),0)</f>
        <v>0</v>
      </c>
      <c r="GJ7" s="1486">
        <f>IF($I7=0,0,IF(GG7&gt;0,GI7*$CG7/$I7,0))</f>
        <v>0</v>
      </c>
      <c r="GK7" s="1487">
        <f>$CD7*GH7</f>
        <v>0</v>
      </c>
      <c r="GL7" s="801" t="b">
        <f>ISERROR(MATCH(GN$3,$J7:$O7,0))</f>
        <v>1</v>
      </c>
      <c r="GM7" s="1488">
        <f>IF($CE7&gt;0, IF(ISTEXT(GM$3), $C7+IF($D7&lt;1000,$D7,$D7/($E7*60)),0),0)</f>
        <v>0</v>
      </c>
      <c r="GN7" s="1483">
        <f>IF(GM7&gt;0,IF(ISTEXT(GM$3),$F7),0)</f>
        <v>0</v>
      </c>
      <c r="GO7" s="1484">
        <f>IF(GM7&gt;0,IF(ISTEXT(GM$3),$G7),0)</f>
        <v>0</v>
      </c>
      <c r="GP7" s="1486">
        <f>IF($I7=0,0,IF(GM7&gt;0,GO7*$CG7/$I7,0))</f>
        <v>0</v>
      </c>
      <c r="GQ7" s="1487">
        <f>$CE7*GN7</f>
        <v>0</v>
      </c>
      <c r="GR7" s="801" t="b">
        <f>ISERROR(MATCH(GT$3,$J7:$O7,0))</f>
        <v>1</v>
      </c>
      <c r="GS7" s="1488">
        <f>IF($CF7&gt;0, IF(ISTEXT(GS$3), $C7+IF($D7&lt;1000,$D7,$D7/($E7*60)),0),0)</f>
        <v>1</v>
      </c>
      <c r="GT7" s="1483">
        <f>IF(GS7&gt;0,IF(ISTEXT(GS$3),$F7),0)</f>
        <v>10</v>
      </c>
      <c r="GU7" s="1484">
        <f>IF(I7=0,0,IF(GS7&gt;0,IF(ISTEXT(GS$3),$G7),0)*$CG7/$I7)</f>
        <v>1.6666666666666665</v>
      </c>
      <c r="GV7" s="1484"/>
      <c r="GW7" s="1487">
        <f>$CF7*GT7</f>
        <v>0.30031686859273071</v>
      </c>
      <c r="GX7" s="1489">
        <f>IF(ISERROR(FIND("File",$R7)),0,F7*$BN7*VLOOKUP(R7,DataArray,4,FALSE))/60</f>
        <v>0</v>
      </c>
      <c r="GY7" s="551" t="b">
        <f>ISERROR(OR(FIND("F",$R7)))</f>
        <v>1</v>
      </c>
      <c r="GZ7" s="2471" t="b">
        <f>ISERROR(OR(FIND("Image",$R7)))</f>
        <v>1</v>
      </c>
      <c r="HA7" s="2476"/>
      <c r="HB7" s="2866"/>
    </row>
    <row r="8" spans="1:211" s="1490" customFormat="1" ht="15" customHeight="1" x14ac:dyDescent="0.2">
      <c r="A8" s="1467" t="str">
        <f>IF($A$4=$H$167,$CI8&amp;"."&amp;$CJ8&amp;"."&amp;$CK8,CT8)</f>
        <v>S WebMap</v>
      </c>
      <c r="B8" s="159" t="s">
        <v>213</v>
      </c>
      <c r="C8" s="1468">
        <v>1</v>
      </c>
      <c r="D8" s="1469"/>
      <c r="E8" s="537">
        <f>IF(D8&lt;1000,IF(SUM(C8:D8)=0,0,IF(AND(D$1=H$173,T8=0),CS8,IF(T$2=$H$178,X8,IF(T$2=$H$179,IF(T8&gt;0,  IF(CR8&gt;X8,X8,CS8),CS8),E8)))),X8)</f>
        <v>6</v>
      </c>
      <c r="F8" s="538">
        <f>IF($T$2=$H$177,0,IF($D$4=Calculator!$A$162,C8*E8+D8/60,IF(OR($D$4=Calculator!$A$163,D8&lt;1000),(C8+D8)*E8,C8*E8+D8/60)))</f>
        <v>6</v>
      </c>
      <c r="G8" s="803">
        <f>IF(SUM($C8:$D8)&gt;0,F8*$I8/60,0)</f>
        <v>0.2</v>
      </c>
      <c r="H8" s="925" t="str">
        <f>W8&amp;CU8&amp;" {"&amp;TEXT(F8*60,"###,##0")&amp;"}"</f>
        <v>DB {360}</v>
      </c>
      <c r="I8" s="540">
        <f>$BG8</f>
        <v>2</v>
      </c>
      <c r="J8" s="926" t="s">
        <v>382</v>
      </c>
      <c r="K8" s="926" t="s">
        <v>382</v>
      </c>
      <c r="L8" s="927" t="s">
        <v>382</v>
      </c>
      <c r="M8" s="927" t="s">
        <v>382</v>
      </c>
      <c r="N8" s="927" t="s">
        <v>382</v>
      </c>
      <c r="O8" s="927" t="s">
        <v>382</v>
      </c>
      <c r="P8" s="928" t="str">
        <f>IF(OR(AND($O8=$A$167,  $O$5=$A$167),AND($O8=$A$167,  $O$5=$A$187)), IF(BL8&gt;0,IF($N8=$A$167,$N$5,$N8), IF(BI8&gt;0,  IF($K8=$A$167,$K$5,$K8), IF($J8=$A$167,$J$5,$J8))),IF(O8=$A$167,O$5,O8))</f>
        <v>GIS</v>
      </c>
      <c r="Q8" s="929" t="s">
        <v>382</v>
      </c>
      <c r="R8" s="160" t="s">
        <v>1055</v>
      </c>
      <c r="S8" s="1470">
        <f>VLOOKUP($B8,wfRange,Workflow!B$1,FALSE)</f>
        <v>10</v>
      </c>
      <c r="T8" s="1245">
        <f>CP8</f>
        <v>3</v>
      </c>
      <c r="U8" s="546">
        <f ca="1">IF(F8=0,T8,60/E8-V8)</f>
        <v>9.7379333993137784</v>
      </c>
      <c r="V8" s="759">
        <f ca="1">IF(F8=0,0,SUM(Y8:BF8))</f>
        <v>0.26206660068622095</v>
      </c>
      <c r="W8" s="2682"/>
      <c r="X8" s="2733">
        <f>CQ8</f>
        <v>6</v>
      </c>
      <c r="Y8" s="2751">
        <f>IF(SUM($C8:$D8)&gt;0,$K$85*CF8,0)*1/VLOOKUP(B8,wfRange,Workflow!N$1,FALSE)</f>
        <v>2.1800024718823387E-2</v>
      </c>
      <c r="Z8" s="1474">
        <f>IF(Y8&gt;0, IF($A$83&lt;0.9999,   IF($T8=0,  MAX($CL$2*Y8*$Q$82,$CL$2*Y8*$Q$81),  MAX(Y8*$Q$82,Y8*$Q$81)),  Y8*200),0)</f>
        <v>2.0540177681060545E-4</v>
      </c>
      <c r="AA8" s="2751">
        <f>IF(SUM($C8:$D8)&gt;0,$K$81*CE8,0)*1/VLOOKUP(B8,wfRange,Workflow!N$1,FALSE)</f>
        <v>0.19620022246941049</v>
      </c>
      <c r="AB8" s="1474">
        <f>IF(AA8&gt;0, IF($A$79&lt;0.9999,   IF($T8=0,  MAX($CL$2*AA8*$Q$78,$CL$2*AA8*$Q$77),  MAX(AA8*$Q$78,AA8*$Q$77)),  AA8*200),0)</f>
        <v>2.8063223599656844E-3</v>
      </c>
      <c r="AC8" s="2751">
        <f>IF(SUM($C8:$D8)&gt;0,$K$77*CD8,0)*1/VLOOKUP(B8,wfRange,Workflow!N$1,FALSE)</f>
        <v>8.7200098875293546E-3</v>
      </c>
      <c r="AD8" s="1474">
        <f>IF(AC8&gt;0, IF($A$75&lt;0.9999,   IF($T8=0,  MAX($CL$2*AC8*$Q$74,$CL$2*AC8*$Q$73),  MAX(AC8*$Q$74,AC8*$Q$73)),  AC8*200),0)</f>
        <v>5.6954505832084005E-6</v>
      </c>
      <c r="AE8" s="2751">
        <f>IF(SUM($C8:$D8)&gt;0,$K$73*CC8,0)*1/VLOOKUP(B8,wfRange,Workflow!N$1,FALSE)</f>
        <v>0</v>
      </c>
      <c r="AF8" s="1474">
        <f>IF(AE8&gt;0, IF($A$71&lt;0.9999,   IF($T8=0,  MAX($CL$2*AE8*$Q$70,$CL$2*AE8*$Q$69),  MAX(AE8*$Q$70,AE8*$Q$69)),  AE8*200),0)</f>
        <v>0</v>
      </c>
      <c r="AG8" s="2751">
        <f>IF(SUM($C8:$D8)&gt;0,$K$69*CB8,0)*1/VLOOKUP(B8,wfRange,Workflow!N$1,FALSE)</f>
        <v>0</v>
      </c>
      <c r="AH8" s="1474">
        <f>IF(AG8&gt;0, IF($A$67&lt;0.9999,   IF($T8=0,  MAX($CL$2*AG8*$Q$66,$CL$2*AG8*$Q$64),  MAX(AG8*$Q$66,AG8*$Q$64)),  AG8*200),0)</f>
        <v>0</v>
      </c>
      <c r="AI8" s="2751">
        <f>IF(SUM($C8:$D8)&gt;0,$K$64*CA8,0)*1/VLOOKUP(B8,wfRange,Workflow!N$1,FALSE)</f>
        <v>0</v>
      </c>
      <c r="AJ8" s="1474">
        <f>IF(AI8&gt;0, IF($A$62&lt;0.9999,   IF($T8=0,  MAX($CL$2*AI8*$Q$61,$CL$2*AI8*$Q$60),  MAX(AI8*$Q$61,AI8*$Q$60)),  AI8*200),0)</f>
        <v>0</v>
      </c>
      <c r="AK8" s="2751">
        <f>IF(SUM($C8:$D8)&gt;0,$K$60*BZ8,0)*1/VLOOKUP(B8,wfRange,Workflow!N$1,FALSE)</f>
        <v>0</v>
      </c>
      <c r="AL8" s="1474">
        <f>IF(AK8&gt;0, IF($A$58&lt;0.9999,   IF($T8=0,  MAX($CL$2*AK8*$Q$57,$CL$2*AK8*$Q$56),  MAX(AK8*$Q$57,AK8*$Q$56)),  AK8*200),0)</f>
        <v>0</v>
      </c>
      <c r="AM8" s="2751">
        <f>IF(SUM($C8:$D8)&gt;0,$K$56*BY8,0)*1/VLOOKUP(B8,wfRange,Workflow!N$1,FALSE)</f>
        <v>0</v>
      </c>
      <c r="AN8" s="1474">
        <f>IF(AM8&gt;0, IF($A$54&lt;0.9999,   IF($T8=0,  MAX($CL$2*AM8*$Q$53,$CL$2*AM8*$Q$52),  MAX(AM8*$Q$53,AM8*$Q$52)),  AM8*200),0)</f>
        <v>0</v>
      </c>
      <c r="AO8" s="2751">
        <f>IF(SUM($C8:$D8)&gt;0,$K$52*BX8,0)*1/VLOOKUP(B8,wfRange,Workflow!N$1,FALSE)</f>
        <v>0</v>
      </c>
      <c r="AP8" s="1474">
        <f>IF(AO8&gt;0, IF($A$50&lt;0.9999,   IF($T8=0,  MAX($CL$2*AO8*$Q$49,$CL$2*AO8*$Q$48),  MAX(AO8*$Q$49,AO8*$Q$48)),  AO8*200),0)</f>
        <v>0</v>
      </c>
      <c r="AQ8" s="2751">
        <f>IF(SUM($C8:$D8)&gt;0,$K$48*BW8,0)*1/VLOOKUP(B8,wfRange,Workflow!N$1,FALSE)</f>
        <v>0</v>
      </c>
      <c r="AR8" s="1474">
        <f>IF(AQ8&gt;0, IF($A$46&lt;0.9999,   IF($T8=0,  MAX($CL$2*AQ8*$Q$45,$CL$2*AQ8*$Q$43),  MAX(AQ8*$Q$45,AQ8*$Q$43)),  AQ8*200),0)</f>
        <v>0</v>
      </c>
      <c r="AS8" s="2751">
        <f>IF(SUM($C8:$D8)&gt;0,$K$43*BV8,0)*1/VLOOKUP(B8,wfRange,Workflow!N$1,FALSE)</f>
        <v>0</v>
      </c>
      <c r="AT8" s="1474">
        <f>IF(AS8&gt;0, IF($A$41&lt;0.9999,   IF($T8=0,  MAX($CL$2*AS8*$Q$40,$CL$2*AS8*$Q$39),  MAX(AS8*$Q$40,AS8*$Q$39)),  AS8*200),0)</f>
        <v>0</v>
      </c>
      <c r="AU8" s="2751">
        <f>IF(SUM($C8:$D8)&gt;0,$K$39*BU8,0)*1/VLOOKUP(B8,wfRange,Workflow!N$1,FALSE)</f>
        <v>0</v>
      </c>
      <c r="AV8" s="1474">
        <f>IF(AU8&gt;0, IF($A$37&lt;0.9999,   IF($T8=0,  MAX($CL$2*AU8*$Q$36,$CL$2*AU8*$Q$35),  MAX(AU8*$Q$36,AU8*$Q$35)),  AU8*200),0)</f>
        <v>0</v>
      </c>
      <c r="AW8" s="2751">
        <f>IF(SUM($C8:$D8)&gt;0,$K$35*BT8,0)*1/VLOOKUP(B8,wfRange,Workflow!N$1,FALSE)</f>
        <v>0</v>
      </c>
      <c r="AX8" s="1474">
        <f>IF(AW8&gt;0, IF($A$33&lt;0.9999,   IF($T8=0,  MAX($CL$2*AW8*$Q$32,$CL$2*AW8*$Q$31),  MAX(AW8*$Q$32,AW8*$Q$31)),  AW8*200),0)</f>
        <v>0</v>
      </c>
      <c r="AY8" s="2751">
        <f>IF(SUM($C8:$D8)&gt;0,$K$31*BS8,0)*1/VLOOKUP(B8,wfRange,Workflow!N$1,FALSE)</f>
        <v>0</v>
      </c>
      <c r="AZ8" s="1474">
        <f>IF(AY8&gt;0, IF($A$29&lt;0.9999,   IF($T8=0,  MAX($CL$2*AY8*$Q$28,$CL$2*AY8*$Q$27),  MAX(AY8*$Q$28,AY8*$Q$27)),  AY8*200),0)</f>
        <v>0</v>
      </c>
      <c r="BA8" s="2751">
        <f>IF(SUM($C8:$D8)&gt;0,$K$27*BR8,0)*1/VLOOKUP(B8,wfRange,Workflow!N$1,FALSE)</f>
        <v>0</v>
      </c>
      <c r="BB8" s="1474">
        <f>IF(BA8&gt;0, IF($A$25&lt;0.9999,   IF($T8=0,  MAX($CL$2*BA8*$Q$24,$CL$2*BA8*$Q$23),  MAX(BA8*$Q$24,BA8*$Q$23)),  BA8*200),0)</f>
        <v>0</v>
      </c>
      <c r="BC8" s="2751">
        <f ca="1">IF(SUM($C8:$D8)&gt;0,IF($CJ8&gt;0,IF($CO8&gt;$CN8,$I8/$CN8,$I8/$CO8),$I8/$CN8),0)</f>
        <v>2E-3</v>
      </c>
      <c r="BD8" s="930">
        <f ca="1">IF(BC8&gt;0,IF(CL8&lt;0.9999,BC8*CL8/((1+$CK$2*CL8)*(1-CL8)),BC8*500),0)</f>
        <v>2.2069353267125888E-5</v>
      </c>
      <c r="BE8" s="2765">
        <f ca="1">IF(SUM($C8:$D8)&gt;0,IF(CJ8&gt;0,VLOOKUP($CJ8+200,NL,6,FALSE)*S8,0),0)/1000</f>
        <v>0</v>
      </c>
      <c r="BF8" s="2765">
        <f>IF(SUM($C8:$D8)&gt;0,BQ8*$BO$2/$G$22,0)*1/VLOOKUP(B8,wfRange,Workflow!N$1,FALSE)</f>
        <v>3.0306854669831077E-2</v>
      </c>
      <c r="BG8" s="2736">
        <f>IF($CW8="desktop",VLOOKUP($R8,DataArray,5,FALSE)* VLOOKUP($B8,wfRange,Workflow!C$1,FALSE), VLOOKUP($B8,wfRange,Workflow!C$1,FALSE))</f>
        <v>2</v>
      </c>
      <c r="BH8" s="1476">
        <f>IF(CW8="Desktop", VLOOKUP($R8,DataArray,4,FALSE)* IF(ISERROR(FIND("File",$R8)), VLOOKUP($B8,wfRange,Workflow!D$1,FALSE), VLOOKUP($B8,wfRange,Workflow!D$1,FALSE)+ VLOOKUP($B8,wfRange,Workflow!I$1,FALSE)+ VLOOKUP($B8,wfRange,Workflow!K$1,FALSE)), VLOOKUP($B8,wfRange,Workflow!D$1,FALSE))</f>
        <v>2.5289841565703634E-2</v>
      </c>
      <c r="BI8" s="542">
        <f>IF(VLOOKUP($B8,wfRange,Workflow!E$1,FALSE)&gt;0, VLOOKUP($R8,DataArray,4,FALSE)* IF(ISERROR(FIND("File",$R8)),   VLOOKUP($B8,wfRange,Workflow!E$1,FALSE),     VLOOKUP($B8,wfRange,Workflow!E$1,FALSE)+ VLOOKUP($B8,wfRange,Workflow!I$1,FALSE)+ VLOOKUP($B8,wfRange,Workflow!K$1,FALSE)),0)</f>
        <v>0</v>
      </c>
      <c r="BJ8" s="543">
        <f>VLOOKUP($B8,wfRange,Workflow!F$1,FALSE)</f>
        <v>8.2191985088536819E-3</v>
      </c>
      <c r="BK8" s="543">
        <f>MAX(VLOOKUP($B8,wfRange,Workflow!G$1,FALSE),IF(W8=$BB$22,$BC$22,0))</f>
        <v>0</v>
      </c>
      <c r="BL8" s="543">
        <f>IF(VLOOKUP($B8,wfRange,Workflow!H$1,FALSE)&gt;0,VLOOKUP($R8,DataArray,4,FALSE)* IF(ISERROR(FIND("File",$R8)),VLOOKUP($B8,wfRange,Workflow!H$1,FALSE),VLOOKUP($B8,wfRange,Workflow!H$1,FALSE)+VLOOKUP($B8,wfRange,Workflow!I$1,FALSE)+VLOOKUP($B8,wfRange,Workflow!K$1,FALSE)),0)</f>
        <v>0.16438397017707365</v>
      </c>
      <c r="BM8" s="544">
        <f>VLOOKUP($R8,DataArray,3,FALSE)* VLOOKUP($B8,wfRange,Workflow!I$1,FALSE)</f>
        <v>2.0547996272134206E-2</v>
      </c>
      <c r="BN8" s="545">
        <f>VLOOKUP($R8,DataArray,5,FALSE)* VLOOKUP($B8,wfRange,Workflow!J$1,FALSE)</f>
        <v>10</v>
      </c>
      <c r="BO8" s="544">
        <f>VLOOKUP($R8,DataArray,2,FALSE)* VLOOKUP($B8,wfRange,Workflow!K$1,FALSE)</f>
        <v>2.0547996272134206E-2</v>
      </c>
      <c r="BP8" s="753">
        <f>SUM(BH8:BM8,BO8)</f>
        <v>0.23898900279589941</v>
      </c>
      <c r="BQ8" s="1471">
        <f t="shared" si="2"/>
        <v>2.5289841565703634E-2</v>
      </c>
      <c r="BR8" s="1472">
        <f t="shared" si="2"/>
        <v>0</v>
      </c>
      <c r="BS8" s="1472">
        <f t="shared" si="2"/>
        <v>0</v>
      </c>
      <c r="BT8" s="1472">
        <f t="shared" si="2"/>
        <v>0</v>
      </c>
      <c r="BU8" s="1472">
        <f t="shared" si="2"/>
        <v>0</v>
      </c>
      <c r="BV8" s="1472">
        <f t="shared" si="2"/>
        <v>0</v>
      </c>
      <c r="BW8" s="1472">
        <f t="shared" si="2"/>
        <v>0</v>
      </c>
      <c r="BX8" s="1472">
        <f t="shared" si="2"/>
        <v>0</v>
      </c>
      <c r="BY8" s="1472">
        <f t="shared" si="2"/>
        <v>0</v>
      </c>
      <c r="BZ8" s="1472">
        <f t="shared" si="2"/>
        <v>0</v>
      </c>
      <c r="CA8" s="1472">
        <f t="shared" si="2"/>
        <v>0</v>
      </c>
      <c r="CB8" s="1472">
        <f t="shared" si="2"/>
        <v>0</v>
      </c>
      <c r="CC8" s="1472">
        <f t="shared" si="2"/>
        <v>0</v>
      </c>
      <c r="CD8" s="1472">
        <f t="shared" si="2"/>
        <v>8.2191985088536819E-3</v>
      </c>
      <c r="CE8" s="1472">
        <f t="shared" si="2"/>
        <v>0.18493196644920787</v>
      </c>
      <c r="CF8" s="1472">
        <f t="shared" si="2"/>
        <v>2.0547996272134206E-2</v>
      </c>
      <c r="CG8" s="541">
        <f>$BN8</f>
        <v>10</v>
      </c>
      <c r="CH8" s="951">
        <f ca="1">CJ8+100</f>
        <v>100</v>
      </c>
      <c r="CI8" s="951">
        <f ca="1">COUNTBLANK($CI$5:$CI8)</f>
        <v>1</v>
      </c>
      <c r="CJ8" s="951">
        <f ca="1">COUNTBLANK($CJ$5:$CJ8)</f>
        <v>0</v>
      </c>
      <c r="CK8" s="1477">
        <f ca="1">COUNTA($CK$5:$CK8)</f>
        <v>3</v>
      </c>
      <c r="CL8" s="547">
        <f ca="1">IF(CO8=0,VLOOKUP($CI8,NL,5,FALSE),IF(CO8&lt;CN8,VLOOKUP($CJ8+200,NL,5,FALSE),VLOOKUP($CI8,NL,5,FALSE)))</f>
        <v>1.1033333333333331E-2</v>
      </c>
      <c r="CM8" s="1475"/>
      <c r="CN8" s="548">
        <f ca="1">VLOOKUP($CI8,NL,3,FALSE)</f>
        <v>1000</v>
      </c>
      <c r="CO8" s="549">
        <f ca="1">IF(CJ8&gt;0,VLOOKUP($CJ8+200,NL,2,FALSE),0)</f>
        <v>0</v>
      </c>
      <c r="CP8" s="570">
        <f>VLOOKUP($B8,wfRange,Workflow!L$1,FALSE)</f>
        <v>3</v>
      </c>
      <c r="CQ8" s="1473">
        <f>IF($CQ$5=1000,1000,VLOOKUP($B8,wfRange,Workflow!M$1,FALSE))</f>
        <v>6</v>
      </c>
      <c r="CR8" s="767">
        <f ca="1">IF(SUM($C8:$D8)&gt;0,IF(T8&gt;0,60/(T8+V8),60/V8),1000)</f>
        <v>18.393248006456449</v>
      </c>
      <c r="CS8" s="766">
        <f ca="1">IF(CR8&gt;E8,E8+ABS(CR8-E8)*$U$2/100,E8-ABS(CR8-E8)*$U$2/500)</f>
        <v>7.2393248006456448</v>
      </c>
      <c r="CT8" s="1478" t="str">
        <f t="shared" si="1"/>
        <v>S WebMap</v>
      </c>
      <c r="CU8" s="1478" t="str">
        <f>IF(ISERROR(FIND("_",R8)),R8,LEFT(R8,FIND("_",R8)-1))</f>
        <v>DB</v>
      </c>
      <c r="CV8" s="1479">
        <f>F8*60</f>
        <v>360</v>
      </c>
      <c r="CW8" s="1900" t="str">
        <f>VLOOKUP($B8,wfRange,Workflow!O$1,FALSE)</f>
        <v>Server</v>
      </c>
      <c r="CX8" s="1478">
        <f>IF(ISERROR(IF(CW8=" Imagery",MATCH(R8,ImageryDataList,0), MATCH(R8,MapDataList,0))),1,0)</f>
        <v>0</v>
      </c>
      <c r="CY8" s="1914">
        <f>IF(CW8=" imagery",IF($O8=$A$185,0,IF($O8=$A$186,0,1)),0)</f>
        <v>0</v>
      </c>
      <c r="CZ8" s="1908">
        <f>IF(AND(O8=$A$186,R8=Calculator!$C$171),1,0)</f>
        <v>0</v>
      </c>
      <c r="DA8" s="1900" t="str">
        <f>IF(BH8&gt;0.04*$BO$2/58,DA$4,"server")</f>
        <v>server</v>
      </c>
      <c r="DB8" s="1480"/>
      <c r="DC8" s="1480"/>
      <c r="DD8" s="1480"/>
      <c r="DE8" s="1480"/>
      <c r="DF8" s="1481"/>
      <c r="DG8" s="550"/>
      <c r="DH8" s="1482">
        <f>IF($BQ8&gt;0, IF(ISTEXT(DH$3), $C8+IF($D8&lt;1000,$D8,$D8/($E8*60)),0),0)</f>
        <v>1</v>
      </c>
      <c r="DI8" s="1483">
        <f>IF(DH8&gt;0,IF(ISTEXT(DH$3),$F8),0)</f>
        <v>6</v>
      </c>
      <c r="DJ8" s="1484">
        <f>IF(DH8&gt;0,IF(ISTEXT(DH$3),$G8),0)</f>
        <v>0.2</v>
      </c>
      <c r="DK8" s="1485">
        <f>$BQ8*DI8</f>
        <v>0.15173904939422181</v>
      </c>
      <c r="DL8" s="801" t="b">
        <f>ISERROR(MATCH(DN$3,$J8:$O8,0))</f>
        <v>1</v>
      </c>
      <c r="DM8" s="802">
        <f>IF($BR8&gt;0, IF(ISTEXT(DM$3), $C8+IF($D8&lt;1000,$D8,$D8/($E8*60)),0),0)</f>
        <v>0</v>
      </c>
      <c r="DN8" s="802">
        <f>IF(DM8&gt;0,IF(ISTEXT(DM$3),$F8),0)</f>
        <v>0</v>
      </c>
      <c r="DO8" s="539">
        <f>IF(DM8&gt;0,IF(ISTEXT(DM$3),$G8),0)</f>
        <v>0</v>
      </c>
      <c r="DP8" s="698">
        <f>IF($I8=0,0,IF(DM8&gt;0,DO8*$CG8/$I8,0))</f>
        <v>0</v>
      </c>
      <c r="DQ8" s="803">
        <f>$BR8*DN8</f>
        <v>0</v>
      </c>
      <c r="DR8" s="801" t="b">
        <f>ISERROR(MATCH(DT$3,$J8:$O8,0))</f>
        <v>1</v>
      </c>
      <c r="DS8" s="802">
        <f>IF($BS8&gt;0, IF(ISTEXT(DS$3), $C8+IF($D8&lt;1000,$D8,$D8/($E8*60)),0),0)</f>
        <v>0</v>
      </c>
      <c r="DT8" s="802">
        <f>IF(DS8&gt;0,IF(ISTEXT(DS$3),$F8),0)</f>
        <v>0</v>
      </c>
      <c r="DU8" s="539">
        <f>IF(DS8&gt;0,IF(ISTEXT(DS$3),$G8),0)</f>
        <v>0</v>
      </c>
      <c r="DV8" s="698">
        <f>IF($I8=0,0,IF(DS8&gt;0,DU8*$CG8/$I8,0))</f>
        <v>0</v>
      </c>
      <c r="DW8" s="803">
        <f>$BS8*DT8</f>
        <v>0</v>
      </c>
      <c r="DX8" s="801" t="b">
        <f>ISERROR(MATCH(DZ$3,$J8:$O8,0))</f>
        <v>1</v>
      </c>
      <c r="DY8" s="802">
        <f>IF($BT8&gt;0, IF(ISTEXT(DY$3), $C8+IF($D8&lt;1000,$D8,$D8/($E8*60)),0),0)</f>
        <v>0</v>
      </c>
      <c r="DZ8" s="802">
        <f>IF(DY8&gt;0,IF(ISTEXT(DY$3),$F8),0)</f>
        <v>0</v>
      </c>
      <c r="EA8" s="539">
        <f>IF(DY8&gt;0,IF(ISTEXT(DY$3),$G8),0)*IF($DX8=FALSE,IF($DZ$3=$D$184,1,$EA$3),1)</f>
        <v>0</v>
      </c>
      <c r="EB8" s="698">
        <f>IF($I8=0,0,IF(DY8&gt;0,EA8*$CG8/$I8,0))</f>
        <v>0</v>
      </c>
      <c r="EC8" s="803">
        <f>$BT8*DZ8</f>
        <v>0</v>
      </c>
      <c r="ED8" s="801" t="b">
        <f>ISERROR(MATCH(EF$3,$J8:$O8,0))</f>
        <v>1</v>
      </c>
      <c r="EE8" s="802">
        <f>IF($BU8&gt;0, IF(ISTEXT(EE$3), $C8+IF($D8&lt;1000,$D8,$D8/($E8*60)),0),0)</f>
        <v>0</v>
      </c>
      <c r="EF8" s="802">
        <f>IF(EE8&gt;0,IF(ISTEXT(EE$3),$F8),0)</f>
        <v>0</v>
      </c>
      <c r="EG8" s="539">
        <f>IF(EE8&gt;0,IF(ISTEXT(EE$3),$G8),0)</f>
        <v>0</v>
      </c>
      <c r="EH8" s="698">
        <f>IF($I8=0,0,IF(EE8&gt;0,EG8*$CG8/$I8,0))</f>
        <v>0</v>
      </c>
      <c r="EI8" s="803">
        <f>$BU8*EF8</f>
        <v>0</v>
      </c>
      <c r="EJ8" s="801" t="b">
        <f>ISERROR(MATCH(EL$3,$J8:$O8,0))</f>
        <v>1</v>
      </c>
      <c r="EK8" s="1483">
        <f>IF($BV8&gt;0, IF(ISTEXT(EK$3), $C8+IF($D8&lt;1000,$D8,$D8/($E8*60)),0),0)</f>
        <v>0</v>
      </c>
      <c r="EL8" s="1483">
        <f>IF(EK8&gt;0,IF(ISTEXT(EK$3),$F8),0)</f>
        <v>0</v>
      </c>
      <c r="EM8" s="1484">
        <f>IF(EK8&gt;0,IF(ISTEXT(EK$3),$G8),0)</f>
        <v>0</v>
      </c>
      <c r="EN8" s="1486">
        <f>IF($I8=0,0,IF(EK8&gt;0,EM8*$CG8/$I8,0))</f>
        <v>0</v>
      </c>
      <c r="EO8" s="1487">
        <f>$BV8*EL8</f>
        <v>0</v>
      </c>
      <c r="EP8" s="801" t="b">
        <f>ISERROR(MATCH(ER$3,$J8:$O8,0))</f>
        <v>1</v>
      </c>
      <c r="EQ8" s="1488">
        <f>IF($BW8&gt;0, IF(ISTEXT(EQ$3), $C8+IF($D8&lt;1000,$D8,$D8/($E8*60)),0),0)</f>
        <v>0</v>
      </c>
      <c r="ER8" s="1483">
        <f>IF(EQ8&gt;0,IF(ISTEXT(EQ$3),$F8),0)</f>
        <v>0</v>
      </c>
      <c r="ES8" s="1484">
        <f>IF(EQ8&gt;0,IF(ISTEXT(EQ$3),$G8),0)</f>
        <v>0</v>
      </c>
      <c r="ET8" s="1486">
        <f>IF($I8=0,0,IF(EQ8&gt;0,ES8*$CG8/$I8,0))</f>
        <v>0</v>
      </c>
      <c r="EU8" s="1487">
        <f>$BW8*ER8</f>
        <v>0</v>
      </c>
      <c r="EV8" s="801" t="b">
        <f>ISERROR(MATCH(EX$3,$J8:$O8,0))</f>
        <v>1</v>
      </c>
      <c r="EW8" s="1488">
        <f>IF($BX8&gt;0, IF(ISTEXT(EW$3), $C8+IF($D8&lt;1000,$D8,$D8/($E8*60)),0),0)</f>
        <v>0</v>
      </c>
      <c r="EX8" s="1483">
        <f>IF(EW8&gt;0,IF(ISTEXT(EW$3),$F8),0)</f>
        <v>0</v>
      </c>
      <c r="EY8" s="1484">
        <f>IF(EW8&gt;0,IF(ISTEXT(EW$3),$G8),0)</f>
        <v>0</v>
      </c>
      <c r="EZ8" s="1486">
        <f>IF($I8=0,0,IF(EW8&gt;0,EY8*$CG8/$I8,0))</f>
        <v>0</v>
      </c>
      <c r="FA8" s="1487">
        <f>$BX8*EX8</f>
        <v>0</v>
      </c>
      <c r="FB8" s="801" t="b">
        <f>ISERROR(MATCH(FD$3,$J8:$O8,0))</f>
        <v>1</v>
      </c>
      <c r="FC8" s="1488">
        <f>IF($BY8&gt;0, IF(ISTEXT(FC$3), $C8+IF($D8&lt;1000,$D8,$D8/($E8*60)),0),0)</f>
        <v>0</v>
      </c>
      <c r="FD8" s="1483">
        <f>IF(FC8&gt;0,IF(ISTEXT(FC$3),$F8),0)</f>
        <v>0</v>
      </c>
      <c r="FE8" s="1484">
        <f>IF(FC8&gt;0,IF(ISTEXT(FC$3),$G8),0)</f>
        <v>0</v>
      </c>
      <c r="FF8" s="1486">
        <f>IF($I8=0,0,IF(FC8&gt;0,FE8*$CG8/$I8,0))</f>
        <v>0</v>
      </c>
      <c r="FG8" s="1487">
        <f>$BY8*FD8</f>
        <v>0</v>
      </c>
      <c r="FH8" s="801" t="b">
        <f>ISERROR(MATCH(FJ$3,$J8:$O8,0))</f>
        <v>1</v>
      </c>
      <c r="FI8" s="1488">
        <f>IF($BZ8&gt;0, IF(ISTEXT(FI$3), $C8+IF($D8&lt;1000,$D8,$D8/($E8*60)),0),0)</f>
        <v>0</v>
      </c>
      <c r="FJ8" s="1483">
        <f>IF(FI8&gt;0,IF(ISTEXT(FI$3),$F8),0)</f>
        <v>0</v>
      </c>
      <c r="FK8" s="1484">
        <f>IF(FI8&gt;0,IF(ISTEXT(FI$3),$G8),0)</f>
        <v>0</v>
      </c>
      <c r="FL8" s="1486">
        <f>IF($I8=0,0,IF(FI8&gt;0,FK8*$CG8/$I8,0))</f>
        <v>0</v>
      </c>
      <c r="FM8" s="1487">
        <f>$BZ8*FJ8</f>
        <v>0</v>
      </c>
      <c r="FN8" s="801" t="b">
        <f>ISERROR(MATCH(FP$3,$J8:$O8,0))</f>
        <v>1</v>
      </c>
      <c r="FO8" s="1488">
        <f>IF($CA8&gt;0, IF(ISTEXT(FO$3), $C8+IF($D8&lt;1000,$D8,$D8/($E8*60)),0),0)</f>
        <v>0</v>
      </c>
      <c r="FP8" s="1483">
        <f>IF(FO8&gt;0,IF(ISTEXT(FO$3),$F8),0)</f>
        <v>0</v>
      </c>
      <c r="FQ8" s="1484">
        <f>IF(FO8&gt;0,IF(ISTEXT(FO$3),$G8),0)</f>
        <v>0</v>
      </c>
      <c r="FR8" s="1486">
        <f>IF($I8=0,0,IF(FO8&gt;0,FQ8*$CG8/$I8,0))</f>
        <v>0</v>
      </c>
      <c r="FS8" s="1487">
        <f>$CA8*FP8</f>
        <v>0</v>
      </c>
      <c r="FT8" s="801" t="b">
        <f>ISERROR(MATCH(FV$3,$J8:$O8,0))</f>
        <v>1</v>
      </c>
      <c r="FU8" s="1488">
        <f>IF($CB8&gt;0, IF(ISTEXT(FU$3), $C8+IF($D8&lt;1000,$D8,$D8/($E8*60)),0),0)</f>
        <v>0</v>
      </c>
      <c r="FV8" s="1483">
        <f>IF(FU8&gt;0,IF(ISTEXT(FU$3),$F8),0)</f>
        <v>0</v>
      </c>
      <c r="FW8" s="1484">
        <f>IF(FU8&gt;0,IF(ISTEXT(FU$3),$G8),0)</f>
        <v>0</v>
      </c>
      <c r="FX8" s="1486">
        <f>IF($I8=0,0,IF(FU8&gt;0,FW8*$CG8/$I8,0))</f>
        <v>0</v>
      </c>
      <c r="FY8" s="1487">
        <f>$CB8*FV8</f>
        <v>0</v>
      </c>
      <c r="FZ8" s="801" t="b">
        <f>ISERROR(MATCH(GB$3,$J8:$O8,0))</f>
        <v>1</v>
      </c>
      <c r="GA8" s="1488">
        <f>IF($CC8&gt;0, IF(ISTEXT(GA$3), $C8+IF($D8&lt;1000,$D8,$D8/($E8*60)),0),0)</f>
        <v>0</v>
      </c>
      <c r="GB8" s="1483">
        <f>IF(GA8&gt;0,IF(ISTEXT(GA$3),$F8),0)</f>
        <v>0</v>
      </c>
      <c r="GC8" s="1484">
        <f>IF(GA8&gt;0,IF(ISTEXT(GA$3),$G8),0)</f>
        <v>0</v>
      </c>
      <c r="GD8" s="1486">
        <f>IF($I8=0,0,IF(GA8&gt;0,GC8*$CG8/$I8,0))</f>
        <v>0</v>
      </c>
      <c r="GE8" s="1487">
        <f>$CC8*GB8</f>
        <v>0</v>
      </c>
      <c r="GF8" s="801" t="b">
        <f>ISERROR(MATCH(GH$3,$J8:$O8,0))</f>
        <v>1</v>
      </c>
      <c r="GG8" s="1488">
        <f>IF($CD8&gt;0, IF(ISTEXT(GG$3), $C8+IF($D8&lt;1000,$D8,$D8/($E8*60)),0),0)</f>
        <v>1</v>
      </c>
      <c r="GH8" s="1483">
        <f>IF(GG8&gt;0,IF(ISTEXT(GG$3),$F8),0)</f>
        <v>6</v>
      </c>
      <c r="GI8" s="1484">
        <f>IF(GG8&gt;0,IF(ISTEXT(GG$3),$G8),0)</f>
        <v>0.2</v>
      </c>
      <c r="GJ8" s="1486">
        <f>IF($I8=0,0,IF(GG8&gt;0,GI8*$CG8/$I8,0))</f>
        <v>1</v>
      </c>
      <c r="GK8" s="1487">
        <f>$CD8*GH8</f>
        <v>4.9315191053122091E-2</v>
      </c>
      <c r="GL8" s="801" t="b">
        <f>ISERROR(MATCH(GN$3,$J8:$O8,0))</f>
        <v>1</v>
      </c>
      <c r="GM8" s="1488">
        <f>IF($CE8&gt;0, IF(ISTEXT(GM$3), $C8+IF($D8&lt;1000,$D8,$D8/($E8*60)),0),0)</f>
        <v>1</v>
      </c>
      <c r="GN8" s="1483">
        <f>IF(GM8&gt;0,IF(ISTEXT(GM$3),$F8),0)</f>
        <v>6</v>
      </c>
      <c r="GO8" s="1484">
        <f>IF(GM8&gt;0,IF(ISTEXT(GM$3),$G8),0)</f>
        <v>0.2</v>
      </c>
      <c r="GP8" s="1486">
        <f>IF($I8=0,0,IF(GM8&gt;0,GO8*$CG8/$I8,0))</f>
        <v>1</v>
      </c>
      <c r="GQ8" s="1487">
        <f>$CE8*GN8</f>
        <v>1.1095917986952473</v>
      </c>
      <c r="GR8" s="801" t="b">
        <f>ISERROR(MATCH(GT$3,$J8:$O8,0))</f>
        <v>1</v>
      </c>
      <c r="GS8" s="1488">
        <f>IF($CF8&gt;0, IF(ISTEXT(GS$3), $C8+IF($D8&lt;1000,$D8,$D8/($E8*60)),0),0)</f>
        <v>1</v>
      </c>
      <c r="GT8" s="1483">
        <f>IF(GS8&gt;0,IF(ISTEXT(GS$3),$F8),0)</f>
        <v>6</v>
      </c>
      <c r="GU8" s="1484">
        <f>IF(I8=0,0,IF(GS8&gt;0,IF(ISTEXT(GS$3),$G8),0)*$CG8/$I8)</f>
        <v>1</v>
      </c>
      <c r="GV8" s="1484"/>
      <c r="GW8" s="1487">
        <f>$CF8*GT8</f>
        <v>0.12328797763280525</v>
      </c>
      <c r="GX8" s="1489">
        <f>IF(ISERROR(FIND("File",$R8)),0,F8*$BN8*VLOOKUP(R8,DataArray,4,FALSE))/60</f>
        <v>0</v>
      </c>
      <c r="GY8" s="551" t="b">
        <f>ISERROR(OR(FIND("F",$R8)))</f>
        <v>1</v>
      </c>
      <c r="GZ8" s="2471" t="b">
        <f>ISERROR(OR(FIND("Image",$R8)))</f>
        <v>1</v>
      </c>
      <c r="HA8" s="2476"/>
      <c r="HB8" s="2866"/>
    </row>
    <row r="9" spans="1:211" ht="15" customHeight="1" x14ac:dyDescent="0.15">
      <c r="A9" s="1450" t="str">
        <f>CT9</f>
        <v>WAN</v>
      </c>
      <c r="B9" s="1093" t="s">
        <v>393</v>
      </c>
      <c r="C9" s="1451"/>
      <c r="D9" s="1451"/>
      <c r="E9" s="1090">
        <f ca="1">SUM(C9:OFFSET(C9,MATCH(BG9,OFFSET(BG9,1,0):BG$20,0)-1,0))</f>
        <v>3</v>
      </c>
      <c r="F9" s="1094">
        <f ca="1">SUM(G9:OFFSET(G9,MATCH(BG9,OFFSET(BG9,1,0):BG$20,0)-1,0))</f>
        <v>2.3166666666666669</v>
      </c>
      <c r="G9" s="1092"/>
      <c r="H9" s="2479">
        <v>90</v>
      </c>
      <c r="I9" s="1096">
        <f ca="1">F9/H9</f>
        <v>2.5740740740740745E-2</v>
      </c>
      <c r="J9" s="1097"/>
      <c r="K9" s="1098"/>
      <c r="L9" s="1098"/>
      <c r="M9" s="1098"/>
      <c r="N9" s="1098"/>
      <c r="O9" s="1098"/>
      <c r="P9" s="1098"/>
      <c r="Q9" s="1098"/>
      <c r="R9" s="1491"/>
      <c r="S9" s="1492"/>
      <c r="T9" s="1101"/>
      <c r="U9" s="1102"/>
      <c r="V9" s="1103"/>
      <c r="W9" s="2678"/>
      <c r="X9" s="1107"/>
      <c r="Y9" s="2750"/>
      <c r="Z9" s="1455"/>
      <c r="AA9" s="1456"/>
      <c r="AB9" s="1455"/>
      <c r="AC9" s="1456"/>
      <c r="AD9" s="1455"/>
      <c r="AE9" s="1456"/>
      <c r="AF9" s="1455"/>
      <c r="AG9" s="2750"/>
      <c r="AH9" s="1455"/>
      <c r="AI9" s="2750"/>
      <c r="AJ9" s="1455"/>
      <c r="AK9" s="2750"/>
      <c r="AL9" s="1455"/>
      <c r="AM9" s="2750"/>
      <c r="AN9" s="1455"/>
      <c r="AO9" s="2750"/>
      <c r="AP9" s="1455"/>
      <c r="AQ9" s="2750"/>
      <c r="AR9" s="1455"/>
      <c r="AS9" s="2750"/>
      <c r="AT9" s="1455"/>
      <c r="AU9" s="2750"/>
      <c r="AV9" s="1455"/>
      <c r="AW9" s="2750"/>
      <c r="AX9" s="1455"/>
      <c r="AY9" s="2750"/>
      <c r="AZ9" s="1455"/>
      <c r="BA9" s="2750"/>
      <c r="BB9" s="1455"/>
      <c r="BC9" s="2758"/>
      <c r="BD9" s="2759"/>
      <c r="BE9" s="2764"/>
      <c r="BF9" s="2764"/>
      <c r="BG9" s="1099" t="s">
        <v>308</v>
      </c>
      <c r="BH9" s="1494"/>
      <c r="BI9" s="1494"/>
      <c r="BJ9" s="1494"/>
      <c r="BK9" s="1494"/>
      <c r="BL9" s="1494"/>
      <c r="BM9" s="1494"/>
      <c r="BN9" s="1494"/>
      <c r="BO9" s="1494"/>
      <c r="BP9" s="1491"/>
      <c r="BQ9" s="1099"/>
      <c r="BR9" s="1099"/>
      <c r="BS9" s="1099"/>
      <c r="BT9" s="1099"/>
      <c r="BU9" s="1099"/>
      <c r="BV9" s="1099"/>
      <c r="BW9" s="1099"/>
      <c r="BX9" s="1099"/>
      <c r="BY9" s="1099"/>
      <c r="BZ9" s="1099"/>
      <c r="CA9" s="1099"/>
      <c r="CB9" s="1099"/>
      <c r="CC9" s="1099"/>
      <c r="CD9" s="1099"/>
      <c r="CE9" s="1099"/>
      <c r="CF9" s="1099"/>
      <c r="CG9" s="1100"/>
      <c r="CH9" s="1457">
        <f ca="1">COUNTBLANK($CI$5:$CI9)</f>
        <v>2</v>
      </c>
      <c r="CI9" s="1458"/>
      <c r="CJ9" s="1459">
        <f>H9</f>
        <v>90</v>
      </c>
      <c r="CK9" s="1458"/>
      <c r="CL9" s="1106">
        <f ca="1">I9</f>
        <v>2.5740740740740745E-2</v>
      </c>
      <c r="CM9" s="1493"/>
      <c r="CN9" s="1107"/>
      <c r="CO9" s="1107"/>
      <c r="CP9" s="1108" t="s">
        <v>117</v>
      </c>
      <c r="CQ9" s="1104"/>
      <c r="CR9" s="1109">
        <f ca="1">F9/H9</f>
        <v>2.5740740740740745E-2</v>
      </c>
      <c r="CS9" s="1461"/>
      <c r="CT9" s="1462" t="str">
        <f t="shared" si="1"/>
        <v>WAN</v>
      </c>
      <c r="CU9" s="1462">
        <f>IF(ISERROR(FIND("_",CW9)),CW9,LEFT(CW9,FIND("_",CW9)-1))</f>
        <v>0</v>
      </c>
      <c r="CV9" s="1463">
        <f>H9</f>
        <v>90</v>
      </c>
      <c r="CW9" s="1901"/>
      <c r="CX9" s="1462"/>
      <c r="CY9" s="1915"/>
      <c r="CZ9" s="1909"/>
      <c r="DA9" s="1901"/>
      <c r="DB9" s="1464"/>
      <c r="DC9" s="1464"/>
      <c r="DD9" s="1464"/>
      <c r="DE9" s="1464"/>
      <c r="DF9" s="1465"/>
      <c r="DG9" s="1117"/>
      <c r="DH9" s="1495"/>
      <c r="DI9" s="1460"/>
      <c r="DJ9" s="1496"/>
      <c r="DK9" s="1497"/>
      <c r="DL9" s="1124"/>
      <c r="DM9" s="1125"/>
      <c r="DN9" s="1125"/>
      <c r="DO9" s="1126"/>
      <c r="DP9" s="1126"/>
      <c r="DQ9" s="1127"/>
      <c r="DR9" s="1124"/>
      <c r="DS9" s="1125"/>
      <c r="DT9" s="1125"/>
      <c r="DU9" s="1126"/>
      <c r="DV9" s="1126"/>
      <c r="DW9" s="1127"/>
      <c r="DX9" s="1124"/>
      <c r="DY9" s="1125"/>
      <c r="DZ9" s="1125"/>
      <c r="EA9" s="1126"/>
      <c r="EB9" s="1126"/>
      <c r="EC9" s="1127"/>
      <c r="ED9" s="1124"/>
      <c r="EE9" s="1125"/>
      <c r="EF9" s="1125"/>
      <c r="EG9" s="1126"/>
      <c r="EH9" s="1126"/>
      <c r="EI9" s="1127"/>
      <c r="EJ9" s="1124"/>
      <c r="EK9" s="1460"/>
      <c r="EL9" s="1460"/>
      <c r="EM9" s="1496"/>
      <c r="EN9" s="1496"/>
      <c r="EO9" s="1498"/>
      <c r="EP9" s="1124"/>
      <c r="EQ9" s="1499"/>
      <c r="ER9" s="1460"/>
      <c r="ES9" s="1496"/>
      <c r="ET9" s="1496"/>
      <c r="EU9" s="1498"/>
      <c r="EV9" s="1124"/>
      <c r="EW9" s="1499"/>
      <c r="EX9" s="1460"/>
      <c r="EY9" s="1496"/>
      <c r="EZ9" s="1496"/>
      <c r="FA9" s="1498"/>
      <c r="FB9" s="1124"/>
      <c r="FC9" s="1499"/>
      <c r="FD9" s="1460"/>
      <c r="FE9" s="1496"/>
      <c r="FF9" s="1496"/>
      <c r="FG9" s="1498"/>
      <c r="FH9" s="1124"/>
      <c r="FI9" s="1499"/>
      <c r="FJ9" s="1460"/>
      <c r="FK9" s="1496"/>
      <c r="FL9" s="1496"/>
      <c r="FM9" s="1498"/>
      <c r="FN9" s="1124"/>
      <c r="FO9" s="1499"/>
      <c r="FP9" s="1460"/>
      <c r="FQ9" s="1496"/>
      <c r="FR9" s="1496"/>
      <c r="FS9" s="1498"/>
      <c r="FT9" s="1124"/>
      <c r="FU9" s="1499"/>
      <c r="FV9" s="1460"/>
      <c r="FW9" s="1496"/>
      <c r="FX9" s="1496"/>
      <c r="FY9" s="1498"/>
      <c r="FZ9" s="1124"/>
      <c r="GA9" s="1499"/>
      <c r="GB9" s="1460"/>
      <c r="GC9" s="1496"/>
      <c r="GD9" s="1496"/>
      <c r="GE9" s="1498"/>
      <c r="GF9" s="1124"/>
      <c r="GG9" s="1499"/>
      <c r="GH9" s="1460"/>
      <c r="GI9" s="1496"/>
      <c r="GJ9" s="1496"/>
      <c r="GK9" s="1498"/>
      <c r="GL9" s="1124"/>
      <c r="GM9" s="1499"/>
      <c r="GN9" s="1460"/>
      <c r="GO9" s="1496"/>
      <c r="GP9" s="1496"/>
      <c r="GQ9" s="1498"/>
      <c r="GR9" s="1124"/>
      <c r="GS9" s="1499"/>
      <c r="GT9" s="1460"/>
      <c r="GU9" s="1496"/>
      <c r="GV9" s="1496"/>
      <c r="GW9" s="1498"/>
      <c r="GX9" s="1500"/>
      <c r="GY9" s="1466"/>
      <c r="GZ9" s="2470"/>
      <c r="HA9" s="1493">
        <f>H9</f>
        <v>90</v>
      </c>
      <c r="HB9" s="2867">
        <f>12*LN(H9)^2+20</f>
        <v>262.97944483037321</v>
      </c>
      <c r="HC9" s="2868"/>
    </row>
    <row r="10" spans="1:211" ht="15" customHeight="1" x14ac:dyDescent="0.15">
      <c r="A10" s="896" t="str">
        <f ca="1">CT10</f>
        <v>R1</v>
      </c>
      <c r="B10" s="201" t="str">
        <f ca="1">IF(CK11&gt;0,CONCATENATE("R",CJ11,"_Remote Site ",CJ11),"")</f>
        <v>R1_Remote Site 1</v>
      </c>
      <c r="C10" s="185"/>
      <c r="D10" s="185"/>
      <c r="E10" s="372">
        <f ca="1">SUM(C10:OFFSET(C10,MATCH(BG10,OFFSET(BG10,1,0):BG$19,0)-1,0))</f>
        <v>3</v>
      </c>
      <c r="F10" s="373">
        <f ca="1">SUM(G10:OFFSET(G10,MATCH(BG10,OFFSET(BG10,1,0):BG$19,0)-1,0))</f>
        <v>2.3166666666666669</v>
      </c>
      <c r="G10" s="897"/>
      <c r="H10" s="2479">
        <v>90</v>
      </c>
      <c r="I10" s="189">
        <f ca="1">IF(H10&gt;0,CR10,0)</f>
        <v>2.5740740740740745E-2</v>
      </c>
      <c r="J10" s="1501"/>
      <c r="K10" s="1502"/>
      <c r="L10" s="1502"/>
      <c r="M10" s="1502"/>
      <c r="N10" s="1502"/>
      <c r="O10" s="1502"/>
      <c r="P10" s="1502"/>
      <c r="Q10" s="1502"/>
      <c r="R10" s="1503"/>
      <c r="S10" s="2480">
        <v>0</v>
      </c>
      <c r="T10" s="168"/>
      <c r="U10" s="169"/>
      <c r="V10" s="760"/>
      <c r="W10" s="2679"/>
      <c r="X10" s="2734">
        <f>DJ10</f>
        <v>0</v>
      </c>
      <c r="Y10" s="2752"/>
      <c r="Z10" s="2753"/>
      <c r="AA10" s="2752"/>
      <c r="AB10" s="2753"/>
      <c r="AC10" s="2752"/>
      <c r="AD10" s="78"/>
      <c r="AE10" s="2752"/>
      <c r="AF10" s="2753"/>
      <c r="AG10" s="2752"/>
      <c r="AH10" s="2753"/>
      <c r="AI10" s="2752"/>
      <c r="AJ10" s="2753"/>
      <c r="AK10" s="2752"/>
      <c r="AL10" s="2753"/>
      <c r="AM10" s="2752"/>
      <c r="AN10" s="2753"/>
      <c r="AO10" s="2752"/>
      <c r="AP10" s="2753"/>
      <c r="AQ10" s="2752"/>
      <c r="AR10" s="2753"/>
      <c r="AS10" s="2752"/>
      <c r="AT10" s="2753"/>
      <c r="AU10" s="2752"/>
      <c r="AV10" s="2753"/>
      <c r="AW10" s="2752"/>
      <c r="AX10" s="2753"/>
      <c r="AY10" s="2752"/>
      <c r="AZ10" s="2753"/>
      <c r="BA10" s="2752"/>
      <c r="BB10" s="2753"/>
      <c r="BC10" s="2760"/>
      <c r="BD10" s="2761"/>
      <c r="BE10" s="2477"/>
      <c r="BF10" s="2477"/>
      <c r="BG10" s="2737" t="s">
        <v>1179</v>
      </c>
      <c r="BH10" s="1505"/>
      <c r="BI10" s="1505"/>
      <c r="BJ10" s="1505"/>
      <c r="BK10" s="1505"/>
      <c r="BL10" s="1505"/>
      <c r="BM10" s="1505"/>
      <c r="BN10" s="1505"/>
      <c r="BO10" s="1505"/>
      <c r="BP10" s="1506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1507">
        <f ca="1">200+COUNTBLANK($CJ$5:$CJ10)</f>
        <v>201</v>
      </c>
      <c r="CI10" s="1508">
        <f>H10</f>
        <v>90</v>
      </c>
      <c r="CJ10" s="1502"/>
      <c r="CK10" s="952"/>
      <c r="CL10" s="61">
        <f ca="1">+CR10</f>
        <v>2.5740740740740745E-2</v>
      </c>
      <c r="CM10" s="1509">
        <f>S10</f>
        <v>0</v>
      </c>
      <c r="CN10" s="62"/>
      <c r="CO10" s="62"/>
      <c r="CP10" s="1510" t="s">
        <v>117</v>
      </c>
      <c r="CQ10" s="1504">
        <f>AC10</f>
        <v>0</v>
      </c>
      <c r="CR10" s="768">
        <f ca="1">IF($H10&gt;0,$F10/$H10,0)</f>
        <v>2.5740740740740745E-2</v>
      </c>
      <c r="CS10" s="1511"/>
      <c r="CT10" s="1512" t="str">
        <f t="shared" ca="1" si="1"/>
        <v>R1</v>
      </c>
      <c r="CU10" s="1512">
        <f>IF(ISERROR(FIND("_",CW10)),CW10,LEFT(CW10,FIND("_",CW10)-1))</f>
        <v>0</v>
      </c>
      <c r="CV10" s="1513">
        <f>H10</f>
        <v>90</v>
      </c>
      <c r="CW10" s="1902"/>
      <c r="CX10" s="1512"/>
      <c r="CY10" s="1897"/>
      <c r="CZ10" s="1513"/>
      <c r="DA10" s="1902"/>
      <c r="DB10" s="935"/>
      <c r="DC10" s="935"/>
      <c r="DD10" s="935"/>
      <c r="DE10" s="935"/>
      <c r="DF10" s="936"/>
      <c r="DG10" s="5"/>
      <c r="DH10" s="1514"/>
      <c r="DI10" s="1515"/>
      <c r="DJ10" s="1516"/>
      <c r="DK10" s="1517"/>
      <c r="DL10" s="804"/>
      <c r="DM10" s="805"/>
      <c r="DN10" s="805"/>
      <c r="DO10" s="28"/>
      <c r="DP10" s="28"/>
      <c r="DQ10" s="806"/>
      <c r="DR10" s="804"/>
      <c r="DS10" s="805"/>
      <c r="DT10" s="805"/>
      <c r="DU10" s="28"/>
      <c r="DV10" s="28"/>
      <c r="DW10" s="806"/>
      <c r="DX10" s="804"/>
      <c r="DY10" s="805"/>
      <c r="DZ10" s="805"/>
      <c r="EA10" s="28"/>
      <c r="EB10" s="28"/>
      <c r="EC10" s="806"/>
      <c r="ED10" s="804"/>
      <c r="EE10" s="805"/>
      <c r="EF10" s="805"/>
      <c r="EG10" s="28"/>
      <c r="EH10" s="28"/>
      <c r="EI10" s="806"/>
      <c r="EJ10" s="804"/>
      <c r="EK10" s="1515"/>
      <c r="EL10" s="1515"/>
      <c r="EM10" s="1516"/>
      <c r="EN10" s="1516"/>
      <c r="EO10" s="1515"/>
      <c r="EP10" s="804"/>
      <c r="EQ10" s="1518"/>
      <c r="ER10" s="1515"/>
      <c r="ES10" s="1516"/>
      <c r="ET10" s="1516"/>
      <c r="EU10" s="1515"/>
      <c r="EV10" s="804"/>
      <c r="EW10" s="1518"/>
      <c r="EX10" s="1515"/>
      <c r="EY10" s="1516"/>
      <c r="EZ10" s="1516"/>
      <c r="FA10" s="1519"/>
      <c r="FB10" s="804"/>
      <c r="FC10" s="1518"/>
      <c r="FD10" s="1515"/>
      <c r="FE10" s="1516"/>
      <c r="FF10" s="1516"/>
      <c r="FG10" s="1519"/>
      <c r="FH10" s="804"/>
      <c r="FI10" s="1518"/>
      <c r="FJ10" s="1515"/>
      <c r="FK10" s="1516"/>
      <c r="FL10" s="1516"/>
      <c r="FM10" s="1519"/>
      <c r="FN10" s="804"/>
      <c r="FO10" s="1518"/>
      <c r="FP10" s="1515"/>
      <c r="FQ10" s="1516"/>
      <c r="FR10" s="1516"/>
      <c r="FS10" s="1519"/>
      <c r="FT10" s="804"/>
      <c r="FU10" s="1518"/>
      <c r="FV10" s="1515"/>
      <c r="FW10" s="1516"/>
      <c r="FX10" s="1516"/>
      <c r="FY10" s="1519"/>
      <c r="FZ10" s="804"/>
      <c r="GA10" s="1518"/>
      <c r="GB10" s="1515"/>
      <c r="GC10" s="1516"/>
      <c r="GD10" s="1516"/>
      <c r="GE10" s="1519"/>
      <c r="GF10" s="804"/>
      <c r="GG10" s="1518"/>
      <c r="GH10" s="1520"/>
      <c r="GI10" s="1516"/>
      <c r="GJ10" s="1516"/>
      <c r="GK10" s="1519"/>
      <c r="GL10" s="804"/>
      <c r="GM10" s="1518"/>
      <c r="GN10" s="1520"/>
      <c r="GO10" s="1516"/>
      <c r="GP10" s="1516"/>
      <c r="GQ10" s="1519"/>
      <c r="GR10" s="804"/>
      <c r="GS10" s="1518"/>
      <c r="GT10" s="1515"/>
      <c r="GU10" s="1516"/>
      <c r="GV10" s="1516"/>
      <c r="GW10" s="1519"/>
      <c r="GX10" s="1521"/>
      <c r="GY10" s="1522"/>
      <c r="GZ10" s="2472"/>
      <c r="HA10" s="2477">
        <f>H10</f>
        <v>90</v>
      </c>
      <c r="HB10" s="2869">
        <f>12*LN(H10)^2+20</f>
        <v>262.97944483037321</v>
      </c>
      <c r="HC10" s="2869">
        <f>12*LN(H10)^2+20</f>
        <v>262.97944483037321</v>
      </c>
    </row>
    <row r="11" spans="1:211" s="1490" customFormat="1" ht="15" customHeight="1" x14ac:dyDescent="0.2">
      <c r="A11" s="1467" t="str">
        <f>IF($A$4=$H$167,$CI11&amp;"."&amp;$CJ11&amp;"."&amp;$CK11,CT11)</f>
        <v>S CitrixEdit</v>
      </c>
      <c r="B11" s="159" t="s">
        <v>211</v>
      </c>
      <c r="C11" s="1468">
        <v>1</v>
      </c>
      <c r="D11" s="1469"/>
      <c r="E11" s="537">
        <f>IF(D11&lt;1000,IF(SUM(C11:D11)=0,0,IF(AND(D$1=H$173,T11=0),CS11,IF(T$2=$H$178,X11,IF(T$2=$H$179,IF(T11&gt;0,  IF(CR11&gt;X11,X11,CS11),CS11),E11)))),X11)</f>
        <v>10</v>
      </c>
      <c r="F11" s="538">
        <f>IF($T$2=$H$177,0,IF($D$4=Calculator!$A$162,C11*E11+D11/60,IF(OR($D$4=Calculator!$A$163,D11&lt;1000),(C11+D11)*E11,C11*E11+D11/60)))</f>
        <v>10</v>
      </c>
      <c r="G11" s="803">
        <f>IF(SUM($C11:$D11)&gt;0,F11*$I11/60,0)</f>
        <v>1.25</v>
      </c>
      <c r="H11" s="925" t="str">
        <f>W11&amp;CU11&amp;" {"&amp;TEXT(F11*60,"###,##0")&amp;"}"</f>
        <v>DB {600}</v>
      </c>
      <c r="I11" s="540">
        <f>$BG11</f>
        <v>7.5</v>
      </c>
      <c r="J11" s="926" t="s">
        <v>382</v>
      </c>
      <c r="K11" s="926" t="s">
        <v>382</v>
      </c>
      <c r="L11" s="927" t="s">
        <v>382</v>
      </c>
      <c r="M11" s="927" t="s">
        <v>382</v>
      </c>
      <c r="N11" s="927" t="s">
        <v>382</v>
      </c>
      <c r="O11" s="927" t="s">
        <v>382</v>
      </c>
      <c r="P11" s="928" t="str">
        <f>IF(OR(AND($O11=$A$167,  $O$5=$A$167),AND($O11=$A$167,  $O$5=$A$187)), IF(BL11&gt;0,IF($N11=$A$167,$N$5,$N11), IF(BI11&gt;0,  IF($K11=$A$167,$K$5,$K11), IF($J11=$A$167,$J$5,$J11))),IF(O11=$A$167,O$5,O11))</f>
        <v>WTS</v>
      </c>
      <c r="Q11" s="929" t="s">
        <v>382</v>
      </c>
      <c r="R11" s="160" t="s">
        <v>1055</v>
      </c>
      <c r="S11" s="1470">
        <f>VLOOKUP($B11,wfRange,Workflow!B$1,FALSE)</f>
        <v>10</v>
      </c>
      <c r="T11" s="1245">
        <f>CP11</f>
        <v>3</v>
      </c>
      <c r="U11" s="546">
        <f ca="1">IF(F11=0,T11,60/E11-V11)</f>
        <v>5.5527096590064788</v>
      </c>
      <c r="V11" s="759">
        <f ca="1">IF(F11=0,0,SUM(Y11:BF11))</f>
        <v>0.4472903409935215</v>
      </c>
      <c r="W11" s="2682"/>
      <c r="X11" s="2733">
        <f>CQ11</f>
        <v>10</v>
      </c>
      <c r="Y11" s="2751">
        <f>IF(SUM($C11:$D11)&gt;0,$K$85*CF11,0)*1/VLOOKUP(B11,wfRange,Workflow!N$1,FALSE)</f>
        <v>3.186157458904957E-2</v>
      </c>
      <c r="Z11" s="1474">
        <f>IF(Y11&gt;0, IF($A$83&lt;0.9999,   IF($T11=0,  MAX($CL$2*Y11*$Q$82,$CL$2*Y11*$Q$81),  MAX(Y11*$Q$82,Y11*$Q$81)),  Y11*200),0)</f>
        <v>3.0020259687703874E-4</v>
      </c>
      <c r="AA11" s="2751">
        <f>IF(SUM($C11:$D11)&gt;0,$K$81*CE11,0)*1/VLOOKUP(B11,wfRange,Workflow!N$1,FALSE)</f>
        <v>0</v>
      </c>
      <c r="AB11" s="1474">
        <f>IF(AA11&gt;0, IF($A$79&lt;0.9999,   IF($T11=0,  MAX($CL$2*AA11*$Q$78,$CL$2*AA11*$Q$77),  MAX(AA11*$Q$78,AA11*$Q$77)),  AA11*200),0)</f>
        <v>0</v>
      </c>
      <c r="AC11" s="2751">
        <f>IF(SUM($C11:$D11)&gt;0,$K$77*CD11,0)*1/VLOOKUP(B11,wfRange,Workflow!N$1,FALSE)</f>
        <v>0</v>
      </c>
      <c r="AD11" s="1474">
        <f>IF(AC11&gt;0, IF($A$75&lt;0.9999,   IF($T11=0,  MAX($CL$2*AC11*$Q$74,$CL$2*AC11*$Q$73),  MAX(AC11*$Q$74,AC11*$Q$73)),  AC11*200),0)</f>
        <v>0</v>
      </c>
      <c r="AE11" s="2751">
        <f>IF(SUM($C11:$D11)&gt;0,$K$73*CC11,0)*1/VLOOKUP(B11,wfRange,Workflow!N$1,FALSE)</f>
        <v>0</v>
      </c>
      <c r="AF11" s="1474">
        <f>IF(AE11&gt;0, IF($A$71&lt;0.9999,   IF($T11=0,  MAX($CL$2*AE11*$Q$70,$CL$2*AE11*$Q$69),  MAX(AE11*$Q$70,AE11*$Q$69)),  AE11*200),0)</f>
        <v>0</v>
      </c>
      <c r="AG11" s="2751">
        <f>IF(SUM($C11:$D11)&gt;0,$K$69*CB11,0)*1/VLOOKUP(B11,wfRange,Workflow!N$1,FALSE)</f>
        <v>0.28675417130144609</v>
      </c>
      <c r="AH11" s="1474">
        <f>IF(AG11&gt;0, IF($A$67&lt;0.9999,   IF($T11=0,  MAX($CL$2*AG11*$Q$66,$CL$2*AG11*$Q$64),  MAX(AG11*$Q$66,AG11*$Q$64)),  AG11*200),0)</f>
        <v>1.2587720544940752E-2</v>
      </c>
      <c r="AI11" s="2751">
        <f>IF(SUM($C11:$D11)&gt;0,$K$64*CA11,0)*1/VLOOKUP(B11,wfRange,Workflow!N$1,FALSE)</f>
        <v>0</v>
      </c>
      <c r="AJ11" s="1474">
        <f>IF(AI11&gt;0, IF($A$62&lt;0.9999,   IF($T11=0,  MAX($CL$2*AI11*$Q$61,$CL$2*AI11*$Q$60),  MAX(AI11*$Q$61,AI11*$Q$60)),  AI11*200),0)</f>
        <v>0</v>
      </c>
      <c r="AK11" s="2751">
        <f>IF(SUM($C11:$D11)&gt;0,$K$60*BZ11,0)*1/VLOOKUP(B11,wfRange,Workflow!N$1,FALSE)</f>
        <v>0</v>
      </c>
      <c r="AL11" s="1474">
        <f>IF(AK11&gt;0, IF($A$58&lt;0.9999,   IF($T11=0,  MAX($CL$2*AK11*$Q$57,$CL$2*AK11*$Q$56),  MAX(AK11*$Q$57,AK11*$Q$56)),  AK11*200),0)</f>
        <v>0</v>
      </c>
      <c r="AM11" s="2751">
        <f>IF(SUM($C11:$D11)&gt;0,$K$56*BY11,0)*1/VLOOKUP(B11,wfRange,Workflow!N$1,FALSE)</f>
        <v>0</v>
      </c>
      <c r="AN11" s="1474">
        <f>IF(AM11&gt;0, IF($A$54&lt;0.9999,   IF($T11=0,  MAX($CL$2*AM11*$Q$53,$CL$2*AM11*$Q$52),  MAX(AM11*$Q$53,AM11*$Q$52)),  AM11*200),0)</f>
        <v>0</v>
      </c>
      <c r="AO11" s="2751">
        <f>IF(SUM($C11:$D11)&gt;0,$K$52*BX11,0)*1/VLOOKUP(B11,wfRange,Workflow!N$1,FALSE)</f>
        <v>0</v>
      </c>
      <c r="AP11" s="1474">
        <f>IF(AO11&gt;0, IF($A$50&lt;0.9999,   IF($T11=0,  MAX($CL$2*AO11*$Q$49,$CL$2*AO11*$Q$48),  MAX(AO11*$Q$49,AO11*$Q$48)),  AO11*200),0)</f>
        <v>0</v>
      </c>
      <c r="AQ11" s="2751">
        <f>IF(SUM($C11:$D11)&gt;0,$K$48*BW11,0)*1/VLOOKUP(B11,wfRange,Workflow!N$1,FALSE)</f>
        <v>0</v>
      </c>
      <c r="AR11" s="1474">
        <f>IF(AQ11&gt;0, IF($A$46&lt;0.9999,   IF($T11=0,  MAX($CL$2*AQ11*$Q$45,$CL$2*AQ11*$Q$43),  MAX(AQ11*$Q$45,AQ11*$Q$43)),  AQ11*200),0)</f>
        <v>0</v>
      </c>
      <c r="AS11" s="2751">
        <f>IF(SUM($C11:$D11)&gt;0,$K$43*BV11,0)*1/VLOOKUP(B11,wfRange,Workflow!N$1,FALSE)</f>
        <v>0</v>
      </c>
      <c r="AT11" s="1474">
        <f>IF(AS11&gt;0, IF($A$41&lt;0.9999,   IF($T11=0,  MAX($CL$2*AS11*$Q$40,$CL$2*AS11*$Q$39),  MAX(AS11*$Q$40,AS11*$Q$39)),  AS11*200),0)</f>
        <v>0</v>
      </c>
      <c r="AU11" s="2751">
        <f>IF(SUM($C11:$D11)&gt;0,$K$39*BU11,0)*1/VLOOKUP(B11,wfRange,Workflow!N$1,FALSE)</f>
        <v>0</v>
      </c>
      <c r="AV11" s="1474">
        <f>IF(AU11&gt;0, IF($A$37&lt;0.9999,   IF($T11=0,  MAX($CL$2*AU11*$Q$36,$CL$2*AU11*$Q$35),  MAX(AU11*$Q$36,AU11*$Q$35)),  AU11*200),0)</f>
        <v>0</v>
      </c>
      <c r="AW11" s="2751">
        <f>IF(SUM($C11:$D11)&gt;0,$K$35*BT11,0)*1/VLOOKUP(B11,wfRange,Workflow!N$1,FALSE)</f>
        <v>0</v>
      </c>
      <c r="AX11" s="1474">
        <f>IF(AW11&gt;0, IF($A$33&lt;0.9999,   IF($T11=0,  MAX($CL$2*AW11*$Q$32,$CL$2*AW11*$Q$31),  MAX(AW11*$Q$32,AW11*$Q$31)),  AW11*200),0)</f>
        <v>0</v>
      </c>
      <c r="AY11" s="2751">
        <f>IF(SUM($C11:$D11)&gt;0,$K$31*BS11,0)*1/VLOOKUP(B11,wfRange,Workflow!N$1,FALSE)</f>
        <v>0</v>
      </c>
      <c r="AZ11" s="1474">
        <f>IF(AY11&gt;0, IF($A$29&lt;0.9999,   IF($T11=0,  MAX($CL$2*AY11*$Q$28,$CL$2*AY11*$Q$27),  MAX(AY11*$Q$28,AY11*$Q$27)),  AY11*200),0)</f>
        <v>0</v>
      </c>
      <c r="BA11" s="2751">
        <f>IF(SUM($C11:$D11)&gt;0,$K$27*BR11,0)*1/VLOOKUP(B11,wfRange,Workflow!N$1,FALSE)</f>
        <v>0</v>
      </c>
      <c r="BB11" s="1474">
        <f>IF(BA11&gt;0, IF($A$25&lt;0.9999,   IF($T11=0,  MAX($CL$2*BA11*$Q$24,$CL$2*BA11*$Q$23),  MAX(BA11*$Q$24,BA11*$Q$23)),  BA11*200),0)</f>
        <v>0</v>
      </c>
      <c r="BC11" s="2751">
        <f ca="1">IF(SUM($C11:$D11)&gt;0,IF($CJ11&gt;0,IF($CO11&gt;$CN11,$I11/$CN11,$I11/$CO11),$I11/$CN11),0)</f>
        <v>8.3333333333333329E-2</v>
      </c>
      <c r="BD11" s="930">
        <f ca="1">IF(BC11&gt;0,IF(CL11&lt;0.9999,BC11*CL11/((1+$CK$2*CL11)*(1-CL11)),BC11*500),0)</f>
        <v>2.1464839580436681E-3</v>
      </c>
      <c r="BE11" s="2765">
        <f ca="1">IF(SUM($C11:$D11)&gt;0,IF(CJ11&gt;0,VLOOKUP($CJ11+200,NL,6,FALSE)*S11,0),0)/1000</f>
        <v>0</v>
      </c>
      <c r="BF11" s="2765">
        <f>IF(SUM($C11:$D11)&gt;0,BQ11*$BO$2/$G$22,0)*1/VLOOKUP(B11,wfRange,Workflow!N$1,FALSE)</f>
        <v>3.0306854669831077E-2</v>
      </c>
      <c r="BG11" s="2736">
        <f>IF($CW11="desktop",VLOOKUP($R11,DataArray,5,FALSE)* VLOOKUP($B11,wfRange,Workflow!C$1,FALSE), VLOOKUP($B11,wfRange,Workflow!C$1,FALSE))</f>
        <v>7.5</v>
      </c>
      <c r="BH11" s="1476">
        <f>IF(CW11="Desktop", VLOOKUP($R11,DataArray,4,FALSE)* IF(ISERROR(FIND("File",$R11)), VLOOKUP($B11,wfRange,Workflow!D$1,FALSE), VLOOKUP($B11,wfRange,Workflow!D$1,FALSE)+ VLOOKUP($B11,wfRange,Workflow!I$1,FALSE)+ VLOOKUP($B11,wfRange,Workflow!K$1,FALSE)), VLOOKUP($B11,wfRange,Workflow!D$1,FALSE))</f>
        <v>2.5289841565703634E-2</v>
      </c>
      <c r="BI11" s="542">
        <f>IF(VLOOKUP($B11,wfRange,Workflow!E$1,FALSE)&gt;0, VLOOKUP($R11,DataArray,4,FALSE)* IF(ISERROR(FIND("File",$R11)),   VLOOKUP($B11,wfRange,Workflow!E$1,FALSE),     VLOOKUP($B11,wfRange,Workflow!E$1,FALSE)+ VLOOKUP($B11,wfRange,Workflow!I$1,FALSE)+ VLOOKUP($B11,wfRange,Workflow!K$1,FALSE)),0)</f>
        <v>0.24025349487418457</v>
      </c>
      <c r="BJ11" s="543">
        <f>VLOOKUP($B11,wfRange,Workflow!F$1,FALSE)</f>
        <v>0</v>
      </c>
      <c r="BK11" s="543">
        <f>MAX(VLOOKUP($B11,wfRange,Workflow!G$1,FALSE),IF(W11=$BB$22,$BC$22,0))</f>
        <v>0</v>
      </c>
      <c r="BL11" s="543">
        <f>IF(VLOOKUP($B11,wfRange,Workflow!H$1,FALSE)&gt;0,VLOOKUP($R11,DataArray,4,FALSE)* IF(ISERROR(FIND("File",$R11)),VLOOKUP($B11,wfRange,Workflow!H$1,FALSE),VLOOKUP($B11,wfRange,Workflow!H$1,FALSE)+VLOOKUP($B11,wfRange,Workflow!I$1,FALSE)+VLOOKUP($B11,wfRange,Workflow!K$1,FALSE)),0)</f>
        <v>0</v>
      </c>
      <c r="BM11" s="544">
        <f>VLOOKUP($R11,DataArray,3,FALSE)* VLOOKUP($B11,wfRange,Workflow!I$1,FALSE)</f>
        <v>3.0031686859273071E-2</v>
      </c>
      <c r="BN11" s="545">
        <f>VLOOKUP($R11,DataArray,5,FALSE)* VLOOKUP($B11,wfRange,Workflow!J$1,FALSE)</f>
        <v>10</v>
      </c>
      <c r="BO11" s="544">
        <f>VLOOKUP($R11,DataArray,2,FALSE)* VLOOKUP($B11,wfRange,Workflow!K$1,FALSE)</f>
        <v>3.0031686859273071E-2</v>
      </c>
      <c r="BP11" s="753">
        <f>SUM(BH11:BM11,BO11)</f>
        <v>0.32560671015843434</v>
      </c>
      <c r="BQ11" s="1471">
        <f t="shared" ref="BQ11:CF13" si="3">IF(OR($J11=BQ$4,AND($J11=$A$167,$J$5=BQ$4)),$BH11)+IF(OR($K11=BQ$4,AND($K11=$A$167,$K$5=BQ$4)),$BI11)+IF(OR($L11=BQ$4,AND($L11=$A$167,$L$5=BQ$4)),$BJ11)+IF(OR($M11=BQ$4,AND($M11=$A$167,$M$5=BQ$4)),$BK11)+IF(OR($N11=BQ$4,AND($N11=$A$167,$N$5=BQ$4)),$BL11)+IF($P11=BQ$4,$BM11)+IF(OR($Q11=BQ$4,AND($Q11=$A$167,$Q$5=BQ$4)),$BO11)</f>
        <v>2.5289841565703634E-2</v>
      </c>
      <c r="BR11" s="1472">
        <f t="shared" si="3"/>
        <v>0</v>
      </c>
      <c r="BS11" s="1472">
        <f t="shared" si="3"/>
        <v>0</v>
      </c>
      <c r="BT11" s="1472">
        <f t="shared" si="3"/>
        <v>0</v>
      </c>
      <c r="BU11" s="1472">
        <f t="shared" si="3"/>
        <v>0</v>
      </c>
      <c r="BV11" s="1472">
        <f t="shared" si="3"/>
        <v>0</v>
      </c>
      <c r="BW11" s="1472">
        <f t="shared" si="3"/>
        <v>0</v>
      </c>
      <c r="BX11" s="1472">
        <f t="shared" si="3"/>
        <v>0</v>
      </c>
      <c r="BY11" s="1472">
        <f t="shared" si="3"/>
        <v>0</v>
      </c>
      <c r="BZ11" s="1472">
        <f t="shared" si="3"/>
        <v>0</v>
      </c>
      <c r="CA11" s="1472">
        <f t="shared" si="3"/>
        <v>0</v>
      </c>
      <c r="CB11" s="1472">
        <f t="shared" si="3"/>
        <v>0.27028518173345761</v>
      </c>
      <c r="CC11" s="1472">
        <f t="shared" si="3"/>
        <v>0</v>
      </c>
      <c r="CD11" s="1472">
        <f t="shared" si="3"/>
        <v>0</v>
      </c>
      <c r="CE11" s="1472">
        <f t="shared" si="3"/>
        <v>0</v>
      </c>
      <c r="CF11" s="1472">
        <f t="shared" si="3"/>
        <v>3.0031686859273071E-2</v>
      </c>
      <c r="CG11" s="541">
        <f>$BN11</f>
        <v>10</v>
      </c>
      <c r="CH11" s="951">
        <f ca="1">CJ11+100</f>
        <v>101</v>
      </c>
      <c r="CI11" s="951">
        <f ca="1">COUNTBLANK($CI$5:$CI11)</f>
        <v>2</v>
      </c>
      <c r="CJ11" s="951">
        <f ca="1">COUNTBLANK($CJ$5:$CJ11)</f>
        <v>1</v>
      </c>
      <c r="CK11" s="1477">
        <f ca="1">COUNTA($CK$5:$CK11)</f>
        <v>4</v>
      </c>
      <c r="CL11" s="547">
        <f ca="1">IF(CO11=0,VLOOKUP($CI11,NL,5,FALSE),IF(CO11&lt;CN11,VLOOKUP($CJ11+200,NL,5,FALSE),VLOOKUP($CI11,NL,5,FALSE)))</f>
        <v>2.5740740740740745E-2</v>
      </c>
      <c r="CM11" s="1475"/>
      <c r="CN11" s="548">
        <f ca="1">VLOOKUP($CI11,NL,3,FALSE)</f>
        <v>90</v>
      </c>
      <c r="CO11" s="549">
        <f ca="1">IF(CJ11&gt;0,VLOOKUP($CJ11+200,NL,2,FALSE),0)</f>
        <v>90</v>
      </c>
      <c r="CP11" s="570">
        <f>VLOOKUP($B11,wfRange,Workflow!L$1,FALSE)</f>
        <v>3</v>
      </c>
      <c r="CQ11" s="1473">
        <f>IF($CQ$5=1000,1000,VLOOKUP($B11,wfRange,Workflow!M$1,FALSE))</f>
        <v>10</v>
      </c>
      <c r="CR11" s="767">
        <f ca="1">IF(SUM($C11:$D11)&gt;0,IF(T11&gt;0,60/(T11+V11),60/V11),1000)</f>
        <v>17.404974361024603</v>
      </c>
      <c r="CS11" s="766">
        <f ca="1">IF(CR11&gt;E11,E11+ABS(CR11-E11)*$U$2/100,E11-ABS(CR11-E11)*$U$2/500)</f>
        <v>10.74049743610246</v>
      </c>
      <c r="CT11" s="1478" t="str">
        <f t="shared" si="1"/>
        <v>S CitrixEdit</v>
      </c>
      <c r="CU11" s="1478" t="str">
        <f>IF(ISERROR(FIND("_",R11)),R11,LEFT(R11,FIND("_",R11)-1))</f>
        <v>DB</v>
      </c>
      <c r="CV11" s="1479">
        <f>F11*60</f>
        <v>600</v>
      </c>
      <c r="CW11" s="1900" t="str">
        <f>VLOOKUP($B11,wfRange,Workflow!O$1,FALSE)</f>
        <v>Desktop</v>
      </c>
      <c r="CX11" s="1478">
        <f>IF(ISERROR(IF(CW11=" Imagery",MATCH(R11,ImageryDataList,0), MATCH(R11,MapDataList,0))),1,0)</f>
        <v>0</v>
      </c>
      <c r="CY11" s="1914">
        <f>IF(CW11=" imagery",IF($O11=$A$185,0,IF($O11=$A$186,0,1)),0)</f>
        <v>0</v>
      </c>
      <c r="CZ11" s="1908">
        <f>IF(AND(O11=$A$186,R11=Calculator!$C$171),1,0)</f>
        <v>0</v>
      </c>
      <c r="DA11" s="1900" t="str">
        <f>IF(BH11&gt;0.04*$BO$2/58,DA$4,"server")</f>
        <v>server</v>
      </c>
      <c r="DB11" s="1480"/>
      <c r="DC11" s="1480"/>
      <c r="DD11" s="1480"/>
      <c r="DE11" s="1480"/>
      <c r="DF11" s="1481"/>
      <c r="DG11" s="550"/>
      <c r="DH11" s="1482">
        <f>IF($BQ11&gt;0, IF(ISTEXT(DH$3), $C11+IF($D11&lt;1000,$D11,$D11/($E11*60)),0),0)</f>
        <v>1</v>
      </c>
      <c r="DI11" s="1483">
        <f>IF(DH11&gt;0,IF(ISTEXT(DH$3),$F11),0)</f>
        <v>10</v>
      </c>
      <c r="DJ11" s="1484">
        <f>IF(DH11&gt;0,IF(ISTEXT(DH$3),$G11),0)</f>
        <v>1.25</v>
      </c>
      <c r="DK11" s="1485">
        <f>$BQ11*DI11</f>
        <v>0.25289841565703636</v>
      </c>
      <c r="DL11" s="801" t="b">
        <f>ISERROR(MATCH(DN$3,$J11:$O11,0))</f>
        <v>1</v>
      </c>
      <c r="DM11" s="802">
        <f>IF($BR11&gt;0, IF(ISTEXT(DM$3), $C11+IF($D11&lt;1000,$D11,$D11/($E11*60)),0),0)</f>
        <v>0</v>
      </c>
      <c r="DN11" s="802">
        <f>IF(DM11&gt;0,IF(ISTEXT(DM$3),$F11),0)</f>
        <v>0</v>
      </c>
      <c r="DO11" s="539">
        <f>IF(DM11&gt;0,IF(ISTEXT(DM$3),$G11),0)</f>
        <v>0</v>
      </c>
      <c r="DP11" s="698">
        <f>IF($I11=0,0,IF(DM11&gt;0,DO11*$CG11/$I11,0))</f>
        <v>0</v>
      </c>
      <c r="DQ11" s="803">
        <f>$BR11*DN11</f>
        <v>0</v>
      </c>
      <c r="DR11" s="801" t="b">
        <f>ISERROR(MATCH(DT$3,$J11:$O11,0))</f>
        <v>1</v>
      </c>
      <c r="DS11" s="802">
        <f>IF($BS11&gt;0, IF(ISTEXT(DS$3), $C11+IF($D11&lt;1000,$D11,$D11/($E11*60)),0),0)</f>
        <v>0</v>
      </c>
      <c r="DT11" s="802">
        <f>IF(DS11&gt;0,IF(ISTEXT(DS$3),$F11),0)</f>
        <v>0</v>
      </c>
      <c r="DU11" s="539">
        <f>IF(DS11&gt;0,IF(ISTEXT(DS$3),$G11),0)</f>
        <v>0</v>
      </c>
      <c r="DV11" s="698">
        <f>IF($I11=0,0,IF(DS11&gt;0,DU11*$CG11/$I11,0))</f>
        <v>0</v>
      </c>
      <c r="DW11" s="803">
        <f>$BS11*DT11</f>
        <v>0</v>
      </c>
      <c r="DX11" s="801" t="b">
        <f>ISERROR(MATCH(DZ$3,$J11:$O11,0))</f>
        <v>1</v>
      </c>
      <c r="DY11" s="802">
        <f>IF($BT11&gt;0, IF(ISTEXT(DY$3), $C11+IF($D11&lt;1000,$D11,$D11/($E11*60)),0),0)</f>
        <v>0</v>
      </c>
      <c r="DZ11" s="802">
        <f>IF(DY11&gt;0,IF(ISTEXT(DY$3),$F11),0)</f>
        <v>0</v>
      </c>
      <c r="EA11" s="539">
        <f>IF(DY11&gt;0,IF(ISTEXT(DY$3),$G11),0)*IF($DX11=FALSE,IF($DZ$3=$D$184,1,$EA$3),1)</f>
        <v>0</v>
      </c>
      <c r="EB11" s="698">
        <f>IF($I11=0,0,IF(DY11&gt;0,EA11*$CG11/$I11,0))</f>
        <v>0</v>
      </c>
      <c r="EC11" s="803">
        <f>$BT11*DZ11</f>
        <v>0</v>
      </c>
      <c r="ED11" s="801" t="b">
        <f>ISERROR(MATCH(EF$3,$J11:$O11,0))</f>
        <v>1</v>
      </c>
      <c r="EE11" s="802">
        <f>IF($BU11&gt;0, IF(ISTEXT(EE$3), $C11+IF($D11&lt;1000,$D11,$D11/($E11*60)),0),0)</f>
        <v>0</v>
      </c>
      <c r="EF11" s="802">
        <f>IF(EE11&gt;0,IF(ISTEXT(EE$3),$F11),0)</f>
        <v>0</v>
      </c>
      <c r="EG11" s="539">
        <f>IF(EE11&gt;0,IF(ISTEXT(EE$3),$G11),0)</f>
        <v>0</v>
      </c>
      <c r="EH11" s="698">
        <f>IF($I11=0,0,IF(EE11&gt;0,EG11*$CG11/$I11,0))</f>
        <v>0</v>
      </c>
      <c r="EI11" s="803">
        <f>$BU11*EF11</f>
        <v>0</v>
      </c>
      <c r="EJ11" s="801" t="b">
        <f>ISERROR(MATCH(EL$3,$J11:$O11,0))</f>
        <v>1</v>
      </c>
      <c r="EK11" s="1483">
        <f>IF($BV11&gt;0, IF(ISTEXT(EK$3), $C11+IF($D11&lt;1000,$D11,$D11/($E11*60)),0),0)</f>
        <v>0</v>
      </c>
      <c r="EL11" s="1483">
        <f>IF(EK11&gt;0,IF(ISTEXT(EK$3),$F11),0)</f>
        <v>0</v>
      </c>
      <c r="EM11" s="1484">
        <f>IF(EK11&gt;0,IF(ISTEXT(EK$3),$G11),0)</f>
        <v>0</v>
      </c>
      <c r="EN11" s="1486">
        <f>IF($I11=0,0,IF(EK11&gt;0,EM11*$CG11/$I11,0))</f>
        <v>0</v>
      </c>
      <c r="EO11" s="1487">
        <f>$BV11*EL11</f>
        <v>0</v>
      </c>
      <c r="EP11" s="801" t="b">
        <f>ISERROR(MATCH(ER$3,$J11:$O11,0))</f>
        <v>1</v>
      </c>
      <c r="EQ11" s="1488">
        <f>IF($BW11&gt;0, IF(ISTEXT(EQ$3), $C11+IF($D11&lt;1000,$D11,$D11/($E11*60)),0),0)</f>
        <v>0</v>
      </c>
      <c r="ER11" s="1483">
        <f>IF(EQ11&gt;0,IF(ISTEXT(EQ$3),$F11),0)</f>
        <v>0</v>
      </c>
      <c r="ES11" s="1484">
        <f>IF(EQ11&gt;0,IF(ISTEXT(EQ$3),$G11),0)</f>
        <v>0</v>
      </c>
      <c r="ET11" s="1486">
        <f>IF($I11=0,0,IF(EQ11&gt;0,ES11*$CG11/$I11,0))</f>
        <v>0</v>
      </c>
      <c r="EU11" s="1487">
        <f>$BW11*ER11</f>
        <v>0</v>
      </c>
      <c r="EV11" s="801" t="b">
        <f>ISERROR(MATCH(EX$3,$J11:$O11,0))</f>
        <v>1</v>
      </c>
      <c r="EW11" s="1488">
        <f>IF($BX11&gt;0, IF(ISTEXT(EW$3), $C11+IF($D11&lt;1000,$D11,$D11/($E11*60)),0),0)</f>
        <v>0</v>
      </c>
      <c r="EX11" s="1483">
        <f>IF(EW11&gt;0,IF(ISTEXT(EW$3),$F11),0)</f>
        <v>0</v>
      </c>
      <c r="EY11" s="1484">
        <f>IF(EW11&gt;0,IF(ISTEXT(EW$3),$G11),0)</f>
        <v>0</v>
      </c>
      <c r="EZ11" s="1486">
        <f>IF($I11=0,0,IF(EW11&gt;0,EY11*$CG11/$I11,0))</f>
        <v>0</v>
      </c>
      <c r="FA11" s="1487">
        <f>$BX11*EX11</f>
        <v>0</v>
      </c>
      <c r="FB11" s="801" t="b">
        <f>ISERROR(MATCH(FD$3,$J11:$O11,0))</f>
        <v>1</v>
      </c>
      <c r="FC11" s="1488">
        <f>IF($BY11&gt;0, IF(ISTEXT(FC$3), $C11+IF($D11&lt;1000,$D11,$D11/($E11*60)),0),0)</f>
        <v>0</v>
      </c>
      <c r="FD11" s="1483">
        <f>IF(FC11&gt;0,IF(ISTEXT(FC$3),$F11),0)</f>
        <v>0</v>
      </c>
      <c r="FE11" s="1484">
        <f>IF(FC11&gt;0,IF(ISTEXT(FC$3),$G11),0)</f>
        <v>0</v>
      </c>
      <c r="FF11" s="1486">
        <f>IF($I11=0,0,IF(FC11&gt;0,FE11*$CG11/$I11,0))</f>
        <v>0</v>
      </c>
      <c r="FG11" s="1487">
        <f>$BY11*FD11</f>
        <v>0</v>
      </c>
      <c r="FH11" s="801" t="b">
        <f>ISERROR(MATCH(FJ$3,$J11:$O11,0))</f>
        <v>1</v>
      </c>
      <c r="FI11" s="1488">
        <f>IF($BZ11&gt;0, IF(ISTEXT(FI$3), $C11+IF($D11&lt;1000,$D11,$D11/($E11*60)),0),0)</f>
        <v>0</v>
      </c>
      <c r="FJ11" s="1483">
        <f>IF(FI11&gt;0,IF(ISTEXT(FI$3),$F11),0)</f>
        <v>0</v>
      </c>
      <c r="FK11" s="1484">
        <f>IF(FI11&gt;0,IF(ISTEXT(FI$3),$G11),0)</f>
        <v>0</v>
      </c>
      <c r="FL11" s="1486">
        <f>IF($I11=0,0,IF(FI11&gt;0,FK11*$CG11/$I11,0))</f>
        <v>0</v>
      </c>
      <c r="FM11" s="1487">
        <f>$BZ11*FJ11</f>
        <v>0</v>
      </c>
      <c r="FN11" s="801" t="b">
        <f>ISERROR(MATCH(FP$3,$J11:$O11,0))</f>
        <v>1</v>
      </c>
      <c r="FO11" s="1488">
        <f>IF($CA11&gt;0, IF(ISTEXT(FO$3), $C11+IF($D11&lt;1000,$D11,$D11/($E11*60)),0),0)</f>
        <v>0</v>
      </c>
      <c r="FP11" s="1483">
        <f>IF(FO11&gt;0,IF(ISTEXT(FO$3),$F11),0)</f>
        <v>0</v>
      </c>
      <c r="FQ11" s="1484">
        <f>IF(FO11&gt;0,IF(ISTEXT(FO$3),$G11),0)</f>
        <v>0</v>
      </c>
      <c r="FR11" s="1486">
        <f>IF($I11=0,0,IF(FO11&gt;0,FQ11*$CG11/$I11,0))</f>
        <v>0</v>
      </c>
      <c r="FS11" s="1487">
        <f>$CA11*FP11</f>
        <v>0</v>
      </c>
      <c r="FT11" s="801" t="b">
        <f>ISERROR(MATCH(FV$3,$J11:$O11,0))</f>
        <v>1</v>
      </c>
      <c r="FU11" s="1488">
        <f>IF($CB11&gt;0, IF(ISTEXT(FU$3), $C11+IF($D11&lt;1000,$D11,$D11/($E11*60)),0),0)</f>
        <v>1</v>
      </c>
      <c r="FV11" s="1483">
        <f>IF(FU11&gt;0,IF(ISTEXT(FU$3),$F11),0)</f>
        <v>10</v>
      </c>
      <c r="FW11" s="1484">
        <f>IF(FU11&gt;0,IF(ISTEXT(FU$3),$G11),0)</f>
        <v>1.25</v>
      </c>
      <c r="FX11" s="1486">
        <f>IF($I11=0,0,IF(FU11&gt;0,FW11*$CG11/$I11,0))</f>
        <v>1.6666666666666667</v>
      </c>
      <c r="FY11" s="1487">
        <f>$CB11*FV11</f>
        <v>2.7028518173345759</v>
      </c>
      <c r="FZ11" s="801" t="b">
        <f>ISERROR(MATCH(GB$3,$J11:$O11,0))</f>
        <v>1</v>
      </c>
      <c r="GA11" s="1488">
        <f>IF($CC11&gt;0, IF(ISTEXT(GA$3), $C11+IF($D11&lt;1000,$D11,$D11/($E11*60)),0),0)</f>
        <v>0</v>
      </c>
      <c r="GB11" s="1483">
        <f>IF(GA11&gt;0,IF(ISTEXT(GA$3),$F11),0)</f>
        <v>0</v>
      </c>
      <c r="GC11" s="1484">
        <f>IF(GA11&gt;0,IF(ISTEXT(GA$3),$G11),0)</f>
        <v>0</v>
      </c>
      <c r="GD11" s="1486">
        <f>IF($I11=0,0,IF(GA11&gt;0,GC11*$CG11/$I11,0))</f>
        <v>0</v>
      </c>
      <c r="GE11" s="1487">
        <f>$CC11*GB11</f>
        <v>0</v>
      </c>
      <c r="GF11" s="801" t="b">
        <f>ISERROR(MATCH(GH$3,$J11:$O11,0))</f>
        <v>1</v>
      </c>
      <c r="GG11" s="1488">
        <f>IF($CD11&gt;0, IF(ISTEXT(GG$3), $C11+IF($D11&lt;1000,$D11,$D11/($E11*60)),0),0)</f>
        <v>0</v>
      </c>
      <c r="GH11" s="1483">
        <f>IF(GG11&gt;0,IF(ISTEXT(GG$3),$F11),0)</f>
        <v>0</v>
      </c>
      <c r="GI11" s="1484">
        <f>IF(GG11&gt;0,IF(ISTEXT(GG$3),$G11),0)</f>
        <v>0</v>
      </c>
      <c r="GJ11" s="1486">
        <f>IF($I11=0,0,IF(GG11&gt;0,GI11*$CG11/$I11,0))</f>
        <v>0</v>
      </c>
      <c r="GK11" s="1487">
        <f>$CD11*GH11</f>
        <v>0</v>
      </c>
      <c r="GL11" s="801" t="b">
        <f>ISERROR(MATCH(GN$3,$J11:$O11,0))</f>
        <v>1</v>
      </c>
      <c r="GM11" s="1488">
        <f>IF($CE11&gt;0, IF(ISTEXT(GM$3), $C11+IF($D11&lt;1000,$D11,$D11/($E11*60)),0),0)</f>
        <v>0</v>
      </c>
      <c r="GN11" s="1483">
        <f>IF(GM11&gt;0,IF(ISTEXT(GM$3),$F11),0)</f>
        <v>0</v>
      </c>
      <c r="GO11" s="1484">
        <f>IF(GM11&gt;0,IF(ISTEXT(GM$3),$G11),0)</f>
        <v>0</v>
      </c>
      <c r="GP11" s="1486">
        <f>IF($I11=0,0,IF(GM11&gt;0,GO11*$CG11/$I11,0))</f>
        <v>0</v>
      </c>
      <c r="GQ11" s="1487">
        <f>$CE11*GN11</f>
        <v>0</v>
      </c>
      <c r="GR11" s="801" t="b">
        <f>ISERROR(MATCH(GT$3,$J11:$O11,0))</f>
        <v>1</v>
      </c>
      <c r="GS11" s="1488">
        <f>IF($CF11&gt;0, IF(ISTEXT(GS$3), $C11+IF($D11&lt;1000,$D11,$D11/($E11*60)),0),0)</f>
        <v>1</v>
      </c>
      <c r="GT11" s="1483">
        <f>IF(GS11&gt;0,IF(ISTEXT(GS$3),$F11),0)</f>
        <v>10</v>
      </c>
      <c r="GU11" s="1484">
        <f>IF(I11=0,0,IF(GS11&gt;0,IF(ISTEXT(GS$3),$G11),0)*$CG11/$I11)</f>
        <v>1.6666666666666667</v>
      </c>
      <c r="GV11" s="1484"/>
      <c r="GW11" s="1487">
        <f>$CF11*GT11</f>
        <v>0.30031686859273071</v>
      </c>
      <c r="GX11" s="1489">
        <f>IF(ISERROR(FIND("File",$R11)),0,F11*$BN11*VLOOKUP(R11,DataArray,4,FALSE))/60</f>
        <v>0</v>
      </c>
      <c r="GY11" s="551" t="b">
        <f>ISERROR(OR(FIND("F",$R11)))</f>
        <v>1</v>
      </c>
      <c r="GZ11" s="2471" t="b">
        <f>ISERROR(OR(FIND("Image",$R11)))</f>
        <v>1</v>
      </c>
      <c r="HA11" s="2476"/>
      <c r="HB11" s="2866"/>
      <c r="HC11" s="2866"/>
    </row>
    <row r="12" spans="1:211" s="1490" customFormat="1" ht="15" customHeight="1" x14ac:dyDescent="0.2">
      <c r="A12" s="1467" t="str">
        <f>IF($A$4=$H$167,$CI12&amp;"."&amp;$CJ12&amp;"."&amp;$CK12,CT12)</f>
        <v>S CitrixView</v>
      </c>
      <c r="B12" s="159" t="s">
        <v>212</v>
      </c>
      <c r="C12" s="1468">
        <v>1</v>
      </c>
      <c r="D12" s="1469"/>
      <c r="E12" s="537">
        <f>IF(D12&lt;1000,IF(SUM(C12:D12)=0,0,IF(AND(D$1=H$173,T12=0),CS12,IF(T$2=$H$178,X12,IF(T$2=$H$179,IF(T12&gt;0,  IF(CR12&gt;X12,X12,CS12),CS12),E12)))),X12)</f>
        <v>10</v>
      </c>
      <c r="F12" s="538">
        <f>IF($T$2=$H$177,0,IF($D$4=Calculator!$A$162,C12*E12+D12/60,IF(OR($D$4=Calculator!$A$163,D12&lt;1000),(C12+D12)*E12,C12*E12+D12/60)))</f>
        <v>10</v>
      </c>
      <c r="G12" s="803">
        <f>IF(SUM($C12:$D12)&gt;0,F12*$I12/60,0)</f>
        <v>0.8666666666666667</v>
      </c>
      <c r="H12" s="925" t="str">
        <f>W12&amp;CU12&amp;" {"&amp;TEXT(F12*60,"###,##0")&amp;"}"</f>
        <v>DB {600}</v>
      </c>
      <c r="I12" s="540">
        <f>$BG12</f>
        <v>5.2</v>
      </c>
      <c r="J12" s="926" t="s">
        <v>382</v>
      </c>
      <c r="K12" s="926" t="s">
        <v>382</v>
      </c>
      <c r="L12" s="927" t="s">
        <v>382</v>
      </c>
      <c r="M12" s="927" t="s">
        <v>382</v>
      </c>
      <c r="N12" s="927" t="s">
        <v>382</v>
      </c>
      <c r="O12" s="927" t="s">
        <v>382</v>
      </c>
      <c r="P12" s="928" t="str">
        <f>IF(OR(AND($O12=$A$167,  $O$5=$A$167),AND($O12=$A$167,  $O$5=$A$187)), IF(BL12&gt;0,IF($N12=$A$167,$N$5,$N12), IF(BI12&gt;0,  IF($K12=$A$167,$K$5,$K12), IF($J12=$A$167,$J$5,$J12))),IF(O12=$A$167,O$5,O12))</f>
        <v>WTS</v>
      </c>
      <c r="Q12" s="929" t="s">
        <v>382</v>
      </c>
      <c r="R12" s="160" t="s">
        <v>1055</v>
      </c>
      <c r="S12" s="1470">
        <f>VLOOKUP($B12,wfRange,Workflow!B$1,FALSE)</f>
        <v>10</v>
      </c>
      <c r="T12" s="1245">
        <f>CP12</f>
        <v>3</v>
      </c>
      <c r="U12" s="546">
        <f ca="1">IF(F12=0,T12,60/E12-V12)</f>
        <v>5.5789234696425005</v>
      </c>
      <c r="V12" s="759">
        <f ca="1">IF(F12=0,0,SUM(Y12:BF12))</f>
        <v>0.4210765303574992</v>
      </c>
      <c r="W12" s="2682"/>
      <c r="X12" s="2733">
        <f>CQ12</f>
        <v>10</v>
      </c>
      <c r="Y12" s="2751">
        <f>IF(SUM($C12:$D12)&gt;0,$K$85*CF12,0)*1/VLOOKUP(B12,wfRange,Workflow!N$1,FALSE)</f>
        <v>3.186157458904957E-2</v>
      </c>
      <c r="Z12" s="1474">
        <f>IF(Y12&gt;0, IF($A$83&lt;0.9999,   IF($T12=0,  MAX($CL$2*Y12*$Q$82,$CL$2*Y12*$Q$81),  MAX(Y12*$Q$82,Y12*$Q$81)),  Y12*200),0)</f>
        <v>3.0020259687703874E-4</v>
      </c>
      <c r="AA12" s="2751">
        <f>IF(SUM($C12:$D12)&gt;0,$K$81*CE12,0)*1/VLOOKUP(B12,wfRange,Workflow!N$1,FALSE)</f>
        <v>0</v>
      </c>
      <c r="AB12" s="1474">
        <f>IF(AA12&gt;0, IF($A$79&lt;0.9999,   IF($T12=0,  MAX($CL$2*AA12*$Q$78,$CL$2*AA12*$Q$77),  MAX(AA12*$Q$78,AA12*$Q$77)),  AA12*200),0)</f>
        <v>0</v>
      </c>
      <c r="AC12" s="2751">
        <f>IF(SUM($C12:$D12)&gt;0,$K$77*CD12,0)*1/VLOOKUP(B12,wfRange,Workflow!N$1,FALSE)</f>
        <v>0</v>
      </c>
      <c r="AD12" s="1474">
        <f>IF(AC12&gt;0, IF($A$75&lt;0.9999,   IF($T12=0,  MAX($CL$2*AC12*$Q$74,$CL$2*AC12*$Q$73),  MAX(AC12*$Q$74,AC12*$Q$73)),  AC12*200),0)</f>
        <v>0</v>
      </c>
      <c r="AE12" s="2751">
        <f>IF(SUM($C12:$D12)&gt;0,$K$73*CC12,0)*1/VLOOKUP(B12,wfRange,Workflow!N$1,FALSE)</f>
        <v>0</v>
      </c>
      <c r="AF12" s="1474">
        <f>IF(AE12&gt;0, IF($A$71&lt;0.9999,   IF($T12=0,  MAX($CL$2*AE12*$Q$70,$CL$2*AE12*$Q$69),  MAX(AE12*$Q$70,AE12*$Q$69)),  AE12*200),0)</f>
        <v>0</v>
      </c>
      <c r="AG12" s="2751">
        <f>IF(SUM($C12:$D12)&gt;0,$K$69*CB12,0)*1/VLOOKUP(B12,wfRange,Workflow!N$1,FALSE)</f>
        <v>0.28675417130144609</v>
      </c>
      <c r="AH12" s="1474">
        <f>IF(AG12&gt;0, IF($A$67&lt;0.9999,   IF($T12=0,  MAX($CL$2*AG12*$Q$66,$CL$2*AG12*$Q$64),  MAX(AG12*$Q$66,AG12*$Q$64)),  AG12*200),0)</f>
        <v>1.2587720544940752E-2</v>
      </c>
      <c r="AI12" s="2751">
        <f>IF(SUM($C12:$D12)&gt;0,$K$64*CA12,0)*1/VLOOKUP(B12,wfRange,Workflow!N$1,FALSE)</f>
        <v>0</v>
      </c>
      <c r="AJ12" s="1474">
        <f>IF(AI12&gt;0, IF($A$62&lt;0.9999,   IF($T12=0,  MAX($CL$2*AI12*$Q$61,$CL$2*AI12*$Q$60),  MAX(AI12*$Q$61,AI12*$Q$60)),  AI12*200),0)</f>
        <v>0</v>
      </c>
      <c r="AK12" s="2751">
        <f>IF(SUM($C12:$D12)&gt;0,$K$60*BZ12,0)*1/VLOOKUP(B12,wfRange,Workflow!N$1,FALSE)</f>
        <v>0</v>
      </c>
      <c r="AL12" s="1474">
        <f>IF(AK12&gt;0, IF($A$58&lt;0.9999,   IF($T12=0,  MAX($CL$2*AK12*$Q$57,$CL$2*AK12*$Q$56),  MAX(AK12*$Q$57,AK12*$Q$56)),  AK12*200),0)</f>
        <v>0</v>
      </c>
      <c r="AM12" s="2751">
        <f>IF(SUM($C12:$D12)&gt;0,$K$56*BY12,0)*1/VLOOKUP(B12,wfRange,Workflow!N$1,FALSE)</f>
        <v>0</v>
      </c>
      <c r="AN12" s="1474">
        <f>IF(AM12&gt;0, IF($A$54&lt;0.9999,   IF($T12=0,  MAX($CL$2*AM12*$Q$53,$CL$2*AM12*$Q$52),  MAX(AM12*$Q$53,AM12*$Q$52)),  AM12*200),0)</f>
        <v>0</v>
      </c>
      <c r="AO12" s="2751">
        <f>IF(SUM($C12:$D12)&gt;0,$K$52*BX12,0)*1/VLOOKUP(B12,wfRange,Workflow!N$1,FALSE)</f>
        <v>0</v>
      </c>
      <c r="AP12" s="1474">
        <f>IF(AO12&gt;0, IF($A$50&lt;0.9999,   IF($T12=0,  MAX($CL$2*AO12*$Q$49,$CL$2*AO12*$Q$48),  MAX(AO12*$Q$49,AO12*$Q$48)),  AO12*200),0)</f>
        <v>0</v>
      </c>
      <c r="AQ12" s="2751">
        <f>IF(SUM($C12:$D12)&gt;0,$K$48*BW12,0)*1/VLOOKUP(B12,wfRange,Workflow!N$1,FALSE)</f>
        <v>0</v>
      </c>
      <c r="AR12" s="1474">
        <f>IF(AQ12&gt;0, IF($A$46&lt;0.9999,   IF($T12=0,  MAX($CL$2*AQ12*$Q$45,$CL$2*AQ12*$Q$43),  MAX(AQ12*$Q$45,AQ12*$Q$43)),  AQ12*200),0)</f>
        <v>0</v>
      </c>
      <c r="AS12" s="2751">
        <f>IF(SUM($C12:$D12)&gt;0,$K$43*BV12,0)*1/VLOOKUP(B12,wfRange,Workflow!N$1,FALSE)</f>
        <v>0</v>
      </c>
      <c r="AT12" s="1474">
        <f>IF(AS12&gt;0, IF($A$41&lt;0.9999,   IF($T12=0,  MAX($CL$2*AS12*$Q$40,$CL$2*AS12*$Q$39),  MAX(AS12*$Q$40,AS12*$Q$39)),  AS12*200),0)</f>
        <v>0</v>
      </c>
      <c r="AU12" s="2751">
        <f>IF(SUM($C12:$D12)&gt;0,$K$39*BU12,0)*1/VLOOKUP(B12,wfRange,Workflow!N$1,FALSE)</f>
        <v>0</v>
      </c>
      <c r="AV12" s="1474">
        <f>IF(AU12&gt;0, IF($A$37&lt;0.9999,   IF($T12=0,  MAX($CL$2*AU12*$Q$36,$CL$2*AU12*$Q$35),  MAX(AU12*$Q$36,AU12*$Q$35)),  AU12*200),0)</f>
        <v>0</v>
      </c>
      <c r="AW12" s="2751">
        <f>IF(SUM($C12:$D12)&gt;0,$K$35*BT12,0)*1/VLOOKUP(B12,wfRange,Workflow!N$1,FALSE)</f>
        <v>0</v>
      </c>
      <c r="AX12" s="1474">
        <f>IF(AW12&gt;0, IF($A$33&lt;0.9999,   IF($T12=0,  MAX($CL$2*AW12*$Q$32,$CL$2*AW12*$Q$31),  MAX(AW12*$Q$32,AW12*$Q$31)),  AW12*200),0)</f>
        <v>0</v>
      </c>
      <c r="AY12" s="2751">
        <f>IF(SUM($C12:$D12)&gt;0,$K$31*BS12,0)*1/VLOOKUP(B12,wfRange,Workflow!N$1,FALSE)</f>
        <v>0</v>
      </c>
      <c r="AZ12" s="1474">
        <f>IF(AY12&gt;0, IF($A$29&lt;0.9999,   IF($T12=0,  MAX($CL$2*AY12*$Q$28,$CL$2*AY12*$Q$27),  MAX(AY12*$Q$28,AY12*$Q$27)),  AY12*200),0)</f>
        <v>0</v>
      </c>
      <c r="BA12" s="2751">
        <f>IF(SUM($C12:$D12)&gt;0,$K$27*BR12,0)*1/VLOOKUP(B12,wfRange,Workflow!N$1,FALSE)</f>
        <v>0</v>
      </c>
      <c r="BB12" s="1474">
        <f>IF(BA12&gt;0, IF($A$25&lt;0.9999,   IF($T12=0,  MAX($CL$2*BA12*$Q$24,$CL$2*BA12*$Q$23),  MAX(BA12*$Q$24,BA12*$Q$23)),  BA12*200),0)</f>
        <v>0</v>
      </c>
      <c r="BC12" s="2751">
        <f ca="1">IF(SUM($C12:$D12)&gt;0,IF($CJ12&gt;0,IF($CO12&gt;$CN12,$I12/$CN12,$I12/$CO12),$I12/$CN12),0)</f>
        <v>5.7777777777777782E-2</v>
      </c>
      <c r="BD12" s="930">
        <f ca="1">IF(BC12&gt;0,IF(CL12&lt;0.9999,BC12*CL12/((1+$CK$2*CL12)*(1-CL12)),BC12*500),0)</f>
        <v>1.4882288775769435E-3</v>
      </c>
      <c r="BE12" s="2765">
        <f ca="1">IF(SUM($C12:$D12)&gt;0,IF(CJ12&gt;0,VLOOKUP($CJ12+200,NL,6,FALSE)*S12,0),0)/1000</f>
        <v>0</v>
      </c>
      <c r="BF12" s="2765">
        <f>IF(SUM($C12:$D12)&gt;0,BQ12*$BO$2/$G$22,0)*1/VLOOKUP(B12,wfRange,Workflow!N$1,FALSE)</f>
        <v>3.0306854669831077E-2</v>
      </c>
      <c r="BG12" s="2736">
        <f>IF($CW12="desktop",VLOOKUP($R12,DataArray,5,FALSE)* VLOOKUP($B12,wfRange,Workflow!C$1,FALSE), VLOOKUP($B12,wfRange,Workflow!C$1,FALSE))</f>
        <v>5.2</v>
      </c>
      <c r="BH12" s="1476">
        <f>IF(CW12="Desktop", VLOOKUP($R12,DataArray,4,FALSE)* IF(ISERROR(FIND("File",$R12)), VLOOKUP($B12,wfRange,Workflow!D$1,FALSE), VLOOKUP($B12,wfRange,Workflow!D$1,FALSE)+ VLOOKUP($B12,wfRange,Workflow!I$1,FALSE)+ VLOOKUP($B12,wfRange,Workflow!K$1,FALSE)), VLOOKUP($B12,wfRange,Workflow!D$1,FALSE))</f>
        <v>2.5289841565703634E-2</v>
      </c>
      <c r="BI12" s="542">
        <f>IF(VLOOKUP($B12,wfRange,Workflow!E$1,FALSE)&gt;0, VLOOKUP($R12,DataArray,4,FALSE)* IF(ISERROR(FIND("File",$R12)),   VLOOKUP($B12,wfRange,Workflow!E$1,FALSE),     VLOOKUP($B12,wfRange,Workflow!E$1,FALSE)+ VLOOKUP($B12,wfRange,Workflow!I$1,FALSE)+ VLOOKUP($B12,wfRange,Workflow!K$1,FALSE)),0)</f>
        <v>0.24025349487418457</v>
      </c>
      <c r="BJ12" s="543">
        <f>VLOOKUP($B12,wfRange,Workflow!F$1,FALSE)</f>
        <v>0</v>
      </c>
      <c r="BK12" s="543">
        <f>MAX(VLOOKUP($B12,wfRange,Workflow!G$1,FALSE),IF(W12=$BB$22,$BC$22,0))</f>
        <v>0</v>
      </c>
      <c r="BL12" s="543">
        <f>IF(VLOOKUP($B12,wfRange,Workflow!H$1,FALSE)&gt;0,VLOOKUP($R12,DataArray,4,FALSE)* IF(ISERROR(FIND("File",$R12)),VLOOKUP($B12,wfRange,Workflow!H$1,FALSE),VLOOKUP($B12,wfRange,Workflow!H$1,FALSE)+VLOOKUP($B12,wfRange,Workflow!I$1,FALSE)+VLOOKUP($B12,wfRange,Workflow!K$1,FALSE)),0)</f>
        <v>0</v>
      </c>
      <c r="BM12" s="544">
        <f>VLOOKUP($R12,DataArray,3,FALSE)* VLOOKUP($B12,wfRange,Workflow!I$1,FALSE)</f>
        <v>3.0031686859273071E-2</v>
      </c>
      <c r="BN12" s="545">
        <f>VLOOKUP($R12,DataArray,5,FALSE)* VLOOKUP($B12,wfRange,Workflow!J$1,FALSE)</f>
        <v>10</v>
      </c>
      <c r="BO12" s="544">
        <f>VLOOKUP($R12,DataArray,2,FALSE)* VLOOKUP($B12,wfRange,Workflow!K$1,FALSE)</f>
        <v>3.0031686859273071E-2</v>
      </c>
      <c r="BP12" s="753">
        <f>SUM(BH12:BM12,BO12)</f>
        <v>0.32560671015843434</v>
      </c>
      <c r="BQ12" s="1471">
        <f t="shared" si="3"/>
        <v>2.5289841565703634E-2</v>
      </c>
      <c r="BR12" s="1472">
        <f t="shared" si="3"/>
        <v>0</v>
      </c>
      <c r="BS12" s="1472">
        <f t="shared" si="3"/>
        <v>0</v>
      </c>
      <c r="BT12" s="1472">
        <f t="shared" si="3"/>
        <v>0</v>
      </c>
      <c r="BU12" s="1472">
        <f t="shared" si="3"/>
        <v>0</v>
      </c>
      <c r="BV12" s="1472">
        <f t="shared" si="3"/>
        <v>0</v>
      </c>
      <c r="BW12" s="1472">
        <f t="shared" si="3"/>
        <v>0</v>
      </c>
      <c r="BX12" s="1472">
        <f t="shared" si="3"/>
        <v>0</v>
      </c>
      <c r="BY12" s="1472">
        <f t="shared" si="3"/>
        <v>0</v>
      </c>
      <c r="BZ12" s="1472">
        <f t="shared" si="3"/>
        <v>0</v>
      </c>
      <c r="CA12" s="1472">
        <f t="shared" si="3"/>
        <v>0</v>
      </c>
      <c r="CB12" s="1472">
        <f t="shared" si="3"/>
        <v>0.27028518173345761</v>
      </c>
      <c r="CC12" s="1472">
        <f t="shared" si="3"/>
        <v>0</v>
      </c>
      <c r="CD12" s="1472">
        <f t="shared" si="3"/>
        <v>0</v>
      </c>
      <c r="CE12" s="1472">
        <f t="shared" si="3"/>
        <v>0</v>
      </c>
      <c r="CF12" s="1472">
        <f t="shared" si="3"/>
        <v>3.0031686859273071E-2</v>
      </c>
      <c r="CG12" s="541">
        <f>$BN12</f>
        <v>10</v>
      </c>
      <c r="CH12" s="951">
        <f ca="1">CJ12+100</f>
        <v>101</v>
      </c>
      <c r="CI12" s="951">
        <f ca="1">COUNTBLANK($CI$5:$CI12)</f>
        <v>2</v>
      </c>
      <c r="CJ12" s="951">
        <f ca="1">COUNTBLANK($CJ$5:$CJ12)</f>
        <v>1</v>
      </c>
      <c r="CK12" s="1477">
        <f ca="1">COUNTA($CK$5:$CK12)</f>
        <v>5</v>
      </c>
      <c r="CL12" s="547">
        <f ca="1">IF(CO12=0,VLOOKUP($CI12,NL,5,FALSE),IF(CO12&lt;CN12,VLOOKUP($CJ12+200,NL,5,FALSE),VLOOKUP($CI12,NL,5,FALSE)))</f>
        <v>2.5740740740740745E-2</v>
      </c>
      <c r="CM12" s="1475"/>
      <c r="CN12" s="548">
        <f ca="1">VLOOKUP($CI12,NL,3,FALSE)</f>
        <v>90</v>
      </c>
      <c r="CO12" s="549">
        <f ca="1">IF(CJ12&gt;0,VLOOKUP($CJ12+200,NL,2,FALSE),0)</f>
        <v>90</v>
      </c>
      <c r="CP12" s="570">
        <f>VLOOKUP($B12,wfRange,Workflow!L$1,FALSE)</f>
        <v>3</v>
      </c>
      <c r="CQ12" s="1473">
        <f>IF($CQ$5=1000,1000,VLOOKUP($B12,wfRange,Workflow!M$1,FALSE))</f>
        <v>10</v>
      </c>
      <c r="CR12" s="767">
        <f ca="1">IF(SUM($C12:$D12)&gt;0,IF(T12&gt;0,60/(T12+V12),60/V12),1000)</f>
        <v>17.538339019188811</v>
      </c>
      <c r="CS12" s="766">
        <f ca="1">IF(CR12&gt;E12,E12+ABS(CR12-E12)*$U$2/100,E12-ABS(CR12-E12)*$U$2/500)</f>
        <v>10.753833901918881</v>
      </c>
      <c r="CT12" s="1478" t="str">
        <f t="shared" si="1"/>
        <v>S CitrixView</v>
      </c>
      <c r="CU12" s="1478" t="str">
        <f>IF(ISERROR(FIND("_",R12)),R12,LEFT(R12,FIND("_",R12)-1))</f>
        <v>DB</v>
      </c>
      <c r="CV12" s="1479">
        <f>F12*60</f>
        <v>600</v>
      </c>
      <c r="CW12" s="1900" t="str">
        <f>VLOOKUP($B12,wfRange,Workflow!O$1,FALSE)</f>
        <v>Desktop</v>
      </c>
      <c r="CX12" s="1478">
        <f>IF(ISERROR(IF(CW12=" Imagery",MATCH(R12,ImageryDataList,0), MATCH(R12,MapDataList,0))),1,0)</f>
        <v>0</v>
      </c>
      <c r="CY12" s="1914">
        <f>IF(CW12=" imagery",IF($O12=$A$185,0,IF($O12=$A$186,0,1)),0)</f>
        <v>0</v>
      </c>
      <c r="CZ12" s="1908">
        <f>IF(AND(O12=$A$186,R12=Calculator!$C$171),1,0)</f>
        <v>0</v>
      </c>
      <c r="DA12" s="1900" t="str">
        <f>IF(BH12&gt;0.04*$BO$2/58,DA$4,"server")</f>
        <v>server</v>
      </c>
      <c r="DB12" s="1480"/>
      <c r="DC12" s="1480"/>
      <c r="DD12" s="1480"/>
      <c r="DE12" s="1480"/>
      <c r="DF12" s="1481"/>
      <c r="DG12" s="550"/>
      <c r="DH12" s="1482">
        <f>IF($BQ12&gt;0, IF(ISTEXT(DH$3), $C12+IF($D12&lt;1000,$D12,$D12/($E12*60)),0),0)</f>
        <v>1</v>
      </c>
      <c r="DI12" s="1483">
        <f>IF(DH12&gt;0,IF(ISTEXT(DH$3),$F12),0)</f>
        <v>10</v>
      </c>
      <c r="DJ12" s="1484">
        <f>IF(DH12&gt;0,IF(ISTEXT(DH$3),$G12),0)</f>
        <v>0.8666666666666667</v>
      </c>
      <c r="DK12" s="1485">
        <f>$BQ12*DI12</f>
        <v>0.25289841565703636</v>
      </c>
      <c r="DL12" s="801" t="b">
        <f>ISERROR(MATCH(DN$3,$J12:$O12,0))</f>
        <v>1</v>
      </c>
      <c r="DM12" s="802">
        <f>IF($BR12&gt;0, IF(ISTEXT(DM$3), $C12+IF($D12&lt;1000,$D12,$D12/($E12*60)),0),0)</f>
        <v>0</v>
      </c>
      <c r="DN12" s="802">
        <f>IF(DM12&gt;0,IF(ISTEXT(DM$3),$F12),0)</f>
        <v>0</v>
      </c>
      <c r="DO12" s="539">
        <f>IF(DM12&gt;0,IF(ISTEXT(DM$3),$G12),0)</f>
        <v>0</v>
      </c>
      <c r="DP12" s="698">
        <f>IF($I12=0,0,IF(DM12&gt;0,DO12*$CG12/$I12,0))</f>
        <v>0</v>
      </c>
      <c r="DQ12" s="803">
        <f>$BR12*DN12</f>
        <v>0</v>
      </c>
      <c r="DR12" s="801" t="b">
        <f>ISERROR(MATCH(DT$3,$J12:$O12,0))</f>
        <v>1</v>
      </c>
      <c r="DS12" s="802">
        <f>IF($BS12&gt;0, IF(ISTEXT(DS$3), $C12+IF($D12&lt;1000,$D12,$D12/($E12*60)),0),0)</f>
        <v>0</v>
      </c>
      <c r="DT12" s="802">
        <f>IF(DS12&gt;0,IF(ISTEXT(DS$3),$F12),0)</f>
        <v>0</v>
      </c>
      <c r="DU12" s="539">
        <f>IF(DS12&gt;0,IF(ISTEXT(DS$3),$G12),0)</f>
        <v>0</v>
      </c>
      <c r="DV12" s="698">
        <f>IF($I12=0,0,IF(DS12&gt;0,DU12*$CG12/$I12,0))</f>
        <v>0</v>
      </c>
      <c r="DW12" s="803">
        <f>$BS12*DT12</f>
        <v>0</v>
      </c>
      <c r="DX12" s="801" t="b">
        <f>ISERROR(MATCH(DZ$3,$J12:$O12,0))</f>
        <v>1</v>
      </c>
      <c r="DY12" s="802">
        <f>IF($BT12&gt;0, IF(ISTEXT(DY$3), $C12+IF($D12&lt;1000,$D12,$D12/($E12*60)),0),0)</f>
        <v>0</v>
      </c>
      <c r="DZ12" s="802">
        <f>IF(DY12&gt;0,IF(ISTEXT(DY$3),$F12),0)</f>
        <v>0</v>
      </c>
      <c r="EA12" s="539">
        <f>IF(DY12&gt;0,IF(ISTEXT(DY$3),$G12),0)*IF($DX12=FALSE,IF($DZ$3=$D$184,1,$EA$3),1)</f>
        <v>0</v>
      </c>
      <c r="EB12" s="698">
        <f>IF($I12=0,0,IF(DY12&gt;0,EA12*$CG12/$I12,0))</f>
        <v>0</v>
      </c>
      <c r="EC12" s="803">
        <f>$BT12*DZ12</f>
        <v>0</v>
      </c>
      <c r="ED12" s="801" t="b">
        <f>ISERROR(MATCH(EF$3,$J12:$O12,0))</f>
        <v>1</v>
      </c>
      <c r="EE12" s="802">
        <f>IF($BU12&gt;0, IF(ISTEXT(EE$3), $C12+IF($D12&lt;1000,$D12,$D12/($E12*60)),0),0)</f>
        <v>0</v>
      </c>
      <c r="EF12" s="802">
        <f>IF(EE12&gt;0,IF(ISTEXT(EE$3),$F12),0)</f>
        <v>0</v>
      </c>
      <c r="EG12" s="539">
        <f>IF(EE12&gt;0,IF(ISTEXT(EE$3),$G12),0)</f>
        <v>0</v>
      </c>
      <c r="EH12" s="698">
        <f>IF($I12=0,0,IF(EE12&gt;0,EG12*$CG12/$I12,0))</f>
        <v>0</v>
      </c>
      <c r="EI12" s="803">
        <f>$BU12*EF12</f>
        <v>0</v>
      </c>
      <c r="EJ12" s="801" t="b">
        <f>ISERROR(MATCH(EL$3,$J12:$O12,0))</f>
        <v>1</v>
      </c>
      <c r="EK12" s="1483">
        <f>IF($BV12&gt;0, IF(ISTEXT(EK$3), $C12+IF($D12&lt;1000,$D12,$D12/($E12*60)),0),0)</f>
        <v>0</v>
      </c>
      <c r="EL12" s="1483">
        <f>IF(EK12&gt;0,IF(ISTEXT(EK$3),$F12),0)</f>
        <v>0</v>
      </c>
      <c r="EM12" s="1484">
        <f>IF(EK12&gt;0,IF(ISTEXT(EK$3),$G12),0)</f>
        <v>0</v>
      </c>
      <c r="EN12" s="1486">
        <f>IF($I12=0,0,IF(EK12&gt;0,EM12*$CG12/$I12,0))</f>
        <v>0</v>
      </c>
      <c r="EO12" s="1487">
        <f>$BV12*EL12</f>
        <v>0</v>
      </c>
      <c r="EP12" s="801" t="b">
        <f>ISERROR(MATCH(ER$3,$J12:$O12,0))</f>
        <v>1</v>
      </c>
      <c r="EQ12" s="1488">
        <f>IF($BW12&gt;0, IF(ISTEXT(EQ$3), $C12+IF($D12&lt;1000,$D12,$D12/($E12*60)),0),0)</f>
        <v>0</v>
      </c>
      <c r="ER12" s="1483">
        <f>IF(EQ12&gt;0,IF(ISTEXT(EQ$3),$F12),0)</f>
        <v>0</v>
      </c>
      <c r="ES12" s="1484">
        <f>IF(EQ12&gt;0,IF(ISTEXT(EQ$3),$G12),0)</f>
        <v>0</v>
      </c>
      <c r="ET12" s="1486">
        <f>IF($I12=0,0,IF(EQ12&gt;0,ES12*$CG12/$I12,0))</f>
        <v>0</v>
      </c>
      <c r="EU12" s="1487">
        <f>$BW12*ER12</f>
        <v>0</v>
      </c>
      <c r="EV12" s="801" t="b">
        <f>ISERROR(MATCH(EX$3,$J12:$O12,0))</f>
        <v>1</v>
      </c>
      <c r="EW12" s="1488">
        <f>IF($BX12&gt;0, IF(ISTEXT(EW$3), $C12+IF($D12&lt;1000,$D12,$D12/($E12*60)),0),0)</f>
        <v>0</v>
      </c>
      <c r="EX12" s="1483">
        <f>IF(EW12&gt;0,IF(ISTEXT(EW$3),$F12),0)</f>
        <v>0</v>
      </c>
      <c r="EY12" s="1484">
        <f>IF(EW12&gt;0,IF(ISTEXT(EW$3),$G12),0)</f>
        <v>0</v>
      </c>
      <c r="EZ12" s="1486">
        <f>IF($I12=0,0,IF(EW12&gt;0,EY12*$CG12/$I12,0))</f>
        <v>0</v>
      </c>
      <c r="FA12" s="1487">
        <f>$BX12*EX12</f>
        <v>0</v>
      </c>
      <c r="FB12" s="801" t="b">
        <f>ISERROR(MATCH(FD$3,$J12:$O12,0))</f>
        <v>1</v>
      </c>
      <c r="FC12" s="1488">
        <f>IF($BY12&gt;0, IF(ISTEXT(FC$3), $C12+IF($D12&lt;1000,$D12,$D12/($E12*60)),0),0)</f>
        <v>0</v>
      </c>
      <c r="FD12" s="1483">
        <f>IF(FC12&gt;0,IF(ISTEXT(FC$3),$F12),0)</f>
        <v>0</v>
      </c>
      <c r="FE12" s="1484">
        <f>IF(FC12&gt;0,IF(ISTEXT(FC$3),$G12),0)</f>
        <v>0</v>
      </c>
      <c r="FF12" s="1486">
        <f>IF($I12=0,0,IF(FC12&gt;0,FE12*$CG12/$I12,0))</f>
        <v>0</v>
      </c>
      <c r="FG12" s="1487">
        <f>$BY12*FD12</f>
        <v>0</v>
      </c>
      <c r="FH12" s="801" t="b">
        <f>ISERROR(MATCH(FJ$3,$J12:$O12,0))</f>
        <v>1</v>
      </c>
      <c r="FI12" s="1488">
        <f>IF($BZ12&gt;0, IF(ISTEXT(FI$3), $C12+IF($D12&lt;1000,$D12,$D12/($E12*60)),0),0)</f>
        <v>0</v>
      </c>
      <c r="FJ12" s="1483">
        <f>IF(FI12&gt;0,IF(ISTEXT(FI$3),$F12),0)</f>
        <v>0</v>
      </c>
      <c r="FK12" s="1484">
        <f>IF(FI12&gt;0,IF(ISTEXT(FI$3),$G12),0)</f>
        <v>0</v>
      </c>
      <c r="FL12" s="1486">
        <f>IF($I12=0,0,IF(FI12&gt;0,FK12*$CG12/$I12,0))</f>
        <v>0</v>
      </c>
      <c r="FM12" s="1487">
        <f>$BZ12*FJ12</f>
        <v>0</v>
      </c>
      <c r="FN12" s="801" t="b">
        <f>ISERROR(MATCH(FP$3,$J12:$O12,0))</f>
        <v>1</v>
      </c>
      <c r="FO12" s="1488">
        <f>IF($CA12&gt;0, IF(ISTEXT(FO$3), $C12+IF($D12&lt;1000,$D12,$D12/($E12*60)),0),0)</f>
        <v>0</v>
      </c>
      <c r="FP12" s="1483">
        <f>IF(FO12&gt;0,IF(ISTEXT(FO$3),$F12),0)</f>
        <v>0</v>
      </c>
      <c r="FQ12" s="1484">
        <f>IF(FO12&gt;0,IF(ISTEXT(FO$3),$G12),0)</f>
        <v>0</v>
      </c>
      <c r="FR12" s="1486">
        <f>IF($I12=0,0,IF(FO12&gt;0,FQ12*$CG12/$I12,0))</f>
        <v>0</v>
      </c>
      <c r="FS12" s="1487">
        <f>$CA12*FP12</f>
        <v>0</v>
      </c>
      <c r="FT12" s="801" t="b">
        <f>ISERROR(MATCH(FV$3,$J12:$O12,0))</f>
        <v>1</v>
      </c>
      <c r="FU12" s="1488">
        <f>IF($CB12&gt;0, IF(ISTEXT(FU$3), $C12+IF($D12&lt;1000,$D12,$D12/($E12*60)),0),0)</f>
        <v>1</v>
      </c>
      <c r="FV12" s="1483">
        <f>IF(FU12&gt;0,IF(ISTEXT(FU$3),$F12),0)</f>
        <v>10</v>
      </c>
      <c r="FW12" s="1484">
        <f>IF(FU12&gt;0,IF(ISTEXT(FU$3),$G12),0)</f>
        <v>0.8666666666666667</v>
      </c>
      <c r="FX12" s="1486">
        <f>IF($I12=0,0,IF(FU12&gt;0,FW12*$CG12/$I12,0))</f>
        <v>1.6666666666666667</v>
      </c>
      <c r="FY12" s="1487">
        <f>$CB12*FV12</f>
        <v>2.7028518173345759</v>
      </c>
      <c r="FZ12" s="801" t="b">
        <f>ISERROR(MATCH(GB$3,$J12:$O12,0))</f>
        <v>1</v>
      </c>
      <c r="GA12" s="1488">
        <f>IF($CC12&gt;0, IF(ISTEXT(GA$3), $C12+IF($D12&lt;1000,$D12,$D12/($E12*60)),0),0)</f>
        <v>0</v>
      </c>
      <c r="GB12" s="1483">
        <f>IF(GA12&gt;0,IF(ISTEXT(GA$3),$F12),0)</f>
        <v>0</v>
      </c>
      <c r="GC12" s="1484">
        <f>IF(GA12&gt;0,IF(ISTEXT(GA$3),$G12),0)</f>
        <v>0</v>
      </c>
      <c r="GD12" s="1486">
        <f>IF($I12=0,0,IF(GA12&gt;0,GC12*$CG12/$I12,0))</f>
        <v>0</v>
      </c>
      <c r="GE12" s="1487">
        <f>$CC12*GB12</f>
        <v>0</v>
      </c>
      <c r="GF12" s="801" t="b">
        <f>ISERROR(MATCH(GH$3,$J12:$O12,0))</f>
        <v>1</v>
      </c>
      <c r="GG12" s="1488">
        <f>IF($CD12&gt;0, IF(ISTEXT(GG$3), $C12+IF($D12&lt;1000,$D12,$D12/($E12*60)),0),0)</f>
        <v>0</v>
      </c>
      <c r="GH12" s="1483">
        <f>IF(GG12&gt;0,IF(ISTEXT(GG$3),$F12),0)</f>
        <v>0</v>
      </c>
      <c r="GI12" s="1484">
        <f>IF(GG12&gt;0,IF(ISTEXT(GG$3),$G12),0)</f>
        <v>0</v>
      </c>
      <c r="GJ12" s="1486">
        <f>IF($I12=0,0,IF(GG12&gt;0,GI12*$CG12/$I12,0))</f>
        <v>0</v>
      </c>
      <c r="GK12" s="1487">
        <f>$CD12*GH12</f>
        <v>0</v>
      </c>
      <c r="GL12" s="801" t="b">
        <f>ISERROR(MATCH(GN$3,$J12:$O12,0))</f>
        <v>1</v>
      </c>
      <c r="GM12" s="1488">
        <f>IF($CE12&gt;0, IF(ISTEXT(GM$3), $C12+IF($D12&lt;1000,$D12,$D12/($E12*60)),0),0)</f>
        <v>0</v>
      </c>
      <c r="GN12" s="1483">
        <f>IF(GM12&gt;0,IF(ISTEXT(GM$3),$F12),0)</f>
        <v>0</v>
      </c>
      <c r="GO12" s="1484">
        <f>IF(GM12&gt;0,IF(ISTEXT(GM$3),$G12),0)</f>
        <v>0</v>
      </c>
      <c r="GP12" s="1486">
        <f>IF($I12=0,0,IF(GM12&gt;0,GO12*$CG12/$I12,0))</f>
        <v>0</v>
      </c>
      <c r="GQ12" s="1487">
        <f>$CE12*GN12</f>
        <v>0</v>
      </c>
      <c r="GR12" s="801" t="b">
        <f>ISERROR(MATCH(GT$3,$J12:$O12,0))</f>
        <v>1</v>
      </c>
      <c r="GS12" s="1488">
        <f>IF($CF12&gt;0, IF(ISTEXT(GS$3), $C12+IF($D12&lt;1000,$D12,$D12/($E12*60)),0),0)</f>
        <v>1</v>
      </c>
      <c r="GT12" s="1483">
        <f>IF(GS12&gt;0,IF(ISTEXT(GS$3),$F12),0)</f>
        <v>10</v>
      </c>
      <c r="GU12" s="1484">
        <f>IF(I12=0,0,IF(GS12&gt;0,IF(ISTEXT(GS$3),$G12),0)*$CG12/$I12)</f>
        <v>1.6666666666666667</v>
      </c>
      <c r="GV12" s="1484"/>
      <c r="GW12" s="1487">
        <f>$CF12*GT12</f>
        <v>0.30031686859273071</v>
      </c>
      <c r="GX12" s="1489">
        <f>IF(ISERROR(FIND("File",$R12)),0,F12*$BN12*VLOOKUP(R12,DataArray,4,FALSE))/60</f>
        <v>0</v>
      </c>
      <c r="GY12" s="551" t="b">
        <f>ISERROR(OR(FIND("F",$R12)))</f>
        <v>1</v>
      </c>
      <c r="GZ12" s="2471" t="b">
        <f>ISERROR(OR(FIND("Image",$R12)))</f>
        <v>1</v>
      </c>
      <c r="HA12" s="2476"/>
      <c r="HB12" s="2866"/>
      <c r="HC12" s="2866"/>
    </row>
    <row r="13" spans="1:211" s="1490" customFormat="1" ht="15" customHeight="1" x14ac:dyDescent="0.2">
      <c r="A13" s="1467" t="str">
        <f>IF($A$4=$H$167,$CI13&amp;"."&amp;$CJ13&amp;"."&amp;$CK13,CT13)</f>
        <v>S WebMap</v>
      </c>
      <c r="B13" s="159" t="s">
        <v>213</v>
      </c>
      <c r="C13" s="1468">
        <v>1</v>
      </c>
      <c r="D13" s="1469"/>
      <c r="E13" s="537">
        <f>IF(D13&lt;1000,IF(SUM(C13:D13)=0,0,IF(AND(D$1=H$173,T13=0),CS13,IF(T$2=$H$178,X13,IF(T$2=$H$179,IF(T13&gt;0,  IF(CR13&gt;X13,X13,CS13),CS13),E13)))),X13)</f>
        <v>6</v>
      </c>
      <c r="F13" s="538">
        <f>IF($T$2=$H$177,0,IF($D$4=Calculator!$A$162,C13*E13+D13/60,IF(OR($D$4=Calculator!$A$163,D13&lt;1000),(C13+D13)*E13,C13*E13+D13/60)))</f>
        <v>6</v>
      </c>
      <c r="G13" s="803">
        <f>IF(SUM($C13:$D13)&gt;0,F13*$I13/60,0)</f>
        <v>0.2</v>
      </c>
      <c r="H13" s="925" t="str">
        <f>W13&amp;CU13&amp;" {"&amp;TEXT(F13*60,"###,##0")&amp;"}"</f>
        <v>DB {360}</v>
      </c>
      <c r="I13" s="540">
        <f>$BG13</f>
        <v>2</v>
      </c>
      <c r="J13" s="926" t="s">
        <v>382</v>
      </c>
      <c r="K13" s="926" t="s">
        <v>382</v>
      </c>
      <c r="L13" s="927" t="s">
        <v>382</v>
      </c>
      <c r="M13" s="927" t="s">
        <v>382</v>
      </c>
      <c r="N13" s="927" t="s">
        <v>382</v>
      </c>
      <c r="O13" s="927" t="s">
        <v>382</v>
      </c>
      <c r="P13" s="928" t="str">
        <f>IF(OR(AND($O13=$A$167,  $O$5=$A$167),AND($O13=$A$167,  $O$5=$A$187)), IF(BL13&gt;0,IF($N13=$A$167,$N$5,$N13), IF(BI13&gt;0,  IF($K13=$A$167,$K$5,$K13), IF($J13=$A$167,$J$5,$J13))),IF(O13=$A$167,O$5,O13))</f>
        <v>GIS</v>
      </c>
      <c r="Q13" s="929" t="s">
        <v>382</v>
      </c>
      <c r="R13" s="160" t="s">
        <v>1055</v>
      </c>
      <c r="S13" s="1470">
        <f>VLOOKUP($B13,wfRange,Workflow!B$1,FALSE)</f>
        <v>10</v>
      </c>
      <c r="T13" s="1245">
        <f>CP13</f>
        <v>3</v>
      </c>
      <c r="U13" s="546">
        <f ca="1">IF(F13=0,T13,60/E13-V13)</f>
        <v>9.7171608507226797</v>
      </c>
      <c r="V13" s="759">
        <f ca="1">IF(F13=0,0,SUM(Y13:BF13))</f>
        <v>0.28283914927732101</v>
      </c>
      <c r="W13" s="2682"/>
      <c r="X13" s="2733">
        <f>CQ13</f>
        <v>6</v>
      </c>
      <c r="Y13" s="2751">
        <f>IF(SUM($C13:$D13)&gt;0,$K$85*CF13,0)*1/VLOOKUP(B13,wfRange,Workflow!N$1,FALSE)</f>
        <v>2.1800024718823387E-2</v>
      </c>
      <c r="Z13" s="1474">
        <f>IF(Y13&gt;0, IF($A$83&lt;0.9999,   IF($T13=0,  MAX($CL$2*Y13*$Q$82,$CL$2*Y13*$Q$81),  MAX(Y13*$Q$82,Y13*$Q$81)),  Y13*200),0)</f>
        <v>2.0540177681060545E-4</v>
      </c>
      <c r="AA13" s="2751">
        <f>IF(SUM($C13:$D13)&gt;0,$K$81*CE13,0)*1/VLOOKUP(B13,wfRange,Workflow!N$1,FALSE)</f>
        <v>0.19620022246941049</v>
      </c>
      <c r="AB13" s="1474">
        <f>IF(AA13&gt;0, IF($A$79&lt;0.9999,   IF($T13=0,  MAX($CL$2*AA13*$Q$78,$CL$2*AA13*$Q$77),  MAX(AA13*$Q$78,AA13*$Q$77)),  AA13*200),0)</f>
        <v>2.8063223599656844E-3</v>
      </c>
      <c r="AC13" s="2751">
        <f>IF(SUM($C13:$D13)&gt;0,$K$77*CD13,0)*1/VLOOKUP(B13,wfRange,Workflow!N$1,FALSE)</f>
        <v>8.7200098875293546E-3</v>
      </c>
      <c r="AD13" s="1474">
        <f>IF(AC13&gt;0, IF($A$75&lt;0.9999,   IF($T13=0,  MAX($CL$2*AC13*$Q$74,$CL$2*AC13*$Q$73),  MAX(AC13*$Q$74,AC13*$Q$73)),  AC13*200),0)</f>
        <v>5.6954505832084005E-6</v>
      </c>
      <c r="AE13" s="2751">
        <f>IF(SUM($C13:$D13)&gt;0,$K$73*CC13,0)*1/VLOOKUP(B13,wfRange,Workflow!N$1,FALSE)</f>
        <v>0</v>
      </c>
      <c r="AF13" s="1474">
        <f>IF(AE13&gt;0, IF($A$71&lt;0.9999,   IF($T13=0,  MAX($CL$2*AE13*$Q$70,$CL$2*AE13*$Q$69),  MAX(AE13*$Q$70,AE13*$Q$69)),  AE13*200),0)</f>
        <v>0</v>
      </c>
      <c r="AG13" s="2751">
        <f>IF(SUM($C13:$D13)&gt;0,$K$69*CB13,0)*1/VLOOKUP(B13,wfRange,Workflow!N$1,FALSE)</f>
        <v>0</v>
      </c>
      <c r="AH13" s="1474">
        <f>IF(AG13&gt;0, IF($A$67&lt;0.9999,   IF($T13=0,  MAX($CL$2*AG13*$Q$66,$CL$2*AG13*$Q$64),  MAX(AG13*$Q$66,AG13*$Q$64)),  AG13*200),0)</f>
        <v>0</v>
      </c>
      <c r="AI13" s="2751">
        <f>IF(SUM($C13:$D13)&gt;0,$K$64*CA13,0)*1/VLOOKUP(B13,wfRange,Workflow!N$1,FALSE)</f>
        <v>0</v>
      </c>
      <c r="AJ13" s="1474">
        <f>IF(AI13&gt;0, IF($A$62&lt;0.9999,   IF($T13=0,  MAX($CL$2*AI13*$Q$61,$CL$2*AI13*$Q$60),  MAX(AI13*$Q$61,AI13*$Q$60)),  AI13*200),0)</f>
        <v>0</v>
      </c>
      <c r="AK13" s="2751">
        <f>IF(SUM($C13:$D13)&gt;0,$K$60*BZ13,0)*1/VLOOKUP(B13,wfRange,Workflow!N$1,FALSE)</f>
        <v>0</v>
      </c>
      <c r="AL13" s="1474">
        <f>IF(AK13&gt;0, IF($A$58&lt;0.9999,   IF($T13=0,  MAX($CL$2*AK13*$Q$57,$CL$2*AK13*$Q$56),  MAX(AK13*$Q$57,AK13*$Q$56)),  AK13*200),0)</f>
        <v>0</v>
      </c>
      <c r="AM13" s="2751">
        <f>IF(SUM($C13:$D13)&gt;0,$K$56*BY13,0)*1/VLOOKUP(B13,wfRange,Workflow!N$1,FALSE)</f>
        <v>0</v>
      </c>
      <c r="AN13" s="1474">
        <f>IF(AM13&gt;0, IF($A$54&lt;0.9999,   IF($T13=0,  MAX($CL$2*AM13*$Q$53,$CL$2*AM13*$Q$52),  MAX(AM13*$Q$53,AM13*$Q$52)),  AM13*200),0)</f>
        <v>0</v>
      </c>
      <c r="AO13" s="2751">
        <f>IF(SUM($C13:$D13)&gt;0,$K$52*BX13,0)*1/VLOOKUP(B13,wfRange,Workflow!N$1,FALSE)</f>
        <v>0</v>
      </c>
      <c r="AP13" s="1474">
        <f>IF(AO13&gt;0, IF($A$50&lt;0.9999,   IF($T13=0,  MAX($CL$2*AO13*$Q$49,$CL$2*AO13*$Q$48),  MAX(AO13*$Q$49,AO13*$Q$48)),  AO13*200),0)</f>
        <v>0</v>
      </c>
      <c r="AQ13" s="2751">
        <f>IF(SUM($C13:$D13)&gt;0,$K$48*BW13,0)*1/VLOOKUP(B13,wfRange,Workflow!N$1,FALSE)</f>
        <v>0</v>
      </c>
      <c r="AR13" s="1474">
        <f>IF(AQ13&gt;0, IF($A$46&lt;0.9999,   IF($T13=0,  MAX($CL$2*AQ13*$Q$45,$CL$2*AQ13*$Q$43),  MAX(AQ13*$Q$45,AQ13*$Q$43)),  AQ13*200),0)</f>
        <v>0</v>
      </c>
      <c r="AS13" s="2751">
        <f>IF(SUM($C13:$D13)&gt;0,$K$43*BV13,0)*1/VLOOKUP(B13,wfRange,Workflow!N$1,FALSE)</f>
        <v>0</v>
      </c>
      <c r="AT13" s="1474">
        <f>IF(AS13&gt;0, IF($A$41&lt;0.9999,   IF($T13=0,  MAX($CL$2*AS13*$Q$40,$CL$2*AS13*$Q$39),  MAX(AS13*$Q$40,AS13*$Q$39)),  AS13*200),0)</f>
        <v>0</v>
      </c>
      <c r="AU13" s="2751">
        <f>IF(SUM($C13:$D13)&gt;0,$K$39*BU13,0)*1/VLOOKUP(B13,wfRange,Workflow!N$1,FALSE)</f>
        <v>0</v>
      </c>
      <c r="AV13" s="1474">
        <f>IF(AU13&gt;0, IF($A$37&lt;0.9999,   IF($T13=0,  MAX($CL$2*AU13*$Q$36,$CL$2*AU13*$Q$35),  MAX(AU13*$Q$36,AU13*$Q$35)),  AU13*200),0)</f>
        <v>0</v>
      </c>
      <c r="AW13" s="2751">
        <f>IF(SUM($C13:$D13)&gt;0,$K$35*BT13,0)*1/VLOOKUP(B13,wfRange,Workflow!N$1,FALSE)</f>
        <v>0</v>
      </c>
      <c r="AX13" s="1474">
        <f>IF(AW13&gt;0, IF($A$33&lt;0.9999,   IF($T13=0,  MAX($CL$2*AW13*$Q$32,$CL$2*AW13*$Q$31),  MAX(AW13*$Q$32,AW13*$Q$31)),  AW13*200),0)</f>
        <v>0</v>
      </c>
      <c r="AY13" s="2751">
        <f>IF(SUM($C13:$D13)&gt;0,$K$31*BS13,0)*1/VLOOKUP(B13,wfRange,Workflow!N$1,FALSE)</f>
        <v>0</v>
      </c>
      <c r="AZ13" s="1474">
        <f>IF(AY13&gt;0, IF($A$29&lt;0.9999,   IF($T13=0,  MAX($CL$2*AY13*$Q$28,$CL$2*AY13*$Q$27),  MAX(AY13*$Q$28,AY13*$Q$27)),  AY13*200),0)</f>
        <v>0</v>
      </c>
      <c r="BA13" s="2751">
        <f>IF(SUM($C13:$D13)&gt;0,$K$27*BR13,0)*1/VLOOKUP(B13,wfRange,Workflow!N$1,FALSE)</f>
        <v>0</v>
      </c>
      <c r="BB13" s="1474">
        <f>IF(BA13&gt;0, IF($A$25&lt;0.9999,   IF($T13=0,  MAX($CL$2*BA13*$Q$24,$CL$2*BA13*$Q$23),  MAX(BA13*$Q$24,BA13*$Q$23)),  BA13*200),0)</f>
        <v>0</v>
      </c>
      <c r="BC13" s="2751">
        <f ca="1">IF(SUM($C13:$D13)&gt;0,IF($CJ13&gt;0,IF($CO13&gt;$CN13,$I13/$CN13,$I13/$CO13),$I13/$CN13),0)</f>
        <v>2.2222222222222223E-2</v>
      </c>
      <c r="BD13" s="930">
        <f ca="1">IF(BC13&gt;0,IF(CL13&lt;0.9999,BC13*CL13/((1+$CK$2*CL13)*(1-CL13)),BC13*500),0)</f>
        <v>5.723957221449781E-4</v>
      </c>
      <c r="BE13" s="2765">
        <f ca="1">IF(SUM($C13:$D13)&gt;0,IF(CJ13&gt;0,VLOOKUP($CJ13+200,NL,6,FALSE)*S13,0),0)/1000</f>
        <v>0</v>
      </c>
      <c r="BF13" s="2765">
        <f>IF(SUM($C13:$D13)&gt;0,BQ13*$BO$2/$G$22,0)*1/VLOOKUP(B13,wfRange,Workflow!N$1,FALSE)</f>
        <v>3.0306854669831077E-2</v>
      </c>
      <c r="BG13" s="2736">
        <f>IF($CW13="desktop",VLOOKUP($R13,DataArray,5,FALSE)* VLOOKUP($B13,wfRange,Workflow!C$1,FALSE), VLOOKUP($B13,wfRange,Workflow!C$1,FALSE))</f>
        <v>2</v>
      </c>
      <c r="BH13" s="1476">
        <f>IF(CW13="Desktop", VLOOKUP($R13,DataArray,4,FALSE)* IF(ISERROR(FIND("File",$R13)), VLOOKUP($B13,wfRange,Workflow!D$1,FALSE), VLOOKUP($B13,wfRange,Workflow!D$1,FALSE)+ VLOOKUP($B13,wfRange,Workflow!I$1,FALSE)+ VLOOKUP($B13,wfRange,Workflow!K$1,FALSE)), VLOOKUP($B13,wfRange,Workflow!D$1,FALSE))</f>
        <v>2.5289841565703634E-2</v>
      </c>
      <c r="BI13" s="542">
        <f>IF(VLOOKUP($B13,wfRange,Workflow!E$1,FALSE)&gt;0, VLOOKUP($R13,DataArray,4,FALSE)* IF(ISERROR(FIND("File",$R13)),   VLOOKUP($B13,wfRange,Workflow!E$1,FALSE),     VLOOKUP($B13,wfRange,Workflow!E$1,FALSE)+ VLOOKUP($B13,wfRange,Workflow!I$1,FALSE)+ VLOOKUP($B13,wfRange,Workflow!K$1,FALSE)),0)</f>
        <v>0</v>
      </c>
      <c r="BJ13" s="543">
        <f>VLOOKUP($B13,wfRange,Workflow!F$1,FALSE)</f>
        <v>8.2191985088536819E-3</v>
      </c>
      <c r="BK13" s="543">
        <f>MAX(VLOOKUP($B13,wfRange,Workflow!G$1,FALSE),IF(W13=$BB$22,$BC$22,0))</f>
        <v>0</v>
      </c>
      <c r="BL13" s="543">
        <f>IF(VLOOKUP($B13,wfRange,Workflow!H$1,FALSE)&gt;0,VLOOKUP($R13,DataArray,4,FALSE)* IF(ISERROR(FIND("File",$R13)),VLOOKUP($B13,wfRange,Workflow!H$1,FALSE),VLOOKUP($B13,wfRange,Workflow!H$1,FALSE)+VLOOKUP($B13,wfRange,Workflow!I$1,FALSE)+VLOOKUP($B13,wfRange,Workflow!K$1,FALSE)),0)</f>
        <v>0.16438397017707365</v>
      </c>
      <c r="BM13" s="544">
        <f>VLOOKUP($R13,DataArray,3,FALSE)* VLOOKUP($B13,wfRange,Workflow!I$1,FALSE)</f>
        <v>2.0547996272134206E-2</v>
      </c>
      <c r="BN13" s="545">
        <f>VLOOKUP($R13,DataArray,5,FALSE)* VLOOKUP($B13,wfRange,Workflow!J$1,FALSE)</f>
        <v>10</v>
      </c>
      <c r="BO13" s="544">
        <f>VLOOKUP($R13,DataArray,2,FALSE)* VLOOKUP($B13,wfRange,Workflow!K$1,FALSE)</f>
        <v>2.0547996272134206E-2</v>
      </c>
      <c r="BP13" s="753">
        <f>SUM(BH13:BM13,BO13)</f>
        <v>0.23898900279589941</v>
      </c>
      <c r="BQ13" s="1471">
        <f t="shared" si="3"/>
        <v>2.5289841565703634E-2</v>
      </c>
      <c r="BR13" s="1472">
        <f t="shared" si="3"/>
        <v>0</v>
      </c>
      <c r="BS13" s="1472">
        <f t="shared" si="3"/>
        <v>0</v>
      </c>
      <c r="BT13" s="1472">
        <f t="shared" si="3"/>
        <v>0</v>
      </c>
      <c r="BU13" s="1472">
        <f t="shared" si="3"/>
        <v>0</v>
      </c>
      <c r="BV13" s="1472">
        <f t="shared" si="3"/>
        <v>0</v>
      </c>
      <c r="BW13" s="1472">
        <f t="shared" si="3"/>
        <v>0</v>
      </c>
      <c r="BX13" s="1472">
        <f t="shared" si="3"/>
        <v>0</v>
      </c>
      <c r="BY13" s="1472">
        <f t="shared" si="3"/>
        <v>0</v>
      </c>
      <c r="BZ13" s="1472">
        <f t="shared" si="3"/>
        <v>0</v>
      </c>
      <c r="CA13" s="1472">
        <f t="shared" si="3"/>
        <v>0</v>
      </c>
      <c r="CB13" s="1472">
        <f t="shared" si="3"/>
        <v>0</v>
      </c>
      <c r="CC13" s="1472">
        <f t="shared" si="3"/>
        <v>0</v>
      </c>
      <c r="CD13" s="1472">
        <f t="shared" si="3"/>
        <v>8.2191985088536819E-3</v>
      </c>
      <c r="CE13" s="1472">
        <f t="shared" si="3"/>
        <v>0.18493196644920787</v>
      </c>
      <c r="CF13" s="1472">
        <f t="shared" si="3"/>
        <v>2.0547996272134206E-2</v>
      </c>
      <c r="CG13" s="541">
        <f>$BN13</f>
        <v>10</v>
      </c>
      <c r="CH13" s="951">
        <f ca="1">CJ13+100</f>
        <v>101</v>
      </c>
      <c r="CI13" s="951">
        <f ca="1">COUNTBLANK($CI$5:$CI13)</f>
        <v>2</v>
      </c>
      <c r="CJ13" s="951">
        <f ca="1">COUNTBLANK($CJ$5:$CJ13)</f>
        <v>1</v>
      </c>
      <c r="CK13" s="1477">
        <f ca="1">COUNTA($CK$5:$CK13)</f>
        <v>6</v>
      </c>
      <c r="CL13" s="547">
        <f ca="1">IF(CO13=0,VLOOKUP($CI13,NL,5,FALSE),IF(CO13&lt;CN13,VLOOKUP($CJ13+200,NL,5,FALSE),VLOOKUP($CI13,NL,5,FALSE)))</f>
        <v>2.5740740740740745E-2</v>
      </c>
      <c r="CM13" s="1475"/>
      <c r="CN13" s="548">
        <f ca="1">VLOOKUP($CI13,NL,3,FALSE)</f>
        <v>90</v>
      </c>
      <c r="CO13" s="549">
        <f ca="1">IF(CJ13&gt;0,VLOOKUP($CJ13+200,NL,2,FALSE),0)</f>
        <v>90</v>
      </c>
      <c r="CP13" s="570">
        <f>VLOOKUP($B13,wfRange,Workflow!L$1,FALSE)</f>
        <v>3</v>
      </c>
      <c r="CQ13" s="1473">
        <f>IF($CQ$5=1000,1000,VLOOKUP($B13,wfRange,Workflow!M$1,FALSE))</f>
        <v>6</v>
      </c>
      <c r="CR13" s="767">
        <f ca="1">IF(SUM($C13:$D13)&gt;0,IF(T13&gt;0,60/(T13+V13),60/V13),1000)</f>
        <v>18.276862578907743</v>
      </c>
      <c r="CS13" s="766">
        <f ca="1">IF(CR13&gt;E13,E13+ABS(CR13-E13)*$U$2/100,E13-ABS(CR13-E13)*$U$2/500)</f>
        <v>7.2276862578907739</v>
      </c>
      <c r="CT13" s="1478" t="str">
        <f t="shared" si="1"/>
        <v>S WebMap</v>
      </c>
      <c r="CU13" s="1478" t="str">
        <f>IF(ISERROR(FIND("_",R13)),R13,LEFT(R13,FIND("_",R13)-1))</f>
        <v>DB</v>
      </c>
      <c r="CV13" s="1479">
        <f>F13*60</f>
        <v>360</v>
      </c>
      <c r="CW13" s="1900" t="str">
        <f>VLOOKUP($B13,wfRange,Workflow!O$1,FALSE)</f>
        <v>Server</v>
      </c>
      <c r="CX13" s="1478">
        <f>IF(ISERROR(IF(CW13=" Imagery",MATCH(R13,ImageryDataList,0), MATCH(R13,MapDataList,0))),1,0)</f>
        <v>0</v>
      </c>
      <c r="CY13" s="1914">
        <f>IF(CW13=" imagery",IF($O13=$A$185,0,IF($O13=$A$186,0,1)),0)</f>
        <v>0</v>
      </c>
      <c r="CZ13" s="1908">
        <f>IF(AND(O13=$A$186,R13=Calculator!$C$171),1,0)</f>
        <v>0</v>
      </c>
      <c r="DA13" s="1900" t="str">
        <f>IF(BH13&gt;0.04*$BO$2/58,DA$4,"server")</f>
        <v>server</v>
      </c>
      <c r="DB13" s="1480"/>
      <c r="DC13" s="1480"/>
      <c r="DD13" s="1480"/>
      <c r="DE13" s="1480"/>
      <c r="DF13" s="1481"/>
      <c r="DG13" s="550"/>
      <c r="DH13" s="1482">
        <f>IF($BQ13&gt;0, IF(ISTEXT(DH$3), $C13+IF($D13&lt;1000,$D13,$D13/($E13*60)),0),0)</f>
        <v>1</v>
      </c>
      <c r="DI13" s="1483">
        <f>IF(DH13&gt;0,IF(ISTEXT(DH$3),$F13),0)</f>
        <v>6</v>
      </c>
      <c r="DJ13" s="1484">
        <f>IF(DH13&gt;0,IF(ISTEXT(DH$3),$G13),0)</f>
        <v>0.2</v>
      </c>
      <c r="DK13" s="1485">
        <f>$BQ13*DI13</f>
        <v>0.15173904939422181</v>
      </c>
      <c r="DL13" s="801" t="b">
        <f>ISERROR(MATCH(DN$3,$J13:$O13,0))</f>
        <v>1</v>
      </c>
      <c r="DM13" s="802">
        <f>IF($BR13&gt;0, IF(ISTEXT(DM$3), $C13+IF($D13&lt;1000,$D13,$D13/($E13*60)),0),0)</f>
        <v>0</v>
      </c>
      <c r="DN13" s="802">
        <f>IF(DM13&gt;0,IF(ISTEXT(DM$3),$F13),0)</f>
        <v>0</v>
      </c>
      <c r="DO13" s="539">
        <f>IF(DM13&gt;0,IF(ISTEXT(DM$3),$G13),0)</f>
        <v>0</v>
      </c>
      <c r="DP13" s="698">
        <f>IF($I13=0,0,IF(DM13&gt;0,DO13*$CG13/$I13,0))</f>
        <v>0</v>
      </c>
      <c r="DQ13" s="803">
        <f>$BR13*DN13</f>
        <v>0</v>
      </c>
      <c r="DR13" s="801" t="b">
        <f>ISERROR(MATCH(DT$3,$J13:$O13,0))</f>
        <v>1</v>
      </c>
      <c r="DS13" s="802">
        <f>IF($BS13&gt;0, IF(ISTEXT(DS$3), $C13+IF($D13&lt;1000,$D13,$D13/($E13*60)),0),0)</f>
        <v>0</v>
      </c>
      <c r="DT13" s="802">
        <f>IF(DS13&gt;0,IF(ISTEXT(DS$3),$F13),0)</f>
        <v>0</v>
      </c>
      <c r="DU13" s="539">
        <f>IF(DS13&gt;0,IF(ISTEXT(DS$3),$G13),0)</f>
        <v>0</v>
      </c>
      <c r="DV13" s="698">
        <f>IF($I13=0,0,IF(DS13&gt;0,DU13*$CG13/$I13,0))</f>
        <v>0</v>
      </c>
      <c r="DW13" s="803">
        <f>$BS13*DT13</f>
        <v>0</v>
      </c>
      <c r="DX13" s="801" t="b">
        <f>ISERROR(MATCH(DZ$3,$J13:$O13,0))</f>
        <v>1</v>
      </c>
      <c r="DY13" s="802">
        <f>IF($BT13&gt;0, IF(ISTEXT(DY$3), $C13+IF($D13&lt;1000,$D13,$D13/($E13*60)),0),0)</f>
        <v>0</v>
      </c>
      <c r="DZ13" s="802">
        <f>IF(DY13&gt;0,IF(ISTEXT(DY$3),$F13),0)</f>
        <v>0</v>
      </c>
      <c r="EA13" s="539">
        <f>IF(DY13&gt;0,IF(ISTEXT(DY$3),$G13),0)*IF($DX13=FALSE,IF($DZ$3=$D$184,1,$EA$3),1)</f>
        <v>0</v>
      </c>
      <c r="EB13" s="698">
        <f>IF($I13=0,0,IF(DY13&gt;0,EA13*$CG13/$I13,0))</f>
        <v>0</v>
      </c>
      <c r="EC13" s="803">
        <f>$BT13*DZ13</f>
        <v>0</v>
      </c>
      <c r="ED13" s="801" t="b">
        <f>ISERROR(MATCH(EF$3,$J13:$O13,0))</f>
        <v>1</v>
      </c>
      <c r="EE13" s="802">
        <f>IF($BU13&gt;0, IF(ISTEXT(EE$3), $C13+IF($D13&lt;1000,$D13,$D13/($E13*60)),0),0)</f>
        <v>0</v>
      </c>
      <c r="EF13" s="802">
        <f>IF(EE13&gt;0,IF(ISTEXT(EE$3),$F13),0)</f>
        <v>0</v>
      </c>
      <c r="EG13" s="539">
        <f>IF(EE13&gt;0,IF(ISTEXT(EE$3),$G13),0)</f>
        <v>0</v>
      </c>
      <c r="EH13" s="698">
        <f>IF($I13=0,0,IF(EE13&gt;0,EG13*$CG13/$I13,0))</f>
        <v>0</v>
      </c>
      <c r="EI13" s="803">
        <f>$BU13*EF13</f>
        <v>0</v>
      </c>
      <c r="EJ13" s="801" t="b">
        <f>ISERROR(MATCH(EL$3,$J13:$O13,0))</f>
        <v>1</v>
      </c>
      <c r="EK13" s="1483">
        <f>IF($BV13&gt;0, IF(ISTEXT(EK$3), $C13+IF($D13&lt;1000,$D13,$D13/($E13*60)),0),0)</f>
        <v>0</v>
      </c>
      <c r="EL13" s="1483">
        <f>IF(EK13&gt;0,IF(ISTEXT(EK$3),$F13),0)</f>
        <v>0</v>
      </c>
      <c r="EM13" s="1484">
        <f>IF(EK13&gt;0,IF(ISTEXT(EK$3),$G13),0)</f>
        <v>0</v>
      </c>
      <c r="EN13" s="1486">
        <f>IF($I13=0,0,IF(EK13&gt;0,EM13*$CG13/$I13,0))</f>
        <v>0</v>
      </c>
      <c r="EO13" s="1487">
        <f>$BV13*EL13</f>
        <v>0</v>
      </c>
      <c r="EP13" s="801" t="b">
        <f>ISERROR(MATCH(ER$3,$J13:$O13,0))</f>
        <v>1</v>
      </c>
      <c r="EQ13" s="1488">
        <f>IF($BW13&gt;0, IF(ISTEXT(EQ$3), $C13+IF($D13&lt;1000,$D13,$D13/($E13*60)),0),0)</f>
        <v>0</v>
      </c>
      <c r="ER13" s="1483">
        <f>IF(EQ13&gt;0,IF(ISTEXT(EQ$3),$F13),0)</f>
        <v>0</v>
      </c>
      <c r="ES13" s="1484">
        <f>IF(EQ13&gt;0,IF(ISTEXT(EQ$3),$G13),0)</f>
        <v>0</v>
      </c>
      <c r="ET13" s="1486">
        <f>IF($I13=0,0,IF(EQ13&gt;0,ES13*$CG13/$I13,0))</f>
        <v>0</v>
      </c>
      <c r="EU13" s="1487">
        <f>$BW13*ER13</f>
        <v>0</v>
      </c>
      <c r="EV13" s="801" t="b">
        <f>ISERROR(MATCH(EX$3,$J13:$O13,0))</f>
        <v>1</v>
      </c>
      <c r="EW13" s="1488">
        <f>IF($BX13&gt;0, IF(ISTEXT(EW$3), $C13+IF($D13&lt;1000,$D13,$D13/($E13*60)),0),0)</f>
        <v>0</v>
      </c>
      <c r="EX13" s="1483">
        <f>IF(EW13&gt;0,IF(ISTEXT(EW$3),$F13),0)</f>
        <v>0</v>
      </c>
      <c r="EY13" s="1484">
        <f>IF(EW13&gt;0,IF(ISTEXT(EW$3),$G13),0)</f>
        <v>0</v>
      </c>
      <c r="EZ13" s="1486">
        <f>IF($I13=0,0,IF(EW13&gt;0,EY13*$CG13/$I13,0))</f>
        <v>0</v>
      </c>
      <c r="FA13" s="1487">
        <f>$BX13*EX13</f>
        <v>0</v>
      </c>
      <c r="FB13" s="801" t="b">
        <f>ISERROR(MATCH(FD$3,$J13:$O13,0))</f>
        <v>1</v>
      </c>
      <c r="FC13" s="1488">
        <f>IF($BY13&gt;0, IF(ISTEXT(FC$3), $C13+IF($D13&lt;1000,$D13,$D13/($E13*60)),0),0)</f>
        <v>0</v>
      </c>
      <c r="FD13" s="1483">
        <f>IF(FC13&gt;0,IF(ISTEXT(FC$3),$F13),0)</f>
        <v>0</v>
      </c>
      <c r="FE13" s="1484">
        <f>IF(FC13&gt;0,IF(ISTEXT(FC$3),$G13),0)</f>
        <v>0</v>
      </c>
      <c r="FF13" s="1486">
        <f>IF($I13=0,0,IF(FC13&gt;0,FE13*$CG13/$I13,0))</f>
        <v>0</v>
      </c>
      <c r="FG13" s="1487">
        <f>$BY13*FD13</f>
        <v>0</v>
      </c>
      <c r="FH13" s="801" t="b">
        <f>ISERROR(MATCH(FJ$3,$J13:$O13,0))</f>
        <v>1</v>
      </c>
      <c r="FI13" s="1488">
        <f>IF($BZ13&gt;0, IF(ISTEXT(FI$3), $C13+IF($D13&lt;1000,$D13,$D13/($E13*60)),0),0)</f>
        <v>0</v>
      </c>
      <c r="FJ13" s="1483">
        <f>IF(FI13&gt;0,IF(ISTEXT(FI$3),$F13),0)</f>
        <v>0</v>
      </c>
      <c r="FK13" s="1484">
        <f>IF(FI13&gt;0,IF(ISTEXT(FI$3),$G13),0)</f>
        <v>0</v>
      </c>
      <c r="FL13" s="1486">
        <f>IF($I13=0,0,IF(FI13&gt;0,FK13*$CG13/$I13,0))</f>
        <v>0</v>
      </c>
      <c r="FM13" s="1487">
        <f>$BZ13*FJ13</f>
        <v>0</v>
      </c>
      <c r="FN13" s="801" t="b">
        <f>ISERROR(MATCH(FP$3,$J13:$O13,0))</f>
        <v>1</v>
      </c>
      <c r="FO13" s="1488">
        <f>IF($CA13&gt;0, IF(ISTEXT(FO$3), $C13+IF($D13&lt;1000,$D13,$D13/($E13*60)),0),0)</f>
        <v>0</v>
      </c>
      <c r="FP13" s="1483">
        <f>IF(FO13&gt;0,IF(ISTEXT(FO$3),$F13),0)</f>
        <v>0</v>
      </c>
      <c r="FQ13" s="1484">
        <f>IF(FO13&gt;0,IF(ISTEXT(FO$3),$G13),0)</f>
        <v>0</v>
      </c>
      <c r="FR13" s="1486">
        <f>IF($I13=0,0,IF(FO13&gt;0,FQ13*$CG13/$I13,0))</f>
        <v>0</v>
      </c>
      <c r="FS13" s="1487">
        <f>$CA13*FP13</f>
        <v>0</v>
      </c>
      <c r="FT13" s="801" t="b">
        <f>ISERROR(MATCH(FV$3,$J13:$O13,0))</f>
        <v>1</v>
      </c>
      <c r="FU13" s="1488">
        <f>IF($CB13&gt;0, IF(ISTEXT(FU$3), $C13+IF($D13&lt;1000,$D13,$D13/($E13*60)),0),0)</f>
        <v>0</v>
      </c>
      <c r="FV13" s="1483">
        <f>IF(FU13&gt;0,IF(ISTEXT(FU$3),$F13),0)</f>
        <v>0</v>
      </c>
      <c r="FW13" s="1484">
        <f>IF(FU13&gt;0,IF(ISTEXT(FU$3),$G13),0)</f>
        <v>0</v>
      </c>
      <c r="FX13" s="1486">
        <f>IF($I13=0,0,IF(FU13&gt;0,FW13*$CG13/$I13,0))</f>
        <v>0</v>
      </c>
      <c r="FY13" s="1487">
        <f>$CB13*FV13</f>
        <v>0</v>
      </c>
      <c r="FZ13" s="801" t="b">
        <f>ISERROR(MATCH(GB$3,$J13:$O13,0))</f>
        <v>1</v>
      </c>
      <c r="GA13" s="1488">
        <f>IF($CC13&gt;0, IF(ISTEXT(GA$3), $C13+IF($D13&lt;1000,$D13,$D13/($E13*60)),0),0)</f>
        <v>0</v>
      </c>
      <c r="GB13" s="1483">
        <f>IF(GA13&gt;0,IF(ISTEXT(GA$3),$F13),0)</f>
        <v>0</v>
      </c>
      <c r="GC13" s="1484">
        <f>IF(GA13&gt;0,IF(ISTEXT(GA$3),$G13),0)</f>
        <v>0</v>
      </c>
      <c r="GD13" s="1486">
        <f>IF($I13=0,0,IF(GA13&gt;0,GC13*$CG13/$I13,0))</f>
        <v>0</v>
      </c>
      <c r="GE13" s="1487">
        <f>$CC13*GB13</f>
        <v>0</v>
      </c>
      <c r="GF13" s="801" t="b">
        <f>ISERROR(MATCH(GH$3,$J13:$O13,0))</f>
        <v>1</v>
      </c>
      <c r="GG13" s="1488">
        <f>IF($CD13&gt;0, IF(ISTEXT(GG$3), $C13+IF($D13&lt;1000,$D13,$D13/($E13*60)),0),0)</f>
        <v>1</v>
      </c>
      <c r="GH13" s="1483">
        <f>IF(GG13&gt;0,IF(ISTEXT(GG$3),$F13),0)</f>
        <v>6</v>
      </c>
      <c r="GI13" s="1484">
        <f>IF(GG13&gt;0,IF(ISTEXT(GG$3),$G13),0)</f>
        <v>0.2</v>
      </c>
      <c r="GJ13" s="1486">
        <f>IF($I13=0,0,IF(GG13&gt;0,GI13*$CG13/$I13,0))</f>
        <v>1</v>
      </c>
      <c r="GK13" s="1487">
        <f>$CD13*GH13</f>
        <v>4.9315191053122091E-2</v>
      </c>
      <c r="GL13" s="801" t="b">
        <f>ISERROR(MATCH(GN$3,$J13:$O13,0))</f>
        <v>1</v>
      </c>
      <c r="GM13" s="1488">
        <f>IF($CE13&gt;0, IF(ISTEXT(GM$3), $C13+IF($D13&lt;1000,$D13,$D13/($E13*60)),0),0)</f>
        <v>1</v>
      </c>
      <c r="GN13" s="1483">
        <f>IF(GM13&gt;0,IF(ISTEXT(GM$3),$F13),0)</f>
        <v>6</v>
      </c>
      <c r="GO13" s="1484">
        <f>IF(GM13&gt;0,IF(ISTEXT(GM$3),$G13),0)</f>
        <v>0.2</v>
      </c>
      <c r="GP13" s="1486">
        <f>IF($I13=0,0,IF(GM13&gt;0,GO13*$CG13/$I13,0))</f>
        <v>1</v>
      </c>
      <c r="GQ13" s="1487">
        <f>$CE13*GN13</f>
        <v>1.1095917986952473</v>
      </c>
      <c r="GR13" s="801" t="b">
        <f>ISERROR(MATCH(GT$3,$J13:$O13,0))</f>
        <v>1</v>
      </c>
      <c r="GS13" s="1488">
        <f>IF($CF13&gt;0, IF(ISTEXT(GS$3), $C13+IF($D13&lt;1000,$D13,$D13/($E13*60)),0),0)</f>
        <v>1</v>
      </c>
      <c r="GT13" s="1483">
        <f>IF(GS13&gt;0,IF(ISTEXT(GS$3),$F13),0)</f>
        <v>6</v>
      </c>
      <c r="GU13" s="1484">
        <f>IF(I13=0,0,IF(GS13&gt;0,IF(ISTEXT(GS$3),$G13),0)*$CG13/$I13)</f>
        <v>1</v>
      </c>
      <c r="GV13" s="1484"/>
      <c r="GW13" s="1487">
        <f>$CF13*GT13</f>
        <v>0.12328797763280525</v>
      </c>
      <c r="GX13" s="1489">
        <f>IF(ISERROR(FIND("File",$R13)),0,F13*$BN13*VLOOKUP(R13,DataArray,4,FALSE))/60</f>
        <v>0</v>
      </c>
      <c r="GY13" s="551" t="b">
        <f>ISERROR(OR(FIND("F",$R13)))</f>
        <v>1</v>
      </c>
      <c r="GZ13" s="2471" t="b">
        <f>ISERROR(OR(FIND("Image",$R13)))</f>
        <v>1</v>
      </c>
      <c r="HA13" s="2476"/>
      <c r="HB13" s="2866"/>
      <c r="HC13" s="2866"/>
    </row>
    <row r="14" spans="1:211" ht="15" customHeight="1" x14ac:dyDescent="0.15">
      <c r="A14" s="1450" t="str">
        <f>CT14</f>
        <v>Internet</v>
      </c>
      <c r="B14" s="1093" t="s">
        <v>394</v>
      </c>
      <c r="C14" s="1451"/>
      <c r="D14" s="1451"/>
      <c r="E14" s="1090">
        <f ca="1">SUM(C14:OFFSET(C14,MATCH(BG14,OFFSET(BG14,1,0):BG$20,0)-1,0))</f>
        <v>3</v>
      </c>
      <c r="F14" s="1095">
        <f ca="1">SUM(G14:OFFSET(G14,MATCH(BG14,OFFSET(BG14,1,0):BG$20,0)-1,0))</f>
        <v>2.3166666666666669</v>
      </c>
      <c r="G14" s="1092"/>
      <c r="H14" s="2479">
        <v>90</v>
      </c>
      <c r="I14" s="1096">
        <f ca="1">F14/H14</f>
        <v>2.5740740740740745E-2</v>
      </c>
      <c r="J14" s="1097"/>
      <c r="K14" s="1098"/>
      <c r="L14" s="1098"/>
      <c r="M14" s="1098"/>
      <c r="N14" s="1098"/>
      <c r="O14" s="1098"/>
      <c r="P14" s="1098"/>
      <c r="Q14" s="1098"/>
      <c r="R14" s="1491"/>
      <c r="S14" s="1492"/>
      <c r="T14" s="1101"/>
      <c r="U14" s="1102"/>
      <c r="V14" s="1103"/>
      <c r="W14" s="2678"/>
      <c r="X14" s="1107"/>
      <c r="Y14" s="2750"/>
      <c r="Z14" s="1455"/>
      <c r="AA14" s="2750"/>
      <c r="AB14" s="1455"/>
      <c r="AC14" s="2750"/>
      <c r="AD14" s="1105"/>
      <c r="AE14" s="2750"/>
      <c r="AF14" s="1455"/>
      <c r="AG14" s="2750"/>
      <c r="AH14" s="1455"/>
      <c r="AI14" s="2750"/>
      <c r="AJ14" s="1455"/>
      <c r="AK14" s="2750"/>
      <c r="AL14" s="1455"/>
      <c r="AM14" s="2750"/>
      <c r="AN14" s="1455"/>
      <c r="AO14" s="2750"/>
      <c r="AP14" s="1455"/>
      <c r="AQ14" s="2750"/>
      <c r="AR14" s="1455"/>
      <c r="AS14" s="2750"/>
      <c r="AT14" s="1455"/>
      <c r="AU14" s="2750"/>
      <c r="AV14" s="1455"/>
      <c r="AW14" s="2750"/>
      <c r="AX14" s="1455"/>
      <c r="AY14" s="2750"/>
      <c r="AZ14" s="1455"/>
      <c r="BA14" s="2750"/>
      <c r="BB14" s="1455"/>
      <c r="BC14" s="2758"/>
      <c r="BD14" s="2759"/>
      <c r="BE14" s="2764"/>
      <c r="BF14" s="2764"/>
      <c r="BG14" s="1099" t="s">
        <v>308</v>
      </c>
      <c r="BH14" s="1494"/>
      <c r="BI14" s="1494"/>
      <c r="BJ14" s="1494"/>
      <c r="BK14" s="1494"/>
      <c r="BL14" s="1494"/>
      <c r="BM14" s="1494"/>
      <c r="BN14" s="1494"/>
      <c r="BO14" s="1494"/>
      <c r="BP14" s="1491"/>
      <c r="BQ14" s="1099"/>
      <c r="BR14" s="1099"/>
      <c r="BS14" s="1099"/>
      <c r="BT14" s="1099"/>
      <c r="BU14" s="1099"/>
      <c r="BV14" s="1099"/>
      <c r="BW14" s="1099"/>
      <c r="BX14" s="1099"/>
      <c r="BY14" s="1099"/>
      <c r="BZ14" s="1099"/>
      <c r="CA14" s="1099"/>
      <c r="CB14" s="1099"/>
      <c r="CC14" s="1099"/>
      <c r="CD14" s="1099"/>
      <c r="CE14" s="1099"/>
      <c r="CF14" s="1099"/>
      <c r="CG14" s="1100"/>
      <c r="CH14" s="1457">
        <f ca="1">COUNTBLANK($CI$5:$CI14)</f>
        <v>3</v>
      </c>
      <c r="CI14" s="1458"/>
      <c r="CJ14" s="1459">
        <f>H14</f>
        <v>90</v>
      </c>
      <c r="CK14" s="1458"/>
      <c r="CL14" s="1106">
        <f ca="1">I14</f>
        <v>2.5740740740740745E-2</v>
      </c>
      <c r="CM14" s="1493"/>
      <c r="CN14" s="1107"/>
      <c r="CO14" s="1107"/>
      <c r="CP14" s="1108" t="s">
        <v>117</v>
      </c>
      <c r="CQ14" s="1104"/>
      <c r="CR14" s="1109">
        <f ca="1">F14/H14</f>
        <v>2.5740740740740745E-2</v>
      </c>
      <c r="CS14" s="1461"/>
      <c r="CT14" s="1462" t="str">
        <f t="shared" si="1"/>
        <v>Internet</v>
      </c>
      <c r="CU14" s="1462">
        <f>IF(ISERROR(FIND("_",CW14)),CW14,LEFT(CW14,FIND("_",CW14)-1))</f>
        <v>0</v>
      </c>
      <c r="CV14" s="1463">
        <f>H14</f>
        <v>90</v>
      </c>
      <c r="CW14" s="1901"/>
      <c r="CX14" s="1462"/>
      <c r="CY14" s="1915"/>
      <c r="CZ14" s="1909"/>
      <c r="DA14" s="1901"/>
      <c r="DB14" s="1464"/>
      <c r="DC14" s="1464"/>
      <c r="DD14" s="1464"/>
      <c r="DE14" s="1464"/>
      <c r="DF14" s="1465"/>
      <c r="DG14" s="1117"/>
      <c r="DH14" s="1495"/>
      <c r="DI14" s="1460"/>
      <c r="DJ14" s="1496"/>
      <c r="DK14" s="1497"/>
      <c r="DL14" s="1124"/>
      <c r="DM14" s="1125"/>
      <c r="DN14" s="1125"/>
      <c r="DO14" s="1126"/>
      <c r="DP14" s="1126"/>
      <c r="DQ14" s="1127"/>
      <c r="DR14" s="1124"/>
      <c r="DS14" s="1125"/>
      <c r="DT14" s="1125"/>
      <c r="DU14" s="1126"/>
      <c r="DV14" s="1126"/>
      <c r="DW14" s="1127"/>
      <c r="DX14" s="1124"/>
      <c r="DY14" s="1125"/>
      <c r="DZ14" s="1125"/>
      <c r="EA14" s="1126"/>
      <c r="EB14" s="1126"/>
      <c r="EC14" s="1127"/>
      <c r="ED14" s="1124"/>
      <c r="EE14" s="1125"/>
      <c r="EF14" s="1125"/>
      <c r="EG14" s="1126"/>
      <c r="EH14" s="1126"/>
      <c r="EI14" s="1127"/>
      <c r="EJ14" s="1124"/>
      <c r="EK14" s="1460"/>
      <c r="EL14" s="1460"/>
      <c r="EM14" s="1496"/>
      <c r="EN14" s="1496"/>
      <c r="EO14" s="1498"/>
      <c r="EP14" s="1124"/>
      <c r="EQ14" s="1499"/>
      <c r="ER14" s="1460"/>
      <c r="ES14" s="1496"/>
      <c r="ET14" s="1496"/>
      <c r="EU14" s="1498"/>
      <c r="EV14" s="1124"/>
      <c r="EW14" s="1499"/>
      <c r="EX14" s="1460"/>
      <c r="EY14" s="1496"/>
      <c r="EZ14" s="1496"/>
      <c r="FA14" s="1498"/>
      <c r="FB14" s="1124"/>
      <c r="FC14" s="1499"/>
      <c r="FD14" s="1460"/>
      <c r="FE14" s="1496"/>
      <c r="FF14" s="1496"/>
      <c r="FG14" s="1498"/>
      <c r="FH14" s="1124"/>
      <c r="FI14" s="1499"/>
      <c r="FJ14" s="1460"/>
      <c r="FK14" s="1496"/>
      <c r="FL14" s="1496"/>
      <c r="FM14" s="1498"/>
      <c r="FN14" s="1124"/>
      <c r="FO14" s="1499"/>
      <c r="FP14" s="1460"/>
      <c r="FQ14" s="1496"/>
      <c r="FR14" s="1496"/>
      <c r="FS14" s="1498"/>
      <c r="FT14" s="1124"/>
      <c r="FU14" s="1499"/>
      <c r="FV14" s="1460"/>
      <c r="FW14" s="1496"/>
      <c r="FX14" s="1496"/>
      <c r="FY14" s="1498"/>
      <c r="FZ14" s="1124"/>
      <c r="GA14" s="1499"/>
      <c r="GB14" s="1460"/>
      <c r="GC14" s="1496"/>
      <c r="GD14" s="1496"/>
      <c r="GE14" s="1498"/>
      <c r="GF14" s="1124"/>
      <c r="GG14" s="1499"/>
      <c r="GH14" s="1460"/>
      <c r="GI14" s="1496"/>
      <c r="GJ14" s="1496"/>
      <c r="GK14" s="1498"/>
      <c r="GL14" s="1124"/>
      <c r="GM14" s="1499"/>
      <c r="GN14" s="1460"/>
      <c r="GO14" s="1496"/>
      <c r="GP14" s="1496"/>
      <c r="GQ14" s="1498"/>
      <c r="GR14" s="1124"/>
      <c r="GS14" s="1499"/>
      <c r="GT14" s="1460"/>
      <c r="GU14" s="1496"/>
      <c r="GV14" s="1496"/>
      <c r="GW14" s="1498"/>
      <c r="GX14" s="1500"/>
      <c r="GY14" s="1466"/>
      <c r="GZ14" s="2470"/>
      <c r="HA14" s="1493">
        <f>H14</f>
        <v>90</v>
      </c>
      <c r="HB14" s="2867">
        <f>12*LN(H14)^2+20</f>
        <v>262.97944483037321</v>
      </c>
      <c r="HC14" s="2868">
        <f>12*LN(H14)^2+20</f>
        <v>262.97944483037321</v>
      </c>
    </row>
    <row r="15" spans="1:211" ht="15" customHeight="1" x14ac:dyDescent="0.15">
      <c r="A15" s="896" t="str">
        <f ca="1">CT15</f>
        <v>R2</v>
      </c>
      <c r="B15" s="201" t="str">
        <f ca="1">IF(CK16&gt;0,CONCATENATE("R",CJ16,"_Remote Site ",CJ16),"")</f>
        <v>R2_Remote Site 2</v>
      </c>
      <c r="C15" s="185"/>
      <c r="D15" s="185"/>
      <c r="E15" s="372">
        <f ca="1">SUM(C15:OFFSET(C15,MATCH(BG15,OFFSET(BG15,1,0):BG$19,0)-1,0))</f>
        <v>3</v>
      </c>
      <c r="F15" s="373">
        <f ca="1">SUM(G15:OFFSET(G15,MATCH(BG15,OFFSET(BG15,1,0):BG$19,0)-1,0))</f>
        <v>2.3166666666666669</v>
      </c>
      <c r="G15" s="897"/>
      <c r="H15" s="2479">
        <v>90</v>
      </c>
      <c r="I15" s="189">
        <f ca="1">IF(H15&gt;0,CR15,0)</f>
        <v>2.5740740740740745E-2</v>
      </c>
      <c r="J15" s="1501"/>
      <c r="K15" s="1502"/>
      <c r="L15" s="1502"/>
      <c r="M15" s="1502"/>
      <c r="N15" s="1502"/>
      <c r="O15" s="1502"/>
      <c r="P15" s="1502"/>
      <c r="Q15" s="1502"/>
      <c r="R15" s="1503"/>
      <c r="S15" s="2480">
        <v>0</v>
      </c>
      <c r="T15" s="168"/>
      <c r="U15" s="169"/>
      <c r="V15" s="760"/>
      <c r="W15" s="2679"/>
      <c r="X15" s="2734">
        <f>DJ15</f>
        <v>0</v>
      </c>
      <c r="Y15" s="2752"/>
      <c r="Z15" s="2753"/>
      <c r="AA15" s="2752"/>
      <c r="AB15" s="2753"/>
      <c r="AC15" s="2752"/>
      <c r="AD15" s="78"/>
      <c r="AE15" s="2752"/>
      <c r="AF15" s="2753"/>
      <c r="AG15" s="2752"/>
      <c r="AH15" s="2753"/>
      <c r="AI15" s="2752"/>
      <c r="AJ15" s="2753"/>
      <c r="AK15" s="2752"/>
      <c r="AL15" s="2753"/>
      <c r="AM15" s="2752"/>
      <c r="AN15" s="2753"/>
      <c r="AO15" s="2752"/>
      <c r="AP15" s="2753"/>
      <c r="AQ15" s="2752"/>
      <c r="AR15" s="2753"/>
      <c r="AS15" s="2752"/>
      <c r="AT15" s="2753"/>
      <c r="AU15" s="2752"/>
      <c r="AV15" s="2753"/>
      <c r="AW15" s="2752"/>
      <c r="AX15" s="2753"/>
      <c r="AY15" s="2752"/>
      <c r="AZ15" s="2753"/>
      <c r="BA15" s="2752"/>
      <c r="BB15" s="2753"/>
      <c r="BC15" s="2760"/>
      <c r="BD15" s="2761"/>
      <c r="BE15" s="2477"/>
      <c r="BF15" s="2477"/>
      <c r="BG15" s="2737" t="s">
        <v>1179</v>
      </c>
      <c r="BH15" s="1505"/>
      <c r="BI15" s="1505"/>
      <c r="BJ15" s="1505"/>
      <c r="BK15" s="1505"/>
      <c r="BL15" s="1505"/>
      <c r="BM15" s="1505"/>
      <c r="BN15" s="1505"/>
      <c r="BO15" s="1505"/>
      <c r="BP15" s="1506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1507">
        <f ca="1">200+COUNTBLANK($CJ$5:$CJ15)</f>
        <v>202</v>
      </c>
      <c r="CI15" s="1508">
        <f>H15</f>
        <v>90</v>
      </c>
      <c r="CJ15" s="1502"/>
      <c r="CK15" s="952"/>
      <c r="CL15" s="61">
        <f ca="1">+CR15</f>
        <v>2.5740740740740745E-2</v>
      </c>
      <c r="CM15" s="1509">
        <f>S15</f>
        <v>0</v>
      </c>
      <c r="CN15" s="62"/>
      <c r="CO15" s="62"/>
      <c r="CP15" s="1510" t="s">
        <v>117</v>
      </c>
      <c r="CQ15" s="1504">
        <f>AC15</f>
        <v>0</v>
      </c>
      <c r="CR15" s="768">
        <f ca="1">IF($H15&gt;0,$F15/$H15,0)</f>
        <v>2.5740740740740745E-2</v>
      </c>
      <c r="CS15" s="1511"/>
      <c r="CT15" s="1512" t="str">
        <f t="shared" ca="1" si="1"/>
        <v>R2</v>
      </c>
      <c r="CU15" s="1512">
        <f>IF(ISERROR(FIND("_",CW15)),CW15,LEFT(CW15,FIND("_",CW15)-1))</f>
        <v>0</v>
      </c>
      <c r="CV15" s="1513">
        <f>H15</f>
        <v>90</v>
      </c>
      <c r="CW15" s="1902"/>
      <c r="CX15" s="1512"/>
      <c r="CY15" s="1897"/>
      <c r="CZ15" s="1513"/>
      <c r="DA15" s="1902"/>
      <c r="DB15" s="935"/>
      <c r="DC15" s="935"/>
      <c r="DD15" s="935"/>
      <c r="DE15" s="935"/>
      <c r="DF15" s="936"/>
      <c r="DG15" s="5"/>
      <c r="DH15" s="1514"/>
      <c r="DI15" s="1515"/>
      <c r="DJ15" s="1516"/>
      <c r="DK15" s="1517"/>
      <c r="DL15" s="804"/>
      <c r="DM15" s="805"/>
      <c r="DN15" s="805"/>
      <c r="DO15" s="28"/>
      <c r="DP15" s="28"/>
      <c r="DQ15" s="806"/>
      <c r="DR15" s="804"/>
      <c r="DS15" s="805"/>
      <c r="DT15" s="805"/>
      <c r="DU15" s="28"/>
      <c r="DV15" s="28"/>
      <c r="DW15" s="806"/>
      <c r="DX15" s="804"/>
      <c r="DY15" s="805"/>
      <c r="DZ15" s="805"/>
      <c r="EA15" s="28"/>
      <c r="EB15" s="28"/>
      <c r="EC15" s="806"/>
      <c r="ED15" s="804"/>
      <c r="EE15" s="805"/>
      <c r="EF15" s="805"/>
      <c r="EG15" s="28"/>
      <c r="EH15" s="28"/>
      <c r="EI15" s="806"/>
      <c r="EJ15" s="804"/>
      <c r="EK15" s="1515"/>
      <c r="EL15" s="1515"/>
      <c r="EM15" s="1516"/>
      <c r="EN15" s="1516"/>
      <c r="EO15" s="1515"/>
      <c r="EP15" s="804"/>
      <c r="EQ15" s="1518"/>
      <c r="ER15" s="1515"/>
      <c r="ES15" s="1516"/>
      <c r="ET15" s="1516"/>
      <c r="EU15" s="1515"/>
      <c r="EV15" s="804"/>
      <c r="EW15" s="1518"/>
      <c r="EX15" s="1515"/>
      <c r="EY15" s="1516"/>
      <c r="EZ15" s="1516"/>
      <c r="FA15" s="1519"/>
      <c r="FB15" s="804"/>
      <c r="FC15" s="1518"/>
      <c r="FD15" s="1515"/>
      <c r="FE15" s="1516"/>
      <c r="FF15" s="1516"/>
      <c r="FG15" s="1519"/>
      <c r="FH15" s="804"/>
      <c r="FI15" s="1518"/>
      <c r="FJ15" s="1515"/>
      <c r="FK15" s="1516"/>
      <c r="FL15" s="1516"/>
      <c r="FM15" s="1519"/>
      <c r="FN15" s="804"/>
      <c r="FO15" s="1518"/>
      <c r="FP15" s="1515"/>
      <c r="FQ15" s="1516"/>
      <c r="FR15" s="1516"/>
      <c r="FS15" s="1519"/>
      <c r="FT15" s="804"/>
      <c r="FU15" s="1518"/>
      <c r="FV15" s="1515"/>
      <c r="FW15" s="1516"/>
      <c r="FX15" s="1516"/>
      <c r="FY15" s="1519"/>
      <c r="FZ15" s="804"/>
      <c r="GA15" s="1518"/>
      <c r="GB15" s="1515"/>
      <c r="GC15" s="1516"/>
      <c r="GD15" s="1516"/>
      <c r="GE15" s="1519"/>
      <c r="GF15" s="804"/>
      <c r="GG15" s="1518"/>
      <c r="GH15" s="1520"/>
      <c r="GI15" s="1516"/>
      <c r="GJ15" s="1516"/>
      <c r="GK15" s="1519"/>
      <c r="GL15" s="804"/>
      <c r="GM15" s="1518"/>
      <c r="GN15" s="1520"/>
      <c r="GO15" s="1516"/>
      <c r="GP15" s="1516"/>
      <c r="GQ15" s="1519"/>
      <c r="GR15" s="804"/>
      <c r="GS15" s="1518"/>
      <c r="GT15" s="1515"/>
      <c r="GU15" s="1516"/>
      <c r="GV15" s="1516"/>
      <c r="GW15" s="1519"/>
      <c r="GX15" s="1521"/>
      <c r="GY15" s="1522"/>
      <c r="GZ15" s="2472"/>
      <c r="HA15" s="2477">
        <f>H15</f>
        <v>90</v>
      </c>
      <c r="HB15" s="2869">
        <f>12*LN(H15)^2+20</f>
        <v>262.97944483037321</v>
      </c>
      <c r="HC15" s="2869">
        <f>12*LN(H15)^2+20</f>
        <v>262.97944483037321</v>
      </c>
    </row>
    <row r="16" spans="1:211" s="1490" customFormat="1" ht="15" customHeight="1" x14ac:dyDescent="0.2">
      <c r="A16" s="1467" t="str">
        <f>IF($A$4=$H$167,$CI16&amp;"."&amp;$CJ16&amp;"."&amp;$CK16,CT16)</f>
        <v>S CitrixEdit</v>
      </c>
      <c r="B16" s="159" t="s">
        <v>211</v>
      </c>
      <c r="C16" s="1468">
        <v>1</v>
      </c>
      <c r="D16" s="1469"/>
      <c r="E16" s="537">
        <f>IF(D16&lt;1000,IF(SUM(C16:D16)=0,0,IF(AND(D$1=H$173,T16=0),CS16,IF(T$2=$H$178,X16,IF(T$2=$H$179,IF(T16&gt;0,  IF(CR16&gt;X16,X16,CS16),CS16),E16)))),X16)</f>
        <v>10</v>
      </c>
      <c r="F16" s="538">
        <f>IF($T$2=$H$177,0,IF($D$4=Calculator!$A$162,C16*E16+D16/60,IF(OR($D$4=Calculator!$A$163,D16&lt;1000),(C16+D16)*E16,C16*E16+D16/60)))</f>
        <v>10</v>
      </c>
      <c r="G16" s="803">
        <f>IF(SUM($C16:$D16)&gt;0,F16*$I16/60,0)</f>
        <v>1.25</v>
      </c>
      <c r="H16" s="925" t="str">
        <f>W16&amp;CU16&amp;" {"&amp;TEXT(F16*60,"###,##0")&amp;"}"</f>
        <v>DB {600}</v>
      </c>
      <c r="I16" s="540">
        <f>$BG16</f>
        <v>7.5</v>
      </c>
      <c r="J16" s="926" t="s">
        <v>382</v>
      </c>
      <c r="K16" s="926" t="s">
        <v>382</v>
      </c>
      <c r="L16" s="927" t="s">
        <v>382</v>
      </c>
      <c r="M16" s="927" t="s">
        <v>382</v>
      </c>
      <c r="N16" s="927" t="s">
        <v>382</v>
      </c>
      <c r="O16" s="927" t="s">
        <v>382</v>
      </c>
      <c r="P16" s="928" t="str">
        <f>IF(OR(AND($O16=$A$167,  $O$5=$A$167),AND($O16=$A$167,  $O$5=$A$187)), IF(BL16&gt;0,IF($N16=$A$167,$N$5,$N16), IF(BI16&gt;0,  IF($K16=$A$167,$K$5,$K16), IF($J16=$A$167,$J$5,$J16))),IF(O16=$A$167,O$5,O16))</f>
        <v>WTS</v>
      </c>
      <c r="Q16" s="929" t="s">
        <v>382</v>
      </c>
      <c r="R16" s="160" t="s">
        <v>1055</v>
      </c>
      <c r="S16" s="1470">
        <f>VLOOKUP($B16,wfRange,Workflow!B$1,FALSE)</f>
        <v>10</v>
      </c>
      <c r="T16" s="1245">
        <f>CP16</f>
        <v>3</v>
      </c>
      <c r="U16" s="546">
        <f ca="1">IF(F16=0,T16,60/E16-V16)</f>
        <v>5.5527096590064788</v>
      </c>
      <c r="V16" s="759">
        <f ca="1">IF(F16=0,0,SUM(Y16:BF16))</f>
        <v>0.4472903409935215</v>
      </c>
      <c r="W16" s="2682"/>
      <c r="X16" s="2733">
        <f>CQ16</f>
        <v>10</v>
      </c>
      <c r="Y16" s="2751">
        <f>IF(SUM($C16:$D16)&gt;0,$K$85*CF16,0)*1/VLOOKUP(B16,wfRange,Workflow!N$1,FALSE)</f>
        <v>3.186157458904957E-2</v>
      </c>
      <c r="Z16" s="1474">
        <f>IF(Y16&gt;0, IF($A$83&lt;0.9999,   IF($T16=0,  MAX($CL$2*Y16*$Q$82,$CL$2*Y16*$Q$81),  MAX(Y16*$Q$82,Y16*$Q$81)),  Y16*200),0)</f>
        <v>3.0020259687703874E-4</v>
      </c>
      <c r="AA16" s="2751">
        <f>IF(SUM($C16:$D16)&gt;0,$K$81*CE16,0)*1/VLOOKUP(B16,wfRange,Workflow!N$1,FALSE)</f>
        <v>0</v>
      </c>
      <c r="AB16" s="1474">
        <f>IF(AA16&gt;0, IF($A$79&lt;0.9999,   IF($T16=0,  MAX($CL$2*AA16*$Q$78,$CL$2*AA16*$Q$77),  MAX(AA16*$Q$78,AA16*$Q$77)),  AA16*200),0)</f>
        <v>0</v>
      </c>
      <c r="AC16" s="2751">
        <f>IF(SUM($C16:$D16)&gt;0,$K$77*CD16,0)*1/VLOOKUP(B16,wfRange,Workflow!N$1,FALSE)</f>
        <v>0</v>
      </c>
      <c r="AD16" s="1474">
        <f>IF(AC16&gt;0, IF($A$75&lt;0.9999,   IF($T16=0,  MAX($CL$2*AC16*$Q$74,$CL$2*AC16*$Q$73),  MAX(AC16*$Q$74,AC16*$Q$73)),  AC16*200),0)</f>
        <v>0</v>
      </c>
      <c r="AE16" s="2751">
        <f>IF(SUM($C16:$D16)&gt;0,$K$73*CC16,0)*1/VLOOKUP(B16,wfRange,Workflow!N$1,FALSE)</f>
        <v>0</v>
      </c>
      <c r="AF16" s="1474">
        <f>IF(AE16&gt;0, IF($A$71&lt;0.9999,   IF($T16=0,  MAX($CL$2*AE16*$Q$70,$CL$2*AE16*$Q$69),  MAX(AE16*$Q$70,AE16*$Q$69)),  AE16*200),0)</f>
        <v>0</v>
      </c>
      <c r="AG16" s="2751">
        <f>IF(SUM($C16:$D16)&gt;0,$K$69*CB16,0)*1/VLOOKUP(B16,wfRange,Workflow!N$1,FALSE)</f>
        <v>0.28675417130144609</v>
      </c>
      <c r="AH16" s="1474">
        <f>IF(AG16&gt;0, IF($A$67&lt;0.9999,   IF($T16=0,  MAX($CL$2*AG16*$Q$66,$CL$2*AG16*$Q$64),  MAX(AG16*$Q$66,AG16*$Q$64)),  AG16*200),0)</f>
        <v>1.2587720544940752E-2</v>
      </c>
      <c r="AI16" s="2751">
        <f>IF(SUM($C16:$D16)&gt;0,$K$64*CA16,0)*1/VLOOKUP(B16,wfRange,Workflow!N$1,FALSE)</f>
        <v>0</v>
      </c>
      <c r="AJ16" s="1474">
        <f>IF(AI16&gt;0, IF($A$62&lt;0.9999,   IF($T16=0,  MAX($CL$2*AI16*$Q$61,$CL$2*AI16*$Q$60),  MAX(AI16*$Q$61,AI16*$Q$60)),  AI16*200),0)</f>
        <v>0</v>
      </c>
      <c r="AK16" s="2751">
        <f>IF(SUM($C16:$D16)&gt;0,$K$60*BZ16,0)*1/VLOOKUP(B16,wfRange,Workflow!N$1,FALSE)</f>
        <v>0</v>
      </c>
      <c r="AL16" s="1474">
        <f>IF(AK16&gt;0, IF($A$58&lt;0.9999,   IF($T16=0,  MAX($CL$2*AK16*$Q$57,$CL$2*AK16*$Q$56),  MAX(AK16*$Q$57,AK16*$Q$56)),  AK16*200),0)</f>
        <v>0</v>
      </c>
      <c r="AM16" s="2751">
        <f>IF(SUM($C16:$D16)&gt;0,$K$56*BY16,0)*1/VLOOKUP(B16,wfRange,Workflow!N$1,FALSE)</f>
        <v>0</v>
      </c>
      <c r="AN16" s="1474">
        <f>IF(AM16&gt;0, IF($A$54&lt;0.9999,   IF($T16=0,  MAX($CL$2*AM16*$Q$53,$CL$2*AM16*$Q$52),  MAX(AM16*$Q$53,AM16*$Q$52)),  AM16*200),0)</f>
        <v>0</v>
      </c>
      <c r="AO16" s="2751">
        <f>IF(SUM($C16:$D16)&gt;0,$K$52*BX16,0)*1/VLOOKUP(B16,wfRange,Workflow!N$1,FALSE)</f>
        <v>0</v>
      </c>
      <c r="AP16" s="1474">
        <f>IF(AO16&gt;0, IF($A$50&lt;0.9999,   IF($T16=0,  MAX($CL$2*AO16*$Q$49,$CL$2*AO16*$Q$48),  MAX(AO16*$Q$49,AO16*$Q$48)),  AO16*200),0)</f>
        <v>0</v>
      </c>
      <c r="AQ16" s="2751">
        <f>IF(SUM($C16:$D16)&gt;0,$K$48*BW16,0)*1/VLOOKUP(B16,wfRange,Workflow!N$1,FALSE)</f>
        <v>0</v>
      </c>
      <c r="AR16" s="1474">
        <f>IF(AQ16&gt;0, IF($A$46&lt;0.9999,   IF($T16=0,  MAX($CL$2*AQ16*$Q$45,$CL$2*AQ16*$Q$43),  MAX(AQ16*$Q$45,AQ16*$Q$43)),  AQ16*200),0)</f>
        <v>0</v>
      </c>
      <c r="AS16" s="2751">
        <f>IF(SUM($C16:$D16)&gt;0,$K$43*BV16,0)*1/VLOOKUP(B16,wfRange,Workflow!N$1,FALSE)</f>
        <v>0</v>
      </c>
      <c r="AT16" s="1474">
        <f>IF(AS16&gt;0, IF($A$41&lt;0.9999,   IF($T16=0,  MAX($CL$2*AS16*$Q$40,$CL$2*AS16*$Q$39),  MAX(AS16*$Q$40,AS16*$Q$39)),  AS16*200),0)</f>
        <v>0</v>
      </c>
      <c r="AU16" s="2751">
        <f>IF(SUM($C16:$D16)&gt;0,$K$39*BU16,0)*1/VLOOKUP(B16,wfRange,Workflow!N$1,FALSE)</f>
        <v>0</v>
      </c>
      <c r="AV16" s="1474">
        <f>IF(AU16&gt;0, IF($A$37&lt;0.9999,   IF($T16=0,  MAX($CL$2*AU16*$Q$36,$CL$2*AU16*$Q$35),  MAX(AU16*$Q$36,AU16*$Q$35)),  AU16*200),0)</f>
        <v>0</v>
      </c>
      <c r="AW16" s="2751">
        <f>IF(SUM($C16:$D16)&gt;0,$K$35*BT16,0)*1/VLOOKUP(B16,wfRange,Workflow!N$1,FALSE)</f>
        <v>0</v>
      </c>
      <c r="AX16" s="1474">
        <f>IF(AW16&gt;0, IF($A$33&lt;0.9999,   IF($T16=0,  MAX($CL$2*AW16*$Q$32,$CL$2*AW16*$Q$31),  MAX(AW16*$Q$32,AW16*$Q$31)),  AW16*200),0)</f>
        <v>0</v>
      </c>
      <c r="AY16" s="2751">
        <f>IF(SUM($C16:$D16)&gt;0,$K$31*BS16,0)*1/VLOOKUP(B16,wfRange,Workflow!N$1,FALSE)</f>
        <v>0</v>
      </c>
      <c r="AZ16" s="1474">
        <f>IF(AY16&gt;0, IF($A$29&lt;0.9999,   IF($T16=0,  MAX($CL$2*AY16*$Q$28,$CL$2*AY16*$Q$27),  MAX(AY16*$Q$28,AY16*$Q$27)),  AY16*200),0)</f>
        <v>0</v>
      </c>
      <c r="BA16" s="2751">
        <f>IF(SUM($C16:$D16)&gt;0,$K$27*BR16,0)*1/VLOOKUP(B16,wfRange,Workflow!N$1,FALSE)</f>
        <v>0</v>
      </c>
      <c r="BB16" s="1474">
        <f>IF(BA16&gt;0, IF($A$25&lt;0.9999,   IF($T16=0,  MAX($CL$2*BA16*$Q$24,$CL$2*BA16*$Q$23),  MAX(BA16*$Q$24,BA16*$Q$23)),  BA16*200),0)</f>
        <v>0</v>
      </c>
      <c r="BC16" s="2751">
        <f ca="1">IF(SUM($C16:$D16)&gt;0,IF($CJ16&gt;0,IF($CO16&gt;$CN16,$I16/$CN16,$I16/$CO16),$I16/$CN16),0)</f>
        <v>8.3333333333333329E-2</v>
      </c>
      <c r="BD16" s="930">
        <f ca="1">IF(BC16&gt;0,IF(CL16&lt;0.9999,BC16*CL16/((1+$CK$2*CL16)*(1-CL16)),BC16*500),0)</f>
        <v>2.1464839580436681E-3</v>
      </c>
      <c r="BE16" s="2765">
        <f ca="1">IF(SUM($C16:$D16)&gt;0,IF(CJ16&gt;0,VLOOKUP($CJ16+200,NL,6,FALSE)*S16,0),0)/1000</f>
        <v>0</v>
      </c>
      <c r="BF16" s="2765">
        <f>IF(SUM($C16:$D16)&gt;0,BQ16*$BO$2/$G$22,0)*1/VLOOKUP(B16,wfRange,Workflow!N$1,FALSE)</f>
        <v>3.0306854669831077E-2</v>
      </c>
      <c r="BG16" s="2736">
        <f>IF($CW16="desktop",VLOOKUP($R16,DataArray,5,FALSE)* VLOOKUP($B16,wfRange,Workflow!C$1,FALSE), VLOOKUP($B16,wfRange,Workflow!C$1,FALSE))</f>
        <v>7.5</v>
      </c>
      <c r="BH16" s="1476">
        <f>IF(CW16="Desktop", VLOOKUP($R16,DataArray,4,FALSE)* IF(ISERROR(FIND("File",$R16)), VLOOKUP($B16,wfRange,Workflow!D$1,FALSE), VLOOKUP($B16,wfRange,Workflow!D$1,FALSE)+ VLOOKUP($B16,wfRange,Workflow!I$1,FALSE)+ VLOOKUP($B16,wfRange,Workflow!K$1,FALSE)), VLOOKUP($B16,wfRange,Workflow!D$1,FALSE))</f>
        <v>2.5289841565703634E-2</v>
      </c>
      <c r="BI16" s="542">
        <f>IF(VLOOKUP($B16,wfRange,Workflow!E$1,FALSE)&gt;0, VLOOKUP($R16,DataArray,4,FALSE)* IF(ISERROR(FIND("File",$R16)),   VLOOKUP($B16,wfRange,Workflow!E$1,FALSE),     VLOOKUP($B16,wfRange,Workflow!E$1,FALSE)+ VLOOKUP($B16,wfRange,Workflow!I$1,FALSE)+ VLOOKUP($B16,wfRange,Workflow!K$1,FALSE)),0)</f>
        <v>0.24025349487418457</v>
      </c>
      <c r="BJ16" s="543">
        <f>VLOOKUP($B16,wfRange,Workflow!F$1,FALSE)</f>
        <v>0</v>
      </c>
      <c r="BK16" s="543">
        <f>MAX(VLOOKUP($B16,wfRange,Workflow!G$1,FALSE),IF(W16=$BB$22,$BC$22,0))</f>
        <v>0</v>
      </c>
      <c r="BL16" s="543">
        <f>IF(VLOOKUP($B16,wfRange,Workflow!H$1,FALSE)&gt;0,VLOOKUP($R16,DataArray,4,FALSE)* IF(ISERROR(FIND("File",$R16)),VLOOKUP($B16,wfRange,Workflow!H$1,FALSE),VLOOKUP($B16,wfRange,Workflow!H$1,FALSE)+VLOOKUP($B16,wfRange,Workflow!I$1,FALSE)+VLOOKUP($B16,wfRange,Workflow!K$1,FALSE)),0)</f>
        <v>0</v>
      </c>
      <c r="BM16" s="544">
        <f>VLOOKUP($R16,DataArray,3,FALSE)* VLOOKUP($B16,wfRange,Workflow!I$1,FALSE)</f>
        <v>3.0031686859273071E-2</v>
      </c>
      <c r="BN16" s="545">
        <f>VLOOKUP($R16,DataArray,5,FALSE)* VLOOKUP($B16,wfRange,Workflow!J$1,FALSE)</f>
        <v>10</v>
      </c>
      <c r="BO16" s="544">
        <f>VLOOKUP($R16,DataArray,2,FALSE)* VLOOKUP($B16,wfRange,Workflow!K$1,FALSE)</f>
        <v>3.0031686859273071E-2</v>
      </c>
      <c r="BP16" s="753">
        <f>SUM(BH16:BM16,BO16)</f>
        <v>0.32560671015843434</v>
      </c>
      <c r="BQ16" s="1471">
        <f t="shared" ref="BQ16:CF18" si="4">IF(OR($J16=BQ$4,AND($J16=$A$167,$J$5=BQ$4)),$BH16)+IF(OR($K16=BQ$4,AND($K16=$A$167,$K$5=BQ$4)),$BI16)+IF(OR($L16=BQ$4,AND($L16=$A$167,$L$5=BQ$4)),$BJ16)+IF(OR($M16=BQ$4,AND($M16=$A$167,$M$5=BQ$4)),$BK16)+IF(OR($N16=BQ$4,AND($N16=$A$167,$N$5=BQ$4)),$BL16)+IF($P16=BQ$4,$BM16)+IF(OR($Q16=BQ$4,AND($Q16=$A$167,$Q$5=BQ$4)),$BO16)</f>
        <v>2.5289841565703634E-2</v>
      </c>
      <c r="BR16" s="1472">
        <f t="shared" si="4"/>
        <v>0</v>
      </c>
      <c r="BS16" s="1472">
        <f t="shared" si="4"/>
        <v>0</v>
      </c>
      <c r="BT16" s="1472">
        <f t="shared" si="4"/>
        <v>0</v>
      </c>
      <c r="BU16" s="1472">
        <f t="shared" si="4"/>
        <v>0</v>
      </c>
      <c r="BV16" s="1472">
        <f t="shared" si="4"/>
        <v>0</v>
      </c>
      <c r="BW16" s="1472">
        <f t="shared" si="4"/>
        <v>0</v>
      </c>
      <c r="BX16" s="1472">
        <f t="shared" si="4"/>
        <v>0</v>
      </c>
      <c r="BY16" s="1472">
        <f t="shared" si="4"/>
        <v>0</v>
      </c>
      <c r="BZ16" s="1472">
        <f t="shared" si="4"/>
        <v>0</v>
      </c>
      <c r="CA16" s="1472">
        <f t="shared" si="4"/>
        <v>0</v>
      </c>
      <c r="CB16" s="1472">
        <f t="shared" si="4"/>
        <v>0.27028518173345761</v>
      </c>
      <c r="CC16" s="1472">
        <f t="shared" si="4"/>
        <v>0</v>
      </c>
      <c r="CD16" s="1472">
        <f t="shared" si="4"/>
        <v>0</v>
      </c>
      <c r="CE16" s="1472">
        <f t="shared" si="4"/>
        <v>0</v>
      </c>
      <c r="CF16" s="1472">
        <f t="shared" si="4"/>
        <v>3.0031686859273071E-2</v>
      </c>
      <c r="CG16" s="541">
        <f>$BN16</f>
        <v>10</v>
      </c>
      <c r="CH16" s="951">
        <f ca="1">CJ16+100</f>
        <v>102</v>
      </c>
      <c r="CI16" s="951">
        <f ca="1">COUNTBLANK($CI$5:$CI16)</f>
        <v>3</v>
      </c>
      <c r="CJ16" s="951">
        <f ca="1">COUNTBLANK($CJ$5:$CJ16)</f>
        <v>2</v>
      </c>
      <c r="CK16" s="1477">
        <f ca="1">COUNTA($CK$5:$CK16)</f>
        <v>7</v>
      </c>
      <c r="CL16" s="547">
        <f ca="1">IF(CO16=0,VLOOKUP($CI16,NL,5,FALSE),IF(CO16&lt;CN16,VLOOKUP($CJ16+200,NL,5,FALSE),VLOOKUP($CI16,NL,5,FALSE)))</f>
        <v>2.5740740740740745E-2</v>
      </c>
      <c r="CM16" s="1475"/>
      <c r="CN16" s="548">
        <f ca="1">VLOOKUP($CI16,NL,3,FALSE)</f>
        <v>90</v>
      </c>
      <c r="CO16" s="549">
        <f ca="1">IF(CJ16&gt;0,VLOOKUP($CJ16+200,NL,2,FALSE),0)</f>
        <v>90</v>
      </c>
      <c r="CP16" s="570">
        <f>VLOOKUP($B16,wfRange,Workflow!L$1,FALSE)</f>
        <v>3</v>
      </c>
      <c r="CQ16" s="1473">
        <f>IF($CQ$5=1000,1000,VLOOKUP($B16,wfRange,Workflow!M$1,FALSE))</f>
        <v>10</v>
      </c>
      <c r="CR16" s="765">
        <f ca="1">IF(SUM($C16:$D16)&gt;0,IF(T16&gt;0,60/(T16+V16),60/V16),1000)</f>
        <v>17.404974361024603</v>
      </c>
      <c r="CS16" s="766">
        <f ca="1">IF(CR16&gt;E16,E16+ABS(CR16-E16)*$U$2/100,E16-ABS(CR16-E16)*$U$2/500)</f>
        <v>10.74049743610246</v>
      </c>
      <c r="CT16" s="1478" t="str">
        <f t="shared" si="1"/>
        <v>S CitrixEdit</v>
      </c>
      <c r="CU16" s="1478" t="str">
        <f>IF(ISERROR(FIND("_",R16)),R16,LEFT(R16,FIND("_",R16)-1))</f>
        <v>DB</v>
      </c>
      <c r="CV16" s="1479">
        <f>F16*60</f>
        <v>600</v>
      </c>
      <c r="CW16" s="1900" t="str">
        <f>VLOOKUP($B16,wfRange,Workflow!O$1,FALSE)</f>
        <v>Desktop</v>
      </c>
      <c r="CX16" s="1478">
        <f>IF(ISERROR(IF(CW16=" Imagery",MATCH(R16,ImageryDataList,0), MATCH(R16,MapDataList,0))),1,0)</f>
        <v>0</v>
      </c>
      <c r="CY16" s="1914">
        <f>IF(CW16=" imagery",IF($O16=$A$185,0,IF($O16=$A$186,0,1)),0)</f>
        <v>0</v>
      </c>
      <c r="CZ16" s="1908">
        <f>IF(AND(O16=$A$186,R16=Calculator!$C$171),1,0)</f>
        <v>0</v>
      </c>
      <c r="DA16" s="1900" t="str">
        <f>IF(BH16&gt;0.04*$BO$2/58,DA$4,"server")</f>
        <v>server</v>
      </c>
      <c r="DB16" s="1480"/>
      <c r="DC16" s="1480"/>
      <c r="DD16" s="1480"/>
      <c r="DE16" s="1480"/>
      <c r="DF16" s="1481"/>
      <c r="DG16" s="550"/>
      <c r="DH16" s="1482">
        <f>IF($BQ16&gt;0, IF(ISTEXT(DH$3), $C16+IF($D16&lt;1000,$D16,$D16/($E16*60)),0),0)</f>
        <v>1</v>
      </c>
      <c r="DI16" s="1483">
        <f>IF(DH16&gt;0,IF(ISTEXT(DH$3),$F16),0)</f>
        <v>10</v>
      </c>
      <c r="DJ16" s="1484">
        <f>IF(DH16&gt;0,IF(ISTEXT(DH$3),$G16),0)</f>
        <v>1.25</v>
      </c>
      <c r="DK16" s="1485">
        <f>$BQ16*DI16</f>
        <v>0.25289841565703636</v>
      </c>
      <c r="DL16" s="801" t="b">
        <f>ISERROR(MATCH(DN$3,$J16:$O16,0))</f>
        <v>1</v>
      </c>
      <c r="DM16" s="802">
        <f>IF($BR16&gt;0, IF(ISTEXT(DM$3), $C16+IF($D16&lt;1000,$D16,$D16/($E16*60)),0),0)</f>
        <v>0</v>
      </c>
      <c r="DN16" s="802">
        <f>IF(DM16&gt;0,IF(ISTEXT(DM$3),$F16),0)</f>
        <v>0</v>
      </c>
      <c r="DO16" s="539">
        <f>IF(DM16&gt;0,IF(ISTEXT(DM$3),$G16),0)</f>
        <v>0</v>
      </c>
      <c r="DP16" s="698">
        <f>IF($I16=0,0,IF(DM16&gt;0,DO16*$CG16/$I16,0))</f>
        <v>0</v>
      </c>
      <c r="DQ16" s="803">
        <f>$BR16*DN16</f>
        <v>0</v>
      </c>
      <c r="DR16" s="801" t="b">
        <f>ISERROR(MATCH(DT$3,$J16:$O16,0))</f>
        <v>1</v>
      </c>
      <c r="DS16" s="802">
        <f>IF($BS16&gt;0, IF(ISTEXT(DS$3), $C16+IF($D16&lt;1000,$D16,$D16/($E16*60)),0),0)</f>
        <v>0</v>
      </c>
      <c r="DT16" s="802">
        <f>IF(DS16&gt;0,IF(ISTEXT(DS$3),$F16),0)</f>
        <v>0</v>
      </c>
      <c r="DU16" s="539">
        <f>IF(DS16&gt;0,IF(ISTEXT(DS$3),$G16),0)</f>
        <v>0</v>
      </c>
      <c r="DV16" s="698">
        <f>IF($I16=0,0,IF(DS16&gt;0,DU16*$CG16/$I16,0))</f>
        <v>0</v>
      </c>
      <c r="DW16" s="803">
        <f>$BS16*DT16</f>
        <v>0</v>
      </c>
      <c r="DX16" s="801" t="b">
        <f>ISERROR(MATCH(DZ$3,$J16:$O16,0))</f>
        <v>1</v>
      </c>
      <c r="DY16" s="802">
        <f>IF($BT16&gt;0, IF(ISTEXT(DY$3), $C16+IF($D16&lt;1000,$D16,$D16/($E16*60)),0),0)</f>
        <v>0</v>
      </c>
      <c r="DZ16" s="802">
        <f>IF(DY16&gt;0,IF(ISTEXT(DY$3),$F16),0)</f>
        <v>0</v>
      </c>
      <c r="EA16" s="539">
        <f>IF(DY16&gt;0,IF(ISTEXT(DY$3),$G16),0)*IF($DX16=FALSE,IF($DZ$3=$D$184,1,$EA$3),1)</f>
        <v>0</v>
      </c>
      <c r="EB16" s="698">
        <f>IF($I16=0,0,IF(DY16&gt;0,EA16*$CG16/$I16,0))</f>
        <v>0</v>
      </c>
      <c r="EC16" s="803">
        <f>$BT16*DZ16</f>
        <v>0</v>
      </c>
      <c r="ED16" s="801" t="b">
        <f>ISERROR(MATCH(EF$3,$J16:$O16,0))</f>
        <v>1</v>
      </c>
      <c r="EE16" s="802">
        <f>IF($BU16&gt;0, IF(ISTEXT(EE$3), $C16+IF($D16&lt;1000,$D16,$D16/($E16*60)),0),0)</f>
        <v>0</v>
      </c>
      <c r="EF16" s="802">
        <f>IF(EE16&gt;0,IF(ISTEXT(EE$3),$F16),0)</f>
        <v>0</v>
      </c>
      <c r="EG16" s="539">
        <f>IF(EE16&gt;0,IF(ISTEXT(EE$3),$G16),0)</f>
        <v>0</v>
      </c>
      <c r="EH16" s="698">
        <f>IF($I16=0,0,IF(EE16&gt;0,EG16*$CG16/$I16,0))</f>
        <v>0</v>
      </c>
      <c r="EI16" s="803">
        <f>$BU16*EF16</f>
        <v>0</v>
      </c>
      <c r="EJ16" s="801" t="b">
        <f>ISERROR(MATCH(EL$3,$J16:$O16,0))</f>
        <v>1</v>
      </c>
      <c r="EK16" s="1483">
        <f>IF($BV16&gt;0, IF(ISTEXT(EK$3), $C16+IF($D16&lt;1000,$D16,$D16/($E16*60)),0),0)</f>
        <v>0</v>
      </c>
      <c r="EL16" s="1483">
        <f>IF(EK16&gt;0,IF(ISTEXT(EK$3),$F16),0)</f>
        <v>0</v>
      </c>
      <c r="EM16" s="1484">
        <f>IF(EK16&gt;0,IF(ISTEXT(EK$3),$G16),0)</f>
        <v>0</v>
      </c>
      <c r="EN16" s="1486">
        <f>IF($I16=0,0,IF(EK16&gt;0,EM16*$CG16/$I16,0))</f>
        <v>0</v>
      </c>
      <c r="EO16" s="1487">
        <f>$BV16*EL16</f>
        <v>0</v>
      </c>
      <c r="EP16" s="801" t="b">
        <f>ISERROR(MATCH(ER$3,$J16:$O16,0))</f>
        <v>1</v>
      </c>
      <c r="EQ16" s="1488">
        <f>IF($BW16&gt;0, IF(ISTEXT(EQ$3), $C16+IF($D16&lt;1000,$D16,$D16/($E16*60)),0),0)</f>
        <v>0</v>
      </c>
      <c r="ER16" s="1483">
        <f>IF(EQ16&gt;0,IF(ISTEXT(EQ$3),$F16),0)</f>
        <v>0</v>
      </c>
      <c r="ES16" s="1484">
        <f>IF(EQ16&gt;0,IF(ISTEXT(EQ$3),$G16),0)</f>
        <v>0</v>
      </c>
      <c r="ET16" s="1486">
        <f>IF($I16=0,0,IF(EQ16&gt;0,ES16*$CG16/$I16,0))</f>
        <v>0</v>
      </c>
      <c r="EU16" s="1487">
        <f>$BW16*ER16</f>
        <v>0</v>
      </c>
      <c r="EV16" s="801" t="b">
        <f>ISERROR(MATCH(EX$3,$J16:$O16,0))</f>
        <v>1</v>
      </c>
      <c r="EW16" s="1488">
        <f>IF($BX16&gt;0, IF(ISTEXT(EW$3), $C16+IF($D16&lt;1000,$D16,$D16/($E16*60)),0),0)</f>
        <v>0</v>
      </c>
      <c r="EX16" s="1483">
        <f>IF(EW16&gt;0,IF(ISTEXT(EW$3),$F16),0)</f>
        <v>0</v>
      </c>
      <c r="EY16" s="1484">
        <f>IF(EW16&gt;0,IF(ISTEXT(EW$3),$G16),0)</f>
        <v>0</v>
      </c>
      <c r="EZ16" s="1486">
        <f>IF($I16=0,0,IF(EW16&gt;0,EY16*$CG16/$I16,0))</f>
        <v>0</v>
      </c>
      <c r="FA16" s="1487">
        <f>$BX16*EX16</f>
        <v>0</v>
      </c>
      <c r="FB16" s="801" t="b">
        <f>ISERROR(MATCH(FD$3,$J16:$O16,0))</f>
        <v>1</v>
      </c>
      <c r="FC16" s="1488">
        <f>IF($BY16&gt;0, IF(ISTEXT(FC$3), $C16+IF($D16&lt;1000,$D16,$D16/($E16*60)),0),0)</f>
        <v>0</v>
      </c>
      <c r="FD16" s="1483">
        <f>IF(FC16&gt;0,IF(ISTEXT(FC$3),$F16),0)</f>
        <v>0</v>
      </c>
      <c r="FE16" s="1484">
        <f>IF(FC16&gt;0,IF(ISTEXT(FC$3),$G16),0)</f>
        <v>0</v>
      </c>
      <c r="FF16" s="1486">
        <f>IF($I16=0,0,IF(FC16&gt;0,FE16*$CG16/$I16,0))</f>
        <v>0</v>
      </c>
      <c r="FG16" s="1487">
        <f>$BY16*FD16</f>
        <v>0</v>
      </c>
      <c r="FH16" s="801" t="b">
        <f>ISERROR(MATCH(FJ$3,$J16:$O16,0))</f>
        <v>1</v>
      </c>
      <c r="FI16" s="1488">
        <f>IF($BZ16&gt;0, IF(ISTEXT(FI$3), $C16+IF($D16&lt;1000,$D16,$D16/($E16*60)),0),0)</f>
        <v>0</v>
      </c>
      <c r="FJ16" s="1483">
        <f>IF(FI16&gt;0,IF(ISTEXT(FI$3),$F16),0)</f>
        <v>0</v>
      </c>
      <c r="FK16" s="1484">
        <f>IF(FI16&gt;0,IF(ISTEXT(FI$3),$G16),0)</f>
        <v>0</v>
      </c>
      <c r="FL16" s="1486">
        <f>IF($I16=0,0,IF(FI16&gt;0,FK16*$CG16/$I16,0))</f>
        <v>0</v>
      </c>
      <c r="FM16" s="1487">
        <f>$BZ16*FJ16</f>
        <v>0</v>
      </c>
      <c r="FN16" s="801" t="b">
        <f>ISERROR(MATCH(FP$3,$J16:$O16,0))</f>
        <v>1</v>
      </c>
      <c r="FO16" s="1488">
        <f>IF($CA16&gt;0, IF(ISTEXT(FO$3), $C16+IF($D16&lt;1000,$D16,$D16/($E16*60)),0),0)</f>
        <v>0</v>
      </c>
      <c r="FP16" s="1483">
        <f>IF(FO16&gt;0,IF(ISTEXT(FO$3),$F16),0)</f>
        <v>0</v>
      </c>
      <c r="FQ16" s="1484">
        <f>IF(FO16&gt;0,IF(ISTEXT(FO$3),$G16),0)</f>
        <v>0</v>
      </c>
      <c r="FR16" s="1486">
        <f>IF($I16=0,0,IF(FO16&gt;0,FQ16*$CG16/$I16,0))</f>
        <v>0</v>
      </c>
      <c r="FS16" s="1487">
        <f>$CA16*FP16</f>
        <v>0</v>
      </c>
      <c r="FT16" s="801" t="b">
        <f>ISERROR(MATCH(FV$3,$J16:$O16,0))</f>
        <v>1</v>
      </c>
      <c r="FU16" s="1488">
        <f>IF($CB16&gt;0, IF(ISTEXT(FU$3), $C16+IF($D16&lt;1000,$D16,$D16/($E16*60)),0),0)</f>
        <v>1</v>
      </c>
      <c r="FV16" s="1483">
        <f>IF(FU16&gt;0,IF(ISTEXT(FU$3),$F16),0)</f>
        <v>10</v>
      </c>
      <c r="FW16" s="1484">
        <f>IF(FU16&gt;0,IF(ISTEXT(FU$3),$G16),0)</f>
        <v>1.25</v>
      </c>
      <c r="FX16" s="1486">
        <f>IF($I16=0,0,IF(FU16&gt;0,FW16*$CG16/$I16,0))</f>
        <v>1.6666666666666667</v>
      </c>
      <c r="FY16" s="1487">
        <f>$CB16*FV16</f>
        <v>2.7028518173345759</v>
      </c>
      <c r="FZ16" s="801" t="b">
        <f>ISERROR(MATCH(GB$3,$J16:$O16,0))</f>
        <v>1</v>
      </c>
      <c r="GA16" s="1488">
        <f>IF($CC16&gt;0, IF(ISTEXT(GA$3), $C16+IF($D16&lt;1000,$D16,$D16/($E16*60)),0),0)</f>
        <v>0</v>
      </c>
      <c r="GB16" s="1483">
        <f>IF(GA16&gt;0,IF(ISTEXT(GA$3),$F16),0)</f>
        <v>0</v>
      </c>
      <c r="GC16" s="1484">
        <f>IF(GA16&gt;0,IF(ISTEXT(GA$3),$G16),0)</f>
        <v>0</v>
      </c>
      <c r="GD16" s="1486">
        <f>IF($I16=0,0,IF(GA16&gt;0,GC16*$CG16/$I16,0))</f>
        <v>0</v>
      </c>
      <c r="GE16" s="1487">
        <f>$CC16*GB16</f>
        <v>0</v>
      </c>
      <c r="GF16" s="801" t="b">
        <f>ISERROR(MATCH(GH$3,$J16:$O16,0))</f>
        <v>1</v>
      </c>
      <c r="GG16" s="1488">
        <f>IF($CD16&gt;0, IF(ISTEXT(GG$3), $C16+IF($D16&lt;1000,$D16,$D16/($E16*60)),0),0)</f>
        <v>0</v>
      </c>
      <c r="GH16" s="1483">
        <f>IF(GG16&gt;0,IF(ISTEXT(GG$3),$F16),0)</f>
        <v>0</v>
      </c>
      <c r="GI16" s="1484">
        <f>IF(GG16&gt;0,IF(ISTEXT(GG$3),$G16),0)</f>
        <v>0</v>
      </c>
      <c r="GJ16" s="1486">
        <f>IF($I16=0,0,IF(GG16&gt;0,GI16*$CG16/$I16,0))</f>
        <v>0</v>
      </c>
      <c r="GK16" s="1487">
        <f>$CD16*GH16</f>
        <v>0</v>
      </c>
      <c r="GL16" s="801" t="b">
        <f>ISERROR(MATCH(GN$3,$J16:$O16,0))</f>
        <v>1</v>
      </c>
      <c r="GM16" s="1488">
        <f>IF($CE16&gt;0, IF(ISTEXT(GM$3), $C16+IF($D16&lt;1000,$D16,$D16/($E16*60)),0),0)</f>
        <v>0</v>
      </c>
      <c r="GN16" s="1483">
        <f>IF(GM16&gt;0,IF(ISTEXT(GM$3),$F16),0)</f>
        <v>0</v>
      </c>
      <c r="GO16" s="1484">
        <f>IF(GM16&gt;0,IF(ISTEXT(GM$3),$G16),0)</f>
        <v>0</v>
      </c>
      <c r="GP16" s="1486">
        <f>IF($I16=0,0,IF(GM16&gt;0,GO16*$CG16/$I16,0))</f>
        <v>0</v>
      </c>
      <c r="GQ16" s="1487">
        <f>$CE16*GN16</f>
        <v>0</v>
      </c>
      <c r="GR16" s="801" t="b">
        <f>ISERROR(MATCH(GT$3,$J16:$O16,0))</f>
        <v>1</v>
      </c>
      <c r="GS16" s="1488">
        <f>IF($CF16&gt;0, IF(ISTEXT(GS$3), $C16+IF($D16&lt;1000,$D16,$D16/($E16*60)),0),0)</f>
        <v>1</v>
      </c>
      <c r="GT16" s="1483">
        <f>IF(GS16&gt;0,IF(ISTEXT(GS$3),$F16),0)</f>
        <v>10</v>
      </c>
      <c r="GU16" s="1484">
        <f>IF(I16=0,0,IF(GS16&gt;0,IF(ISTEXT(GS$3),$G16),0)*$CG16/$I16)</f>
        <v>1.6666666666666667</v>
      </c>
      <c r="GV16" s="1484"/>
      <c r="GW16" s="1487">
        <f>$CF16*GT16</f>
        <v>0.30031686859273071</v>
      </c>
      <c r="GX16" s="1489">
        <f>IF(ISERROR(FIND("File",$R16)),0,F16*$BN16*VLOOKUP(R16,DataArray,4,FALSE))/60</f>
        <v>0</v>
      </c>
      <c r="GY16" s="551" t="b">
        <f>ISERROR(OR(FIND("F",$R16)))</f>
        <v>1</v>
      </c>
      <c r="GZ16" s="2471" t="b">
        <f>ISERROR(OR(FIND("Image",$R16)))</f>
        <v>1</v>
      </c>
      <c r="HA16" s="2476"/>
      <c r="HB16" s="2866"/>
      <c r="HC16" s="2866"/>
    </row>
    <row r="17" spans="1:211" s="1490" customFormat="1" ht="15" customHeight="1" x14ac:dyDescent="0.2">
      <c r="A17" s="1467" t="str">
        <f>IF($A$4=$H$167,$CI17&amp;"."&amp;$CJ17&amp;"."&amp;$CK17,CT17)</f>
        <v>S CitrixView</v>
      </c>
      <c r="B17" s="159" t="s">
        <v>212</v>
      </c>
      <c r="C17" s="1468">
        <v>1</v>
      </c>
      <c r="D17" s="1469"/>
      <c r="E17" s="537">
        <f>IF(D17&lt;1000,IF(SUM(C17:D17)=0,0,IF(AND(D$1=H$173,T17=0),CS17,IF(T$2=$H$178,X17,IF(T$2=$H$179,IF(T17&gt;0,  IF(CR17&gt;X17,X17,CS17),CS17),E17)))),X17)</f>
        <v>10</v>
      </c>
      <c r="F17" s="538">
        <f>IF($T$2=$H$177,0,IF($D$4=Calculator!$A$162,C17*E17+D17/60,IF(OR($D$4=Calculator!$A$163,D17&lt;1000),(C17+D17)*E17,C17*E17+D17/60)))</f>
        <v>10</v>
      </c>
      <c r="G17" s="803">
        <f>IF(SUM($C17:$D17)&gt;0,F17*$I17/60,0)</f>
        <v>0.8666666666666667</v>
      </c>
      <c r="H17" s="925" t="str">
        <f>W17&amp;CU17&amp;" {"&amp;TEXT(F17*60,"###,##0")&amp;"}"</f>
        <v>DB {600}</v>
      </c>
      <c r="I17" s="540">
        <f>$BG17</f>
        <v>5.2</v>
      </c>
      <c r="J17" s="926" t="s">
        <v>382</v>
      </c>
      <c r="K17" s="926" t="s">
        <v>382</v>
      </c>
      <c r="L17" s="927" t="s">
        <v>382</v>
      </c>
      <c r="M17" s="927" t="s">
        <v>382</v>
      </c>
      <c r="N17" s="927" t="s">
        <v>382</v>
      </c>
      <c r="O17" s="927" t="s">
        <v>382</v>
      </c>
      <c r="P17" s="928" t="str">
        <f>IF(OR(AND($O17=$A$167,  $O$5=$A$167),AND($O17=$A$167,  $O$5=$A$187)), IF(BL17&gt;0,IF($N17=$A$167,$N$5,$N17), IF(BI17&gt;0,  IF($K17=$A$167,$K$5,$K17), IF($J17=$A$167,$J$5,$J17))),IF(O17=$A$167,O$5,O17))</f>
        <v>WTS</v>
      </c>
      <c r="Q17" s="929" t="s">
        <v>382</v>
      </c>
      <c r="R17" s="160" t="s">
        <v>1055</v>
      </c>
      <c r="S17" s="1470">
        <f>VLOOKUP($B17,wfRange,Workflow!B$1,FALSE)</f>
        <v>10</v>
      </c>
      <c r="T17" s="1245">
        <f>CP17</f>
        <v>3</v>
      </c>
      <c r="U17" s="546">
        <f ca="1">IF(F17=0,T17,60/E17-V17)</f>
        <v>5.5789234696425005</v>
      </c>
      <c r="V17" s="759">
        <f ca="1">IF(F17=0,0,SUM(Y17:BF17))</f>
        <v>0.4210765303574992</v>
      </c>
      <c r="W17" s="2682"/>
      <c r="X17" s="2733">
        <f>CQ17</f>
        <v>10</v>
      </c>
      <c r="Y17" s="2751">
        <f>IF(SUM($C17:$D17)&gt;0,$K$85*CF17,0)*1/VLOOKUP(B17,wfRange,Workflow!N$1,FALSE)</f>
        <v>3.186157458904957E-2</v>
      </c>
      <c r="Z17" s="1474">
        <f>IF(Y17&gt;0, IF($A$83&lt;0.9999,   IF($T17=0,  MAX($CL$2*Y17*$Q$82,$CL$2*Y17*$Q$81),  MAX(Y17*$Q$82,Y17*$Q$81)),  Y17*200),0)</f>
        <v>3.0020259687703874E-4</v>
      </c>
      <c r="AA17" s="2751">
        <f>IF(SUM($C17:$D17)&gt;0,$K$81*CE17,0)*1/VLOOKUP(B17,wfRange,Workflow!N$1,FALSE)</f>
        <v>0</v>
      </c>
      <c r="AB17" s="1474">
        <f>IF(AA17&gt;0, IF($A$79&lt;0.9999,   IF($T17=0,  MAX($CL$2*AA17*$Q$78,$CL$2*AA17*$Q$77),  MAX(AA17*$Q$78,AA17*$Q$77)),  AA17*200),0)</f>
        <v>0</v>
      </c>
      <c r="AC17" s="2751">
        <f>IF(SUM($C17:$D17)&gt;0,$K$77*CD17,0)*1/VLOOKUP(B17,wfRange,Workflow!N$1,FALSE)</f>
        <v>0</v>
      </c>
      <c r="AD17" s="1474">
        <f>IF(AC17&gt;0, IF($A$75&lt;0.9999,   IF($T17=0,  MAX($CL$2*AC17*$Q$74,$CL$2*AC17*$Q$73),  MAX(AC17*$Q$74,AC17*$Q$73)),  AC17*200),0)</f>
        <v>0</v>
      </c>
      <c r="AE17" s="2751">
        <f>IF(SUM($C17:$D17)&gt;0,$K$73*CC17,0)*1/VLOOKUP(B17,wfRange,Workflow!N$1,FALSE)</f>
        <v>0</v>
      </c>
      <c r="AF17" s="1474">
        <f>IF(AE17&gt;0, IF($A$71&lt;0.9999,   IF($T17=0,  MAX($CL$2*AE17*$Q$70,$CL$2*AE17*$Q$69),  MAX(AE17*$Q$70,AE17*$Q$69)),  AE17*200),0)</f>
        <v>0</v>
      </c>
      <c r="AG17" s="2751">
        <f>IF(SUM($C17:$D17)&gt;0,$K$69*CB17,0)*1/VLOOKUP(B17,wfRange,Workflow!N$1,FALSE)</f>
        <v>0.28675417130144609</v>
      </c>
      <c r="AH17" s="1474">
        <f>IF(AG17&gt;0, IF($A$67&lt;0.9999,   IF($T17=0,  MAX($CL$2*AG17*$Q$66,$CL$2*AG17*$Q$64),  MAX(AG17*$Q$66,AG17*$Q$64)),  AG17*200),0)</f>
        <v>1.2587720544940752E-2</v>
      </c>
      <c r="AI17" s="2751">
        <f>IF(SUM($C17:$D17)&gt;0,$K$64*CA17,0)*1/VLOOKUP(B17,wfRange,Workflow!N$1,FALSE)</f>
        <v>0</v>
      </c>
      <c r="AJ17" s="1474">
        <f>IF(AI17&gt;0, IF($A$62&lt;0.9999,   IF($T17=0,  MAX($CL$2*AI17*$Q$61,$CL$2*AI17*$Q$60),  MAX(AI17*$Q$61,AI17*$Q$60)),  AI17*200),0)</f>
        <v>0</v>
      </c>
      <c r="AK17" s="2751">
        <f>IF(SUM($C17:$D17)&gt;0,$K$60*BZ17,0)*1/VLOOKUP(B17,wfRange,Workflow!N$1,FALSE)</f>
        <v>0</v>
      </c>
      <c r="AL17" s="1474">
        <f>IF(AK17&gt;0, IF($A$58&lt;0.9999,   IF($T17=0,  MAX($CL$2*AK17*$Q$57,$CL$2*AK17*$Q$56),  MAX(AK17*$Q$57,AK17*$Q$56)),  AK17*200),0)</f>
        <v>0</v>
      </c>
      <c r="AM17" s="2751">
        <f>IF(SUM($C17:$D17)&gt;0,$K$56*BY17,0)*1/VLOOKUP(B17,wfRange,Workflow!N$1,FALSE)</f>
        <v>0</v>
      </c>
      <c r="AN17" s="1474">
        <f>IF(AM17&gt;0, IF($A$54&lt;0.9999,   IF($T17=0,  MAX($CL$2*AM17*$Q$53,$CL$2*AM17*$Q$52),  MAX(AM17*$Q$53,AM17*$Q$52)),  AM17*200),0)</f>
        <v>0</v>
      </c>
      <c r="AO17" s="2751">
        <f>IF(SUM($C17:$D17)&gt;0,$K$52*BX17,0)*1/VLOOKUP(B17,wfRange,Workflow!N$1,FALSE)</f>
        <v>0</v>
      </c>
      <c r="AP17" s="1474">
        <f>IF(AO17&gt;0, IF($A$50&lt;0.9999,   IF($T17=0,  MAX($CL$2*AO17*$Q$49,$CL$2*AO17*$Q$48),  MAX(AO17*$Q$49,AO17*$Q$48)),  AO17*200),0)</f>
        <v>0</v>
      </c>
      <c r="AQ17" s="2751">
        <f>IF(SUM($C17:$D17)&gt;0,$K$48*BW17,0)*1/VLOOKUP(B17,wfRange,Workflow!N$1,FALSE)</f>
        <v>0</v>
      </c>
      <c r="AR17" s="1474">
        <f>IF(AQ17&gt;0, IF($A$46&lt;0.9999,   IF($T17=0,  MAX($CL$2*AQ17*$Q$45,$CL$2*AQ17*$Q$43),  MAX(AQ17*$Q$45,AQ17*$Q$43)),  AQ17*200),0)</f>
        <v>0</v>
      </c>
      <c r="AS17" s="2751">
        <f>IF(SUM($C17:$D17)&gt;0,$K$43*BV17,0)*1/VLOOKUP(B17,wfRange,Workflow!N$1,FALSE)</f>
        <v>0</v>
      </c>
      <c r="AT17" s="1474">
        <f>IF(AS17&gt;0, IF($A$41&lt;0.9999,   IF($T17=0,  MAX($CL$2*AS17*$Q$40,$CL$2*AS17*$Q$39),  MAX(AS17*$Q$40,AS17*$Q$39)),  AS17*200),0)</f>
        <v>0</v>
      </c>
      <c r="AU17" s="2751">
        <f>IF(SUM($C17:$D17)&gt;0,$K$39*BU17,0)*1/VLOOKUP(B17,wfRange,Workflow!N$1,FALSE)</f>
        <v>0</v>
      </c>
      <c r="AV17" s="1474">
        <f>IF(AU17&gt;0, IF($A$37&lt;0.9999,   IF($T17=0,  MAX($CL$2*AU17*$Q$36,$CL$2*AU17*$Q$35),  MAX(AU17*$Q$36,AU17*$Q$35)),  AU17*200),0)</f>
        <v>0</v>
      </c>
      <c r="AW17" s="2751">
        <f>IF(SUM($C17:$D17)&gt;0,$K$35*BT17,0)*1/VLOOKUP(B17,wfRange,Workflow!N$1,FALSE)</f>
        <v>0</v>
      </c>
      <c r="AX17" s="1474">
        <f>IF(AW17&gt;0, IF($A$33&lt;0.9999,   IF($T17=0,  MAX($CL$2*AW17*$Q$32,$CL$2*AW17*$Q$31),  MAX(AW17*$Q$32,AW17*$Q$31)),  AW17*200),0)</f>
        <v>0</v>
      </c>
      <c r="AY17" s="2751">
        <f>IF(SUM($C17:$D17)&gt;0,$K$31*BS17,0)*1/VLOOKUP(B17,wfRange,Workflow!N$1,FALSE)</f>
        <v>0</v>
      </c>
      <c r="AZ17" s="1474">
        <f>IF(AY17&gt;0, IF($A$29&lt;0.9999,   IF($T17=0,  MAX($CL$2*AY17*$Q$28,$CL$2*AY17*$Q$27),  MAX(AY17*$Q$28,AY17*$Q$27)),  AY17*200),0)</f>
        <v>0</v>
      </c>
      <c r="BA17" s="2751">
        <f>IF(SUM($C17:$D17)&gt;0,$K$27*BR17,0)*1/VLOOKUP(B17,wfRange,Workflow!N$1,FALSE)</f>
        <v>0</v>
      </c>
      <c r="BB17" s="1474">
        <f>IF(BA17&gt;0, IF($A$25&lt;0.9999,   IF($T17=0,  MAX($CL$2*BA17*$Q$24,$CL$2*BA17*$Q$23),  MAX(BA17*$Q$24,BA17*$Q$23)),  BA17*200),0)</f>
        <v>0</v>
      </c>
      <c r="BC17" s="2751">
        <f ca="1">IF(SUM($C17:$D17)&gt;0,IF($CJ17&gt;0,IF($CO17&gt;$CN17,$I17/$CN17,$I17/$CO17),$I17/$CN17),0)</f>
        <v>5.7777777777777782E-2</v>
      </c>
      <c r="BD17" s="930">
        <f ca="1">IF(BC17&gt;0,IF(CL17&lt;0.9999,BC17*CL17/((1+$CK$2*CL17)*(1-CL17)),BC17*500),0)</f>
        <v>1.4882288775769435E-3</v>
      </c>
      <c r="BE17" s="2765">
        <f ca="1">IF(SUM($C17:$D17)&gt;0,IF(CJ17&gt;0,VLOOKUP($CJ17+200,NL,6,FALSE)*S17,0),0)/1000</f>
        <v>0</v>
      </c>
      <c r="BF17" s="2765">
        <f>IF(SUM($C17:$D17)&gt;0,BQ17*$BO$2/$G$22,0)*1/VLOOKUP(B17,wfRange,Workflow!N$1,FALSE)</f>
        <v>3.0306854669831077E-2</v>
      </c>
      <c r="BG17" s="2736">
        <f>IF($CW17="desktop",VLOOKUP($R17,DataArray,5,FALSE)* VLOOKUP($B17,wfRange,Workflow!C$1,FALSE), VLOOKUP($B17,wfRange,Workflow!C$1,FALSE))</f>
        <v>5.2</v>
      </c>
      <c r="BH17" s="1476">
        <f>IF(CW17="Desktop", VLOOKUP($R17,DataArray,4,FALSE)* IF(ISERROR(FIND("File",$R17)), VLOOKUP($B17,wfRange,Workflow!D$1,FALSE), VLOOKUP($B17,wfRange,Workflow!D$1,FALSE)+ VLOOKUP($B17,wfRange,Workflow!I$1,FALSE)+ VLOOKUP($B17,wfRange,Workflow!K$1,FALSE)), VLOOKUP($B17,wfRange,Workflow!D$1,FALSE))</f>
        <v>2.5289841565703634E-2</v>
      </c>
      <c r="BI17" s="542">
        <f>IF(VLOOKUP($B17,wfRange,Workflow!E$1,FALSE)&gt;0, VLOOKUP($R17,DataArray,4,FALSE)* IF(ISERROR(FIND("File",$R17)),   VLOOKUP($B17,wfRange,Workflow!E$1,FALSE),     VLOOKUP($B17,wfRange,Workflow!E$1,FALSE)+ VLOOKUP($B17,wfRange,Workflow!I$1,FALSE)+ VLOOKUP($B17,wfRange,Workflow!K$1,FALSE)),0)</f>
        <v>0.24025349487418457</v>
      </c>
      <c r="BJ17" s="543">
        <f>VLOOKUP($B17,wfRange,Workflow!F$1,FALSE)</f>
        <v>0</v>
      </c>
      <c r="BK17" s="543">
        <f>MAX(VLOOKUP($B17,wfRange,Workflow!G$1,FALSE),IF(W17=$BB$22,$BC$22,0))</f>
        <v>0</v>
      </c>
      <c r="BL17" s="543">
        <f>IF(VLOOKUP($B17,wfRange,Workflow!H$1,FALSE)&gt;0,VLOOKUP($R17,DataArray,4,FALSE)* IF(ISERROR(FIND("File",$R17)),VLOOKUP($B17,wfRange,Workflow!H$1,FALSE),VLOOKUP($B17,wfRange,Workflow!H$1,FALSE)+VLOOKUP($B17,wfRange,Workflow!I$1,FALSE)+VLOOKUP($B17,wfRange,Workflow!K$1,FALSE)),0)</f>
        <v>0</v>
      </c>
      <c r="BM17" s="544">
        <f>VLOOKUP($R17,DataArray,3,FALSE)* VLOOKUP($B17,wfRange,Workflow!I$1,FALSE)</f>
        <v>3.0031686859273071E-2</v>
      </c>
      <c r="BN17" s="545">
        <f>VLOOKUP($R17,DataArray,5,FALSE)* VLOOKUP($B17,wfRange,Workflow!J$1,FALSE)</f>
        <v>10</v>
      </c>
      <c r="BO17" s="544">
        <f>VLOOKUP($R17,DataArray,2,FALSE)* VLOOKUP($B17,wfRange,Workflow!K$1,FALSE)</f>
        <v>3.0031686859273071E-2</v>
      </c>
      <c r="BP17" s="753">
        <f>SUM(BH17:BM17,BO17)</f>
        <v>0.32560671015843434</v>
      </c>
      <c r="BQ17" s="1471">
        <f t="shared" si="4"/>
        <v>2.5289841565703634E-2</v>
      </c>
      <c r="BR17" s="1472">
        <f t="shared" si="4"/>
        <v>0</v>
      </c>
      <c r="BS17" s="1472">
        <f t="shared" si="4"/>
        <v>0</v>
      </c>
      <c r="BT17" s="1472">
        <f t="shared" si="4"/>
        <v>0</v>
      </c>
      <c r="BU17" s="1472">
        <f t="shared" si="4"/>
        <v>0</v>
      </c>
      <c r="BV17" s="1472">
        <f t="shared" si="4"/>
        <v>0</v>
      </c>
      <c r="BW17" s="1472">
        <f t="shared" si="4"/>
        <v>0</v>
      </c>
      <c r="BX17" s="1472">
        <f t="shared" si="4"/>
        <v>0</v>
      </c>
      <c r="BY17" s="1472">
        <f t="shared" si="4"/>
        <v>0</v>
      </c>
      <c r="BZ17" s="1472">
        <f t="shared" si="4"/>
        <v>0</v>
      </c>
      <c r="CA17" s="1472">
        <f t="shared" si="4"/>
        <v>0</v>
      </c>
      <c r="CB17" s="1472">
        <f t="shared" si="4"/>
        <v>0.27028518173345761</v>
      </c>
      <c r="CC17" s="1472">
        <f t="shared" si="4"/>
        <v>0</v>
      </c>
      <c r="CD17" s="1472">
        <f t="shared" si="4"/>
        <v>0</v>
      </c>
      <c r="CE17" s="1472">
        <f t="shared" si="4"/>
        <v>0</v>
      </c>
      <c r="CF17" s="1472">
        <f t="shared" si="4"/>
        <v>3.0031686859273071E-2</v>
      </c>
      <c r="CG17" s="541">
        <f>$BN17</f>
        <v>10</v>
      </c>
      <c r="CH17" s="951">
        <f ca="1">CJ17+100</f>
        <v>102</v>
      </c>
      <c r="CI17" s="951">
        <f ca="1">COUNTBLANK($CI$5:$CI17)</f>
        <v>3</v>
      </c>
      <c r="CJ17" s="951">
        <f ca="1">COUNTBLANK($CJ$5:$CJ17)</f>
        <v>2</v>
      </c>
      <c r="CK17" s="1477">
        <f ca="1">COUNTA($CK$5:$CK17)</f>
        <v>8</v>
      </c>
      <c r="CL17" s="547">
        <f ca="1">IF(CO17=0,VLOOKUP($CI17,NL,5,FALSE),IF(CO17&lt;CN17,VLOOKUP($CJ17+200,NL,5,FALSE),VLOOKUP($CI17,NL,5,FALSE)))</f>
        <v>2.5740740740740745E-2</v>
      </c>
      <c r="CM17" s="1475"/>
      <c r="CN17" s="548">
        <f ca="1">VLOOKUP($CI17,NL,3,FALSE)</f>
        <v>90</v>
      </c>
      <c r="CO17" s="549">
        <f ca="1">IF(CJ17&gt;0,VLOOKUP($CJ17+200,NL,2,FALSE),0)</f>
        <v>90</v>
      </c>
      <c r="CP17" s="570">
        <f>VLOOKUP($B17,wfRange,Workflow!L$1,FALSE)</f>
        <v>3</v>
      </c>
      <c r="CQ17" s="1473">
        <f>IF($CQ$5=1000,1000,VLOOKUP($B17,wfRange,Workflow!M$1,FALSE))</f>
        <v>10</v>
      </c>
      <c r="CR17" s="767">
        <f ca="1">IF(SUM($C17:$D17)&gt;0,IF(T17&gt;0,60/(T17+V17),60/V17),1000)</f>
        <v>17.538339019188811</v>
      </c>
      <c r="CS17" s="766">
        <f ca="1">IF(CR17&gt;E17,E17+ABS(CR17-E17)*$U$2/100,E17-ABS(CR17-E17)*$U$2/500)</f>
        <v>10.753833901918881</v>
      </c>
      <c r="CT17" s="1478" t="str">
        <f t="shared" si="1"/>
        <v>S CitrixView</v>
      </c>
      <c r="CU17" s="1478" t="str">
        <f>IF(ISERROR(FIND("_",R17)),R17,LEFT(R17,FIND("_",R17)-1))</f>
        <v>DB</v>
      </c>
      <c r="CV17" s="1479">
        <f>F17*60</f>
        <v>600</v>
      </c>
      <c r="CW17" s="1900" t="str">
        <f>VLOOKUP($B17,wfRange,Workflow!O$1,FALSE)</f>
        <v>Desktop</v>
      </c>
      <c r="CX17" s="1478">
        <f>IF(ISERROR(IF(CW17=" Imagery",MATCH(R17,ImageryDataList,0), MATCH(R17,MapDataList,0))),1,0)</f>
        <v>0</v>
      </c>
      <c r="CY17" s="1914">
        <f>IF(CW17=" imagery",IF($O17=$A$185,0,IF($O17=$A$186,0,1)),0)</f>
        <v>0</v>
      </c>
      <c r="CZ17" s="1908">
        <f>IF(AND(O17=$A$186,R17=Calculator!$C$171),1,0)</f>
        <v>0</v>
      </c>
      <c r="DA17" s="1900" t="str">
        <f>IF(BH17&gt;0.04*$BO$2/58,DA$4,"server")</f>
        <v>server</v>
      </c>
      <c r="DB17" s="1480"/>
      <c r="DC17" s="1480"/>
      <c r="DD17" s="1480"/>
      <c r="DE17" s="1480"/>
      <c r="DF17" s="1481"/>
      <c r="DG17" s="550"/>
      <c r="DH17" s="1482">
        <f>IF($BQ17&gt;0, IF(ISTEXT(DH$3), $C17+IF($D17&lt;1000,$D17,$D17/($E17*60)),0),0)</f>
        <v>1</v>
      </c>
      <c r="DI17" s="1483">
        <f>IF(DH17&gt;0,IF(ISTEXT(DH$3),$F17),0)</f>
        <v>10</v>
      </c>
      <c r="DJ17" s="1484">
        <f>IF(DH17&gt;0,IF(ISTEXT(DH$3),$G17),0)</f>
        <v>0.8666666666666667</v>
      </c>
      <c r="DK17" s="1485">
        <f>$BQ17*DI17</f>
        <v>0.25289841565703636</v>
      </c>
      <c r="DL17" s="801" t="b">
        <f>ISERROR(MATCH(DN$3,$J17:$O17,0))</f>
        <v>1</v>
      </c>
      <c r="DM17" s="802">
        <f>IF($BR17&gt;0, IF(ISTEXT(DM$3), $C17+IF($D17&lt;1000,$D17,$D17/($E17*60)),0),0)</f>
        <v>0</v>
      </c>
      <c r="DN17" s="802">
        <f>IF(DM17&gt;0,IF(ISTEXT(DM$3),$F17),0)</f>
        <v>0</v>
      </c>
      <c r="DO17" s="539">
        <f>IF(DM17&gt;0,IF(ISTEXT(DM$3),$G17),0)</f>
        <v>0</v>
      </c>
      <c r="DP17" s="698">
        <f>IF($I17=0,0,IF(DM17&gt;0,DO17*$CG17/$I17,0))</f>
        <v>0</v>
      </c>
      <c r="DQ17" s="803">
        <f>$BR17*DN17</f>
        <v>0</v>
      </c>
      <c r="DR17" s="801" t="b">
        <f>ISERROR(MATCH(DT$3,$J17:$O17,0))</f>
        <v>1</v>
      </c>
      <c r="DS17" s="802">
        <f>IF($BS17&gt;0, IF(ISTEXT(DS$3), $C17+IF($D17&lt;1000,$D17,$D17/($E17*60)),0),0)</f>
        <v>0</v>
      </c>
      <c r="DT17" s="802">
        <f>IF(DS17&gt;0,IF(ISTEXT(DS$3),$F17),0)</f>
        <v>0</v>
      </c>
      <c r="DU17" s="539">
        <f>IF(DS17&gt;0,IF(ISTEXT(DS$3),$G17),0)</f>
        <v>0</v>
      </c>
      <c r="DV17" s="698">
        <f>IF($I17=0,0,IF(DS17&gt;0,DU17*$CG17/$I17,0))</f>
        <v>0</v>
      </c>
      <c r="DW17" s="803">
        <f>$BS17*DT17</f>
        <v>0</v>
      </c>
      <c r="DX17" s="801" t="b">
        <f>ISERROR(MATCH(DZ$3,$J17:$O17,0))</f>
        <v>1</v>
      </c>
      <c r="DY17" s="802">
        <f>IF($BT17&gt;0, IF(ISTEXT(DY$3), $C17+IF($D17&lt;1000,$D17,$D17/($E17*60)),0),0)</f>
        <v>0</v>
      </c>
      <c r="DZ17" s="802">
        <f>IF(DY17&gt;0,IF(ISTEXT(DY$3),$F17),0)</f>
        <v>0</v>
      </c>
      <c r="EA17" s="539">
        <f>IF(DY17&gt;0,IF(ISTEXT(DY$3),$G17),0)*IF($DX17=FALSE,IF($DZ$3=$D$184,1,$EA$3),1)</f>
        <v>0</v>
      </c>
      <c r="EB17" s="698">
        <f>IF($I17=0,0,IF(DY17&gt;0,EA17*$CG17/$I17,0))</f>
        <v>0</v>
      </c>
      <c r="EC17" s="803">
        <f>$BT17*DZ17</f>
        <v>0</v>
      </c>
      <c r="ED17" s="801" t="b">
        <f>ISERROR(MATCH(EF$3,$J17:$O17,0))</f>
        <v>1</v>
      </c>
      <c r="EE17" s="802">
        <f>IF($BU17&gt;0, IF(ISTEXT(EE$3), $C17+IF($D17&lt;1000,$D17,$D17/($E17*60)),0),0)</f>
        <v>0</v>
      </c>
      <c r="EF17" s="802">
        <f>IF(EE17&gt;0,IF(ISTEXT(EE$3),$F17),0)</f>
        <v>0</v>
      </c>
      <c r="EG17" s="539">
        <f>IF(EE17&gt;0,IF(ISTEXT(EE$3),$G17),0)</f>
        <v>0</v>
      </c>
      <c r="EH17" s="698">
        <f>IF($I17=0,0,IF(EE17&gt;0,EG17*$CG17/$I17,0))</f>
        <v>0</v>
      </c>
      <c r="EI17" s="803">
        <f>$BU17*EF17</f>
        <v>0</v>
      </c>
      <c r="EJ17" s="801" t="b">
        <f>ISERROR(MATCH(EL$3,$J17:$O17,0))</f>
        <v>1</v>
      </c>
      <c r="EK17" s="1483">
        <f>IF($BV17&gt;0, IF(ISTEXT(EK$3), $C17+IF($D17&lt;1000,$D17,$D17/($E17*60)),0),0)</f>
        <v>0</v>
      </c>
      <c r="EL17" s="1483">
        <f>IF(EK17&gt;0,IF(ISTEXT(EK$3),$F17),0)</f>
        <v>0</v>
      </c>
      <c r="EM17" s="1484">
        <f>IF(EK17&gt;0,IF(ISTEXT(EK$3),$G17),0)</f>
        <v>0</v>
      </c>
      <c r="EN17" s="1486">
        <f>IF($I17=0,0,IF(EK17&gt;0,EM17*$CG17/$I17,0))</f>
        <v>0</v>
      </c>
      <c r="EO17" s="1487">
        <f>$BV17*EL17</f>
        <v>0</v>
      </c>
      <c r="EP17" s="801" t="b">
        <f>ISERROR(MATCH(ER$3,$J17:$O17,0))</f>
        <v>1</v>
      </c>
      <c r="EQ17" s="1488">
        <f>IF($BW17&gt;0, IF(ISTEXT(EQ$3), $C17+IF($D17&lt;1000,$D17,$D17/($E17*60)),0),0)</f>
        <v>0</v>
      </c>
      <c r="ER17" s="1483">
        <f>IF(EQ17&gt;0,IF(ISTEXT(EQ$3),$F17),0)</f>
        <v>0</v>
      </c>
      <c r="ES17" s="1484">
        <f>IF(EQ17&gt;0,IF(ISTEXT(EQ$3),$G17),0)</f>
        <v>0</v>
      </c>
      <c r="ET17" s="1486">
        <f>IF($I17=0,0,IF(EQ17&gt;0,ES17*$CG17/$I17,0))</f>
        <v>0</v>
      </c>
      <c r="EU17" s="1487">
        <f>$BW17*ER17</f>
        <v>0</v>
      </c>
      <c r="EV17" s="801" t="b">
        <f>ISERROR(MATCH(EX$3,$J17:$O17,0))</f>
        <v>1</v>
      </c>
      <c r="EW17" s="1488">
        <f>IF($BX17&gt;0, IF(ISTEXT(EW$3), $C17+IF($D17&lt;1000,$D17,$D17/($E17*60)),0),0)</f>
        <v>0</v>
      </c>
      <c r="EX17" s="1483">
        <f>IF(EW17&gt;0,IF(ISTEXT(EW$3),$F17),0)</f>
        <v>0</v>
      </c>
      <c r="EY17" s="1484">
        <f>IF(EW17&gt;0,IF(ISTEXT(EW$3),$G17),0)</f>
        <v>0</v>
      </c>
      <c r="EZ17" s="1486">
        <f>IF($I17=0,0,IF(EW17&gt;0,EY17*$CG17/$I17,0))</f>
        <v>0</v>
      </c>
      <c r="FA17" s="1487">
        <f>$BX17*EX17</f>
        <v>0</v>
      </c>
      <c r="FB17" s="801" t="b">
        <f>ISERROR(MATCH(FD$3,$J17:$O17,0))</f>
        <v>1</v>
      </c>
      <c r="FC17" s="1488">
        <f>IF($BY17&gt;0, IF(ISTEXT(FC$3), $C17+IF($D17&lt;1000,$D17,$D17/($E17*60)),0),0)</f>
        <v>0</v>
      </c>
      <c r="FD17" s="1483">
        <f>IF(FC17&gt;0,IF(ISTEXT(FC$3),$F17),0)</f>
        <v>0</v>
      </c>
      <c r="FE17" s="1484">
        <f>IF(FC17&gt;0,IF(ISTEXT(FC$3),$G17),0)</f>
        <v>0</v>
      </c>
      <c r="FF17" s="1486">
        <f>IF($I17=0,0,IF(FC17&gt;0,FE17*$CG17/$I17,0))</f>
        <v>0</v>
      </c>
      <c r="FG17" s="1487">
        <f>$BY17*FD17</f>
        <v>0</v>
      </c>
      <c r="FH17" s="801" t="b">
        <f>ISERROR(MATCH(FJ$3,$J17:$O17,0))</f>
        <v>1</v>
      </c>
      <c r="FI17" s="1488">
        <f>IF($BZ17&gt;0, IF(ISTEXT(FI$3), $C17+IF($D17&lt;1000,$D17,$D17/($E17*60)),0),0)</f>
        <v>0</v>
      </c>
      <c r="FJ17" s="1483">
        <f>IF(FI17&gt;0,IF(ISTEXT(FI$3),$F17),0)</f>
        <v>0</v>
      </c>
      <c r="FK17" s="1484">
        <f>IF(FI17&gt;0,IF(ISTEXT(FI$3),$G17),0)</f>
        <v>0</v>
      </c>
      <c r="FL17" s="1486">
        <f>IF($I17=0,0,IF(FI17&gt;0,FK17*$CG17/$I17,0))</f>
        <v>0</v>
      </c>
      <c r="FM17" s="1487">
        <f>$BZ17*FJ17</f>
        <v>0</v>
      </c>
      <c r="FN17" s="801" t="b">
        <f>ISERROR(MATCH(FP$3,$J17:$O17,0))</f>
        <v>1</v>
      </c>
      <c r="FO17" s="1488">
        <f>IF($CA17&gt;0, IF(ISTEXT(FO$3), $C17+IF($D17&lt;1000,$D17,$D17/($E17*60)),0),0)</f>
        <v>0</v>
      </c>
      <c r="FP17" s="1483">
        <f>IF(FO17&gt;0,IF(ISTEXT(FO$3),$F17),0)</f>
        <v>0</v>
      </c>
      <c r="FQ17" s="1484">
        <f>IF(FO17&gt;0,IF(ISTEXT(FO$3),$G17),0)</f>
        <v>0</v>
      </c>
      <c r="FR17" s="1486">
        <f>IF($I17=0,0,IF(FO17&gt;0,FQ17*$CG17/$I17,0))</f>
        <v>0</v>
      </c>
      <c r="FS17" s="1487">
        <f>$CA17*FP17</f>
        <v>0</v>
      </c>
      <c r="FT17" s="801" t="b">
        <f>ISERROR(MATCH(FV$3,$J17:$O17,0))</f>
        <v>1</v>
      </c>
      <c r="FU17" s="1488">
        <f>IF($CB17&gt;0, IF(ISTEXT(FU$3), $C17+IF($D17&lt;1000,$D17,$D17/($E17*60)),0),0)</f>
        <v>1</v>
      </c>
      <c r="FV17" s="1483">
        <f>IF(FU17&gt;0,IF(ISTEXT(FU$3),$F17),0)</f>
        <v>10</v>
      </c>
      <c r="FW17" s="1484">
        <f>IF(FU17&gt;0,IF(ISTEXT(FU$3),$G17),0)</f>
        <v>0.8666666666666667</v>
      </c>
      <c r="FX17" s="1486">
        <f>IF($I17=0,0,IF(FU17&gt;0,FW17*$CG17/$I17,0))</f>
        <v>1.6666666666666667</v>
      </c>
      <c r="FY17" s="1487">
        <f>$CB17*FV17</f>
        <v>2.7028518173345759</v>
      </c>
      <c r="FZ17" s="801" t="b">
        <f>ISERROR(MATCH(GB$3,$J17:$O17,0))</f>
        <v>1</v>
      </c>
      <c r="GA17" s="1488">
        <f>IF($CC17&gt;0, IF(ISTEXT(GA$3), $C17+IF($D17&lt;1000,$D17,$D17/($E17*60)),0),0)</f>
        <v>0</v>
      </c>
      <c r="GB17" s="1483">
        <f>IF(GA17&gt;0,IF(ISTEXT(GA$3),$F17),0)</f>
        <v>0</v>
      </c>
      <c r="GC17" s="1484">
        <f>IF(GA17&gt;0,IF(ISTEXT(GA$3),$G17),0)</f>
        <v>0</v>
      </c>
      <c r="GD17" s="1486">
        <f>IF($I17=0,0,IF(GA17&gt;0,GC17*$CG17/$I17,0))</f>
        <v>0</v>
      </c>
      <c r="GE17" s="1487">
        <f>$CC17*GB17</f>
        <v>0</v>
      </c>
      <c r="GF17" s="801" t="b">
        <f>ISERROR(MATCH(GH$3,$J17:$O17,0))</f>
        <v>1</v>
      </c>
      <c r="GG17" s="1488">
        <f>IF($CD17&gt;0, IF(ISTEXT(GG$3), $C17+IF($D17&lt;1000,$D17,$D17/($E17*60)),0),0)</f>
        <v>0</v>
      </c>
      <c r="GH17" s="1483">
        <f>IF(GG17&gt;0,IF(ISTEXT(GG$3),$F17),0)</f>
        <v>0</v>
      </c>
      <c r="GI17" s="1484">
        <f>IF(GG17&gt;0,IF(ISTEXT(GG$3),$G17),0)</f>
        <v>0</v>
      </c>
      <c r="GJ17" s="1486">
        <f>IF($I17=0,0,IF(GG17&gt;0,GI17*$CG17/$I17,0))</f>
        <v>0</v>
      </c>
      <c r="GK17" s="1487">
        <f>$CD17*GH17</f>
        <v>0</v>
      </c>
      <c r="GL17" s="801" t="b">
        <f>ISERROR(MATCH(GN$3,$J17:$O17,0))</f>
        <v>1</v>
      </c>
      <c r="GM17" s="1488">
        <f>IF($CE17&gt;0, IF(ISTEXT(GM$3), $C17+IF($D17&lt;1000,$D17,$D17/($E17*60)),0),0)</f>
        <v>0</v>
      </c>
      <c r="GN17" s="1483">
        <f>IF(GM17&gt;0,IF(ISTEXT(GM$3),$F17),0)</f>
        <v>0</v>
      </c>
      <c r="GO17" s="1484">
        <f>IF(GM17&gt;0,IF(ISTEXT(GM$3),$G17),0)</f>
        <v>0</v>
      </c>
      <c r="GP17" s="1486">
        <f>IF($I17=0,0,IF(GM17&gt;0,GO17*$CG17/$I17,0))</f>
        <v>0</v>
      </c>
      <c r="GQ17" s="1487">
        <f>$CE17*GN17</f>
        <v>0</v>
      </c>
      <c r="GR17" s="801" t="b">
        <f>ISERROR(MATCH(GT$3,$J17:$O17,0))</f>
        <v>1</v>
      </c>
      <c r="GS17" s="1488">
        <f>IF($CF17&gt;0, IF(ISTEXT(GS$3), $C17+IF($D17&lt;1000,$D17,$D17/($E17*60)),0),0)</f>
        <v>1</v>
      </c>
      <c r="GT17" s="1483">
        <f>IF(GS17&gt;0,IF(ISTEXT(GS$3),$F17),0)</f>
        <v>10</v>
      </c>
      <c r="GU17" s="1484">
        <f>IF(I17=0,0,IF(GS17&gt;0,IF(ISTEXT(GS$3),$G17),0)*$CG17/$I17)</f>
        <v>1.6666666666666667</v>
      </c>
      <c r="GV17" s="1484"/>
      <c r="GW17" s="1487">
        <f>$CF17*GT17</f>
        <v>0.30031686859273071</v>
      </c>
      <c r="GX17" s="1489">
        <f>IF(ISERROR(FIND("File",$R17)),0,F17*$BN17*VLOOKUP(R17,DataArray,4,FALSE))/60</f>
        <v>0</v>
      </c>
      <c r="GY17" s="551" t="b">
        <f>ISERROR(OR(FIND("F",$R17)))</f>
        <v>1</v>
      </c>
      <c r="GZ17" s="2471" t="b">
        <f>ISERROR(OR(FIND("Image",$R17)))</f>
        <v>1</v>
      </c>
      <c r="HA17" s="2476"/>
      <c r="HB17" s="2866"/>
      <c r="HC17" s="2866"/>
    </row>
    <row r="18" spans="1:211" s="1490" customFormat="1" ht="15" customHeight="1" x14ac:dyDescent="0.2">
      <c r="A18" s="1467" t="str">
        <f>IF($A$4=$H$167,$CI18&amp;"."&amp;$CJ18&amp;"."&amp;$CK18,CT18)</f>
        <v>S WebMap</v>
      </c>
      <c r="B18" s="159" t="s">
        <v>213</v>
      </c>
      <c r="C18" s="1468">
        <v>1</v>
      </c>
      <c r="D18" s="1469"/>
      <c r="E18" s="537">
        <f>IF(D18&lt;1000,IF(SUM(C18:D18)=0,0,IF(AND(D$1=H$173,T18=0),CS18,IF(T$2=$H$178,X18,IF(T$2=$H$179,IF(T18&gt;0,  IF(CR18&gt;X18,X18,CS18),CS18),E18)))),X18)</f>
        <v>6</v>
      </c>
      <c r="F18" s="538">
        <f>IF($T$2=$H$177,0,IF($D$4=Calculator!$A$162,C18*E18+D18/60,IF(OR($D$4=Calculator!$A$163,D18&lt;1000),(C18+D18)*E18,C18*E18+D18/60)))</f>
        <v>6</v>
      </c>
      <c r="G18" s="803">
        <f>IF(SUM($C18:$D18)&gt;0,F18*$I18/60,0)</f>
        <v>0.2</v>
      </c>
      <c r="H18" s="925" t="str">
        <f>W18&amp;CU18&amp;" {"&amp;TEXT(F18*60,"###,##0")&amp;"}"</f>
        <v>DB {360}</v>
      </c>
      <c r="I18" s="540">
        <f>$BG18</f>
        <v>2</v>
      </c>
      <c r="J18" s="926" t="s">
        <v>382</v>
      </c>
      <c r="K18" s="926" t="s">
        <v>382</v>
      </c>
      <c r="L18" s="927" t="s">
        <v>382</v>
      </c>
      <c r="M18" s="927" t="s">
        <v>382</v>
      </c>
      <c r="N18" s="927" t="s">
        <v>382</v>
      </c>
      <c r="O18" s="927" t="s">
        <v>382</v>
      </c>
      <c r="P18" s="928" t="str">
        <f>IF(OR(AND($O18=$A$167,  $O$5=$A$167),AND($O18=$A$167,  $O$5=$A$187)), IF(BL18&gt;0,IF($N18=$A$167,$N$5,$N18), IF(BI18&gt;0,  IF($K18=$A$167,$K$5,$K18), IF($J18=$A$167,$J$5,$J18))),IF(O18=$A$167,O$5,O18))</f>
        <v>GIS</v>
      </c>
      <c r="Q18" s="929" t="s">
        <v>382</v>
      </c>
      <c r="R18" s="160" t="s">
        <v>1055</v>
      </c>
      <c r="S18" s="1470">
        <f>VLOOKUP($B18,wfRange,Workflow!B$1,FALSE)</f>
        <v>10</v>
      </c>
      <c r="T18" s="1245">
        <f>CP18</f>
        <v>3</v>
      </c>
      <c r="U18" s="546">
        <f ca="1">IF(F18=0,T18,60/E18-V18)</f>
        <v>9.7171608507226797</v>
      </c>
      <c r="V18" s="759">
        <f ca="1">IF(F18=0,0,SUM(Y18:BF18))</f>
        <v>0.28283914927732101</v>
      </c>
      <c r="W18" s="2682"/>
      <c r="X18" s="2733">
        <f>CQ18</f>
        <v>6</v>
      </c>
      <c r="Y18" s="2751">
        <f>IF(SUM($C18:$D18)&gt;0,$K$85*CF18,0)*1/VLOOKUP(B18,wfRange,Workflow!N$1,FALSE)</f>
        <v>2.1800024718823387E-2</v>
      </c>
      <c r="Z18" s="1474">
        <f>IF(Y18&gt;0, IF($A$83&lt;0.9999,   IF($T18=0,  MAX($CL$2*Y18*$Q$82,$CL$2*Y18*$Q$81),  MAX(Y18*$Q$82,Y18*$Q$81)),  Y18*200),0)</f>
        <v>2.0540177681060545E-4</v>
      </c>
      <c r="AA18" s="2751">
        <f>IF(SUM($C18:$D18)&gt;0,$K$81*CE18,0)*1/VLOOKUP(B18,wfRange,Workflow!N$1,FALSE)</f>
        <v>0.19620022246941049</v>
      </c>
      <c r="AB18" s="1474">
        <f>IF(AA18&gt;0, IF($A$79&lt;0.9999,   IF($T18=0,  MAX($CL$2*AA18*$Q$78,$CL$2*AA18*$Q$77),  MAX(AA18*$Q$78,AA18*$Q$77)),  AA18*200),0)</f>
        <v>2.8063223599656844E-3</v>
      </c>
      <c r="AC18" s="2751">
        <f>IF(SUM($C18:$D18)&gt;0,$K$77*CD18,0)*1/VLOOKUP(B18,wfRange,Workflow!N$1,FALSE)</f>
        <v>8.7200098875293546E-3</v>
      </c>
      <c r="AD18" s="1474">
        <f>IF(AC18&gt;0, IF($A$75&lt;0.9999,   IF($T18=0,  MAX($CL$2*AC18*$Q$74,$CL$2*AC18*$Q$73),  MAX(AC18*$Q$74,AC18*$Q$73)),  AC18*200),0)</f>
        <v>5.6954505832084005E-6</v>
      </c>
      <c r="AE18" s="2751">
        <f>IF(SUM($C18:$D18)&gt;0,$K$73*CC18,0)*1/VLOOKUP(B18,wfRange,Workflow!N$1,FALSE)</f>
        <v>0</v>
      </c>
      <c r="AF18" s="1474">
        <f>IF(AE18&gt;0, IF($A$71&lt;0.9999,   IF($T18=0,  MAX($CL$2*AE18*$Q$70,$CL$2*AE18*$Q$69),  MAX(AE18*$Q$70,AE18*$Q$69)),  AE18*200),0)</f>
        <v>0</v>
      </c>
      <c r="AG18" s="2751">
        <f>IF(SUM($C18:$D18)&gt;0,$K$69*CB18,0)*1/VLOOKUP(B18,wfRange,Workflow!N$1,FALSE)</f>
        <v>0</v>
      </c>
      <c r="AH18" s="1474">
        <f>IF(AG18&gt;0, IF($A$67&lt;0.9999,   IF($T18=0,  MAX($CL$2*AG18*$Q$66,$CL$2*AG18*$Q$64),  MAX(AG18*$Q$66,AG18*$Q$64)),  AG18*200),0)</f>
        <v>0</v>
      </c>
      <c r="AI18" s="2751">
        <f>IF(SUM($C18:$D18)&gt;0,$K$64*CA18,0)*1/VLOOKUP(B18,wfRange,Workflow!N$1,FALSE)</f>
        <v>0</v>
      </c>
      <c r="AJ18" s="1474">
        <f>IF(AI18&gt;0, IF($A$62&lt;0.9999,   IF($T18=0,  MAX($CL$2*AI18*$Q$61,$CL$2*AI18*$Q$60),  MAX(AI18*$Q$61,AI18*$Q$60)),  AI18*200),0)</f>
        <v>0</v>
      </c>
      <c r="AK18" s="2751">
        <f>IF(SUM($C18:$D18)&gt;0,$K$60*BZ18,0)*1/VLOOKUP(B18,wfRange,Workflow!N$1,FALSE)</f>
        <v>0</v>
      </c>
      <c r="AL18" s="1474">
        <f>IF(AK18&gt;0, IF($A$58&lt;0.9999,   IF($T18=0,  MAX($CL$2*AK18*$Q$57,$CL$2*AK18*$Q$56),  MAX(AK18*$Q$57,AK18*$Q$56)),  AK18*200),0)</f>
        <v>0</v>
      </c>
      <c r="AM18" s="2751">
        <f>IF(SUM($C18:$D18)&gt;0,$K$56*BY18,0)*1/VLOOKUP(B18,wfRange,Workflow!N$1,FALSE)</f>
        <v>0</v>
      </c>
      <c r="AN18" s="1474">
        <f>IF(AM18&gt;0, IF($A$54&lt;0.9999,   IF($T18=0,  MAX($CL$2*AM18*$Q$53,$CL$2*AM18*$Q$52),  MAX(AM18*$Q$53,AM18*$Q$52)),  AM18*200),0)</f>
        <v>0</v>
      </c>
      <c r="AO18" s="2751">
        <f>IF(SUM($C18:$D18)&gt;0,$K$52*BX18,0)*1/VLOOKUP(B18,wfRange,Workflow!N$1,FALSE)</f>
        <v>0</v>
      </c>
      <c r="AP18" s="1474">
        <f>IF(AO18&gt;0, IF($A$50&lt;0.9999,   IF($T18=0,  MAX($CL$2*AO18*$Q$49,$CL$2*AO18*$Q$48),  MAX(AO18*$Q$49,AO18*$Q$48)),  AO18*200),0)</f>
        <v>0</v>
      </c>
      <c r="AQ18" s="2751">
        <f>IF(SUM($C18:$D18)&gt;0,$K$48*BW18,0)*1/VLOOKUP(B18,wfRange,Workflow!N$1,FALSE)</f>
        <v>0</v>
      </c>
      <c r="AR18" s="1474">
        <f>IF(AQ18&gt;0, IF($A$46&lt;0.9999,   IF($T18=0,  MAX($CL$2*AQ18*$Q$45,$CL$2*AQ18*$Q$43),  MAX(AQ18*$Q$45,AQ18*$Q$43)),  AQ18*200),0)</f>
        <v>0</v>
      </c>
      <c r="AS18" s="2751">
        <f>IF(SUM($C18:$D18)&gt;0,$K$43*BV18,0)*1/VLOOKUP(B18,wfRange,Workflow!N$1,FALSE)</f>
        <v>0</v>
      </c>
      <c r="AT18" s="1474">
        <f>IF(AS18&gt;0, IF($A$41&lt;0.9999,   IF($T18=0,  MAX($CL$2*AS18*$Q$40,$CL$2*AS18*$Q$39),  MAX(AS18*$Q$40,AS18*$Q$39)),  AS18*200),0)</f>
        <v>0</v>
      </c>
      <c r="AU18" s="2751">
        <f>IF(SUM($C18:$D18)&gt;0,$K$39*BU18,0)*1/VLOOKUP(B18,wfRange,Workflow!N$1,FALSE)</f>
        <v>0</v>
      </c>
      <c r="AV18" s="1474">
        <f>IF(AU18&gt;0, IF($A$37&lt;0.9999,   IF($T18=0,  MAX($CL$2*AU18*$Q$36,$CL$2*AU18*$Q$35),  MAX(AU18*$Q$36,AU18*$Q$35)),  AU18*200),0)</f>
        <v>0</v>
      </c>
      <c r="AW18" s="2751">
        <f>IF(SUM($C18:$D18)&gt;0,$K$35*BT18,0)*1/VLOOKUP(B18,wfRange,Workflow!N$1,FALSE)</f>
        <v>0</v>
      </c>
      <c r="AX18" s="1474">
        <f>IF(AW18&gt;0, IF($A$33&lt;0.9999,   IF($T18=0,  MAX($CL$2*AW18*$Q$32,$CL$2*AW18*$Q$31),  MAX(AW18*$Q$32,AW18*$Q$31)),  AW18*200),0)</f>
        <v>0</v>
      </c>
      <c r="AY18" s="2751">
        <f>IF(SUM($C18:$D18)&gt;0,$K$31*BS18,0)*1/VLOOKUP(B18,wfRange,Workflow!N$1,FALSE)</f>
        <v>0</v>
      </c>
      <c r="AZ18" s="1474">
        <f>IF(AY18&gt;0, IF($A$29&lt;0.9999,   IF($T18=0,  MAX($CL$2*AY18*$Q$28,$CL$2*AY18*$Q$27),  MAX(AY18*$Q$28,AY18*$Q$27)),  AY18*200),0)</f>
        <v>0</v>
      </c>
      <c r="BA18" s="2751">
        <f>IF(SUM($C18:$D18)&gt;0,$K$27*BR18,0)*1/VLOOKUP(B18,wfRange,Workflow!N$1,FALSE)</f>
        <v>0</v>
      </c>
      <c r="BB18" s="1474">
        <f>IF(BA18&gt;0, IF($A$25&lt;0.9999,   IF($T18=0,  MAX($CL$2*BA18*$Q$24,$CL$2*BA18*$Q$23),  MAX(BA18*$Q$24,BA18*$Q$23)),  BA18*200),0)</f>
        <v>0</v>
      </c>
      <c r="BC18" s="2751">
        <f ca="1">IF(SUM($C18:$D18)&gt;0,IF($CJ18&gt;0,IF($CO18&gt;$CN18,$I18/$CN18,$I18/$CO18),$I18/$CN18),0)</f>
        <v>2.2222222222222223E-2</v>
      </c>
      <c r="BD18" s="930">
        <f ca="1">IF(BC18&gt;0,IF(CL18&lt;0.9999,BC18*CL18/((1+$CK$2*CL18)*(1-CL18)),BC18*500),0)</f>
        <v>5.723957221449781E-4</v>
      </c>
      <c r="BE18" s="2765">
        <f ca="1">IF(SUM($C18:$D18)&gt;0,IF(CJ18&gt;0,VLOOKUP($CJ18+200,NL,6,FALSE)*S18,0),0)/1000</f>
        <v>0</v>
      </c>
      <c r="BF18" s="2765">
        <f>IF(SUM($C18:$D18)&gt;0,BQ18*$BO$2/$G$22,0)*1/VLOOKUP(B18,wfRange,Workflow!N$1,FALSE)</f>
        <v>3.0306854669831077E-2</v>
      </c>
      <c r="BG18" s="2736">
        <f>IF($CW18="desktop",VLOOKUP($R18,DataArray,5,FALSE)* VLOOKUP($B18,wfRange,Workflow!C$1,FALSE), VLOOKUP($B18,wfRange,Workflow!C$1,FALSE))</f>
        <v>2</v>
      </c>
      <c r="BH18" s="1476">
        <f>IF(CW18="Desktop", VLOOKUP($R18,DataArray,4,FALSE)* IF(ISERROR(FIND("File",$R18)), VLOOKUP($B18,wfRange,Workflow!D$1,FALSE), VLOOKUP($B18,wfRange,Workflow!D$1,FALSE)+ VLOOKUP($B18,wfRange,Workflow!I$1,FALSE)+ VLOOKUP($B18,wfRange,Workflow!K$1,FALSE)), VLOOKUP($B18,wfRange,Workflow!D$1,FALSE))</f>
        <v>2.5289841565703634E-2</v>
      </c>
      <c r="BI18" s="542">
        <f>IF(VLOOKUP($B18,wfRange,Workflow!E$1,FALSE)&gt;0, VLOOKUP($R18,DataArray,4,FALSE)* IF(ISERROR(FIND("File",$R18)),   VLOOKUP($B18,wfRange,Workflow!E$1,FALSE),     VLOOKUP($B18,wfRange,Workflow!E$1,FALSE)+ VLOOKUP($B18,wfRange,Workflow!I$1,FALSE)+ VLOOKUP($B18,wfRange,Workflow!K$1,FALSE)),0)</f>
        <v>0</v>
      </c>
      <c r="BJ18" s="543">
        <f>VLOOKUP($B18,wfRange,Workflow!F$1,FALSE)</f>
        <v>8.2191985088536819E-3</v>
      </c>
      <c r="BK18" s="543">
        <f>MAX(VLOOKUP($B18,wfRange,Workflow!G$1,FALSE),IF(W18=$BB$22,$BC$22,0))</f>
        <v>0</v>
      </c>
      <c r="BL18" s="543">
        <f>IF(VLOOKUP($B18,wfRange,Workflow!H$1,FALSE)&gt;0,VLOOKUP($R18,DataArray,4,FALSE)* IF(ISERROR(FIND("File",$R18)),VLOOKUP($B18,wfRange,Workflow!H$1,FALSE),VLOOKUP($B18,wfRange,Workflow!H$1,FALSE)+VLOOKUP($B18,wfRange,Workflow!I$1,FALSE)+VLOOKUP($B18,wfRange,Workflow!K$1,FALSE)),0)</f>
        <v>0.16438397017707365</v>
      </c>
      <c r="BM18" s="544">
        <f>VLOOKUP($R18,DataArray,3,FALSE)* VLOOKUP($B18,wfRange,Workflow!I$1,FALSE)</f>
        <v>2.0547996272134206E-2</v>
      </c>
      <c r="BN18" s="545">
        <f>VLOOKUP($R18,DataArray,5,FALSE)* VLOOKUP($B18,wfRange,Workflow!J$1,FALSE)</f>
        <v>10</v>
      </c>
      <c r="BO18" s="544">
        <f>VLOOKUP($R18,DataArray,2,FALSE)* VLOOKUP($B18,wfRange,Workflow!K$1,FALSE)</f>
        <v>2.0547996272134206E-2</v>
      </c>
      <c r="BP18" s="753">
        <f>SUM(BH18:BM18,BO18)</f>
        <v>0.23898900279589941</v>
      </c>
      <c r="BQ18" s="1471">
        <f t="shared" si="4"/>
        <v>2.5289841565703634E-2</v>
      </c>
      <c r="BR18" s="1472">
        <f t="shared" si="4"/>
        <v>0</v>
      </c>
      <c r="BS18" s="1472">
        <f t="shared" si="4"/>
        <v>0</v>
      </c>
      <c r="BT18" s="1472">
        <f t="shared" si="4"/>
        <v>0</v>
      </c>
      <c r="BU18" s="1472">
        <f t="shared" si="4"/>
        <v>0</v>
      </c>
      <c r="BV18" s="1472">
        <f t="shared" si="4"/>
        <v>0</v>
      </c>
      <c r="BW18" s="1472">
        <f t="shared" si="4"/>
        <v>0</v>
      </c>
      <c r="BX18" s="1472">
        <f t="shared" si="4"/>
        <v>0</v>
      </c>
      <c r="BY18" s="1472">
        <f t="shared" si="4"/>
        <v>0</v>
      </c>
      <c r="BZ18" s="1472">
        <f t="shared" si="4"/>
        <v>0</v>
      </c>
      <c r="CA18" s="1472">
        <f t="shared" si="4"/>
        <v>0</v>
      </c>
      <c r="CB18" s="1472">
        <f t="shared" si="4"/>
        <v>0</v>
      </c>
      <c r="CC18" s="1472">
        <f t="shared" si="4"/>
        <v>0</v>
      </c>
      <c r="CD18" s="1472">
        <f t="shared" si="4"/>
        <v>8.2191985088536819E-3</v>
      </c>
      <c r="CE18" s="1472">
        <f t="shared" si="4"/>
        <v>0.18493196644920787</v>
      </c>
      <c r="CF18" s="1472">
        <f t="shared" si="4"/>
        <v>2.0547996272134206E-2</v>
      </c>
      <c r="CG18" s="541">
        <f>$BN18</f>
        <v>10</v>
      </c>
      <c r="CH18" s="951">
        <f ca="1">CJ18+100</f>
        <v>102</v>
      </c>
      <c r="CI18" s="951">
        <f ca="1">COUNTBLANK($CI$5:$CI18)</f>
        <v>3</v>
      </c>
      <c r="CJ18" s="951">
        <f ca="1">COUNTBLANK($CJ$5:$CJ18)</f>
        <v>2</v>
      </c>
      <c r="CK18" s="1477">
        <f ca="1">COUNTA($CK$5:$CK18)</f>
        <v>9</v>
      </c>
      <c r="CL18" s="547">
        <f ca="1">IF(CO18=0,VLOOKUP($CI18,NL,5,FALSE),IF(CO18&lt;CN18,VLOOKUP($CJ18+200,NL,5,FALSE),VLOOKUP($CI18,NL,5,FALSE)))</f>
        <v>2.5740740740740745E-2</v>
      </c>
      <c r="CM18" s="1475"/>
      <c r="CN18" s="548">
        <f ca="1">VLOOKUP($CI18,NL,3,FALSE)</f>
        <v>90</v>
      </c>
      <c r="CO18" s="549">
        <f ca="1">IF(CJ18&gt;0,VLOOKUP($CJ18+200,NL,2,FALSE),0)</f>
        <v>90</v>
      </c>
      <c r="CP18" s="570">
        <f>VLOOKUP($B18,wfRange,Workflow!L$1,FALSE)</f>
        <v>3</v>
      </c>
      <c r="CQ18" s="1473">
        <f>IF($CQ$5=1000,1000,VLOOKUP($B18,wfRange,Workflow!M$1,FALSE))</f>
        <v>6</v>
      </c>
      <c r="CR18" s="767">
        <f ca="1">IF(SUM($C18:$D18)&gt;0,IF(T18&gt;0,60/(T18+V18),60/V18),1000)</f>
        <v>18.276862578907743</v>
      </c>
      <c r="CS18" s="766">
        <f ca="1">IF(CR18&gt;E18,E18+ABS(CR18-E18)*$U$2/100,E18-ABS(CR18-E18)*$U$2/500)</f>
        <v>7.2276862578907739</v>
      </c>
      <c r="CT18" s="1478" t="str">
        <f t="shared" si="1"/>
        <v>S WebMap</v>
      </c>
      <c r="CU18" s="1478" t="str">
        <f>IF(ISERROR(FIND("_",R18)),R18,LEFT(R18,FIND("_",R18)-1))</f>
        <v>DB</v>
      </c>
      <c r="CV18" s="1479">
        <f>F18*60</f>
        <v>360</v>
      </c>
      <c r="CW18" s="1900" t="str">
        <f>VLOOKUP($B18,wfRange,Workflow!O$1,FALSE)</f>
        <v>Server</v>
      </c>
      <c r="CX18" s="1478">
        <f>IF(ISERROR(IF(CW18=" Imagery",MATCH(R18,ImageryDataList,0), MATCH(R18,MapDataList,0))),1,0)</f>
        <v>0</v>
      </c>
      <c r="CY18" s="1914">
        <f>IF(CW18=" imagery",IF($O18=$A$185,0,IF($O18=$A$186,0,1)),0)</f>
        <v>0</v>
      </c>
      <c r="CZ18" s="1908">
        <f>IF(AND(O18=$A$186,R18=Calculator!$C$171),1,0)</f>
        <v>0</v>
      </c>
      <c r="DA18" s="1900" t="str">
        <f>IF(BH18&gt;0.04*$BO$2/58,DA$4,"server")</f>
        <v>server</v>
      </c>
      <c r="DB18" s="1480"/>
      <c r="DC18" s="1480"/>
      <c r="DD18" s="1480"/>
      <c r="DE18" s="1480"/>
      <c r="DF18" s="1481"/>
      <c r="DG18" s="550"/>
      <c r="DH18" s="1482">
        <f>IF($BQ18&gt;0, IF(ISTEXT(DH$3), $C18+IF($D18&lt;1000,$D18,$D18/($E18*60)),0),0)</f>
        <v>1</v>
      </c>
      <c r="DI18" s="1483">
        <f>IF(DH18&gt;0,IF(ISTEXT(DH$3),$F18),0)</f>
        <v>6</v>
      </c>
      <c r="DJ18" s="1484">
        <f>IF(DH18&gt;0,IF(ISTEXT(DH$3),$G18),0)</f>
        <v>0.2</v>
      </c>
      <c r="DK18" s="1485">
        <f>$BQ18*DI18</f>
        <v>0.15173904939422181</v>
      </c>
      <c r="DL18" s="801" t="b">
        <f>ISERROR(MATCH(DN$3,$J18:$O18,0))</f>
        <v>1</v>
      </c>
      <c r="DM18" s="802">
        <f>IF($BR18&gt;0, IF(ISTEXT(DM$3), $C18+IF($D18&lt;1000,$D18,$D18/($E18*60)),0),0)</f>
        <v>0</v>
      </c>
      <c r="DN18" s="802">
        <f>IF(DM18&gt;0,IF(ISTEXT(DM$3),$F18),0)</f>
        <v>0</v>
      </c>
      <c r="DO18" s="539">
        <f>IF(DM18&gt;0,IF(ISTEXT(DM$3),$G18),0)</f>
        <v>0</v>
      </c>
      <c r="DP18" s="698">
        <f>IF($I18=0,0,IF(DM18&gt;0,DO18*$CG18/$I18,0))</f>
        <v>0</v>
      </c>
      <c r="DQ18" s="803">
        <f>$BR18*DN18</f>
        <v>0</v>
      </c>
      <c r="DR18" s="801" t="b">
        <f>ISERROR(MATCH(DT$3,$J18:$O18,0))</f>
        <v>1</v>
      </c>
      <c r="DS18" s="802">
        <f>IF($BS18&gt;0, IF(ISTEXT(DS$3), $C18+IF($D18&lt;1000,$D18,$D18/($E18*60)),0),0)</f>
        <v>0</v>
      </c>
      <c r="DT18" s="802">
        <f>IF(DS18&gt;0,IF(ISTEXT(DS$3),$F18),0)</f>
        <v>0</v>
      </c>
      <c r="DU18" s="539">
        <f>IF(DS18&gt;0,IF(ISTEXT(DS$3),$G18),0)</f>
        <v>0</v>
      </c>
      <c r="DV18" s="698">
        <f>IF($I18=0,0,IF(DS18&gt;0,DU18*$CG18/$I18,0))</f>
        <v>0</v>
      </c>
      <c r="DW18" s="803">
        <f>$BS18*DT18</f>
        <v>0</v>
      </c>
      <c r="DX18" s="801" t="b">
        <f>ISERROR(MATCH(DZ$3,$J18:$O18,0))</f>
        <v>1</v>
      </c>
      <c r="DY18" s="802">
        <f>IF($BT18&gt;0, IF(ISTEXT(DY$3), $C18+IF($D18&lt;1000,$D18,$D18/($E18*60)),0),0)</f>
        <v>0</v>
      </c>
      <c r="DZ18" s="802">
        <f>IF(DY18&gt;0,IF(ISTEXT(DY$3),$F18),0)</f>
        <v>0</v>
      </c>
      <c r="EA18" s="539">
        <f>IF(DY18&gt;0,IF(ISTEXT(DY$3),$G18),0)*IF($DX18=FALSE,IF($DZ$3=$D$184,1,$EA$3),1)</f>
        <v>0</v>
      </c>
      <c r="EB18" s="698">
        <f>IF($I18=0,0,IF(DY18&gt;0,EA18*$CG18/$I18,0))</f>
        <v>0</v>
      </c>
      <c r="EC18" s="803">
        <f>$BT18*DZ18</f>
        <v>0</v>
      </c>
      <c r="ED18" s="801" t="b">
        <f>ISERROR(MATCH(EF$3,$J18:$O18,0))</f>
        <v>1</v>
      </c>
      <c r="EE18" s="802">
        <f>IF($BU18&gt;0, IF(ISTEXT(EE$3), $C18+IF($D18&lt;1000,$D18,$D18/($E18*60)),0),0)</f>
        <v>0</v>
      </c>
      <c r="EF18" s="802">
        <f>IF(EE18&gt;0,IF(ISTEXT(EE$3),$F18),0)</f>
        <v>0</v>
      </c>
      <c r="EG18" s="539">
        <f>IF(EE18&gt;0,IF(ISTEXT(EE$3),$G18),0)</f>
        <v>0</v>
      </c>
      <c r="EH18" s="698">
        <f>IF($I18=0,0,IF(EE18&gt;0,EG18*$CG18/$I18,0))</f>
        <v>0</v>
      </c>
      <c r="EI18" s="803">
        <f>$BU18*EF18</f>
        <v>0</v>
      </c>
      <c r="EJ18" s="801" t="b">
        <f>ISERROR(MATCH(EL$3,$J18:$O18,0))</f>
        <v>1</v>
      </c>
      <c r="EK18" s="1483">
        <f>IF($BV18&gt;0, IF(ISTEXT(EK$3), $C18+IF($D18&lt;1000,$D18,$D18/($E18*60)),0),0)</f>
        <v>0</v>
      </c>
      <c r="EL18" s="1483">
        <f>IF(EK18&gt;0,IF(ISTEXT(EK$3),$F18),0)</f>
        <v>0</v>
      </c>
      <c r="EM18" s="1484">
        <f>IF(EK18&gt;0,IF(ISTEXT(EK$3),$G18),0)</f>
        <v>0</v>
      </c>
      <c r="EN18" s="1486">
        <f>IF($I18=0,0,IF(EK18&gt;0,EM18*$CG18/$I18,0))</f>
        <v>0</v>
      </c>
      <c r="EO18" s="1487">
        <f>$BV18*EL18</f>
        <v>0</v>
      </c>
      <c r="EP18" s="801" t="b">
        <f>ISERROR(MATCH(ER$3,$J18:$O18,0))</f>
        <v>1</v>
      </c>
      <c r="EQ18" s="1488">
        <f>IF($BW18&gt;0, IF(ISTEXT(EQ$3), $C18+IF($D18&lt;1000,$D18,$D18/($E18*60)),0),0)</f>
        <v>0</v>
      </c>
      <c r="ER18" s="1483">
        <f>IF(EQ18&gt;0,IF(ISTEXT(EQ$3),$F18),0)</f>
        <v>0</v>
      </c>
      <c r="ES18" s="1484">
        <f>IF(EQ18&gt;0,IF(ISTEXT(EQ$3),$G18),0)</f>
        <v>0</v>
      </c>
      <c r="ET18" s="1486">
        <f>IF($I18=0,0,IF(EQ18&gt;0,ES18*$CG18/$I18,0))</f>
        <v>0</v>
      </c>
      <c r="EU18" s="1487">
        <f>$BW18*ER18</f>
        <v>0</v>
      </c>
      <c r="EV18" s="801" t="b">
        <f>ISERROR(MATCH(EX$3,$J18:$O18,0))</f>
        <v>1</v>
      </c>
      <c r="EW18" s="1488">
        <f>IF($BX18&gt;0, IF(ISTEXT(EW$3), $C18+IF($D18&lt;1000,$D18,$D18/($E18*60)),0),0)</f>
        <v>0</v>
      </c>
      <c r="EX18" s="1483">
        <f>IF(EW18&gt;0,IF(ISTEXT(EW$3),$F18),0)</f>
        <v>0</v>
      </c>
      <c r="EY18" s="1484">
        <f>IF(EW18&gt;0,IF(ISTEXT(EW$3),$G18),0)</f>
        <v>0</v>
      </c>
      <c r="EZ18" s="1486">
        <f>IF($I18=0,0,IF(EW18&gt;0,EY18*$CG18/$I18,0))</f>
        <v>0</v>
      </c>
      <c r="FA18" s="1487">
        <f>$BX18*EX18</f>
        <v>0</v>
      </c>
      <c r="FB18" s="801" t="b">
        <f>ISERROR(MATCH(FD$3,$J18:$O18,0))</f>
        <v>1</v>
      </c>
      <c r="FC18" s="1488">
        <f>IF($BY18&gt;0, IF(ISTEXT(FC$3), $C18+IF($D18&lt;1000,$D18,$D18/($E18*60)),0),0)</f>
        <v>0</v>
      </c>
      <c r="FD18" s="1483">
        <f>IF(FC18&gt;0,IF(ISTEXT(FC$3),$F18),0)</f>
        <v>0</v>
      </c>
      <c r="FE18" s="1484">
        <f>IF(FC18&gt;0,IF(ISTEXT(FC$3),$G18),0)</f>
        <v>0</v>
      </c>
      <c r="FF18" s="1486">
        <f>IF($I18=0,0,IF(FC18&gt;0,FE18*$CG18/$I18,0))</f>
        <v>0</v>
      </c>
      <c r="FG18" s="1487">
        <f>$BY18*FD18</f>
        <v>0</v>
      </c>
      <c r="FH18" s="801" t="b">
        <f>ISERROR(MATCH(FJ$3,$J18:$O18,0))</f>
        <v>1</v>
      </c>
      <c r="FI18" s="1488">
        <f>IF($BZ18&gt;0, IF(ISTEXT(FI$3), $C18+IF($D18&lt;1000,$D18,$D18/($E18*60)),0),0)</f>
        <v>0</v>
      </c>
      <c r="FJ18" s="1483">
        <f>IF(FI18&gt;0,IF(ISTEXT(FI$3),$F18),0)</f>
        <v>0</v>
      </c>
      <c r="FK18" s="1484">
        <f>IF(FI18&gt;0,IF(ISTEXT(FI$3),$G18),0)</f>
        <v>0</v>
      </c>
      <c r="FL18" s="1486">
        <f>IF($I18=0,0,IF(FI18&gt;0,FK18*$CG18/$I18,0))</f>
        <v>0</v>
      </c>
      <c r="FM18" s="1487">
        <f>$BZ18*FJ18</f>
        <v>0</v>
      </c>
      <c r="FN18" s="801" t="b">
        <f>ISERROR(MATCH(FP$3,$J18:$O18,0))</f>
        <v>1</v>
      </c>
      <c r="FO18" s="1488">
        <f>IF($CA18&gt;0, IF(ISTEXT(FO$3), $C18+IF($D18&lt;1000,$D18,$D18/($E18*60)),0),0)</f>
        <v>0</v>
      </c>
      <c r="FP18" s="1483">
        <f>IF(FO18&gt;0,IF(ISTEXT(FO$3),$F18),0)</f>
        <v>0</v>
      </c>
      <c r="FQ18" s="1484">
        <f>IF(FO18&gt;0,IF(ISTEXT(FO$3),$G18),0)</f>
        <v>0</v>
      </c>
      <c r="FR18" s="1486">
        <f>IF($I18=0,0,IF(FO18&gt;0,FQ18*$CG18/$I18,0))</f>
        <v>0</v>
      </c>
      <c r="FS18" s="1487">
        <f>$CA18*FP18</f>
        <v>0</v>
      </c>
      <c r="FT18" s="801" t="b">
        <f>ISERROR(MATCH(FV$3,$J18:$O18,0))</f>
        <v>1</v>
      </c>
      <c r="FU18" s="1488">
        <f>IF($CB18&gt;0, IF(ISTEXT(FU$3), $C18+IF($D18&lt;1000,$D18,$D18/($E18*60)),0),0)</f>
        <v>0</v>
      </c>
      <c r="FV18" s="1483">
        <f>IF(FU18&gt;0,IF(ISTEXT(FU$3),$F18),0)</f>
        <v>0</v>
      </c>
      <c r="FW18" s="1484">
        <f>IF(FU18&gt;0,IF(ISTEXT(FU$3),$G18),0)</f>
        <v>0</v>
      </c>
      <c r="FX18" s="1486">
        <f>IF($I18=0,0,IF(FU18&gt;0,FW18*$CG18/$I18,0))</f>
        <v>0</v>
      </c>
      <c r="FY18" s="1487">
        <f>$CB18*FV18</f>
        <v>0</v>
      </c>
      <c r="FZ18" s="801" t="b">
        <f>ISERROR(MATCH(GB$3,$J18:$O18,0))</f>
        <v>1</v>
      </c>
      <c r="GA18" s="1488">
        <f>IF($CC18&gt;0, IF(ISTEXT(GA$3), $C18+IF($D18&lt;1000,$D18,$D18/($E18*60)),0),0)</f>
        <v>0</v>
      </c>
      <c r="GB18" s="1483">
        <f>IF(GA18&gt;0,IF(ISTEXT(GA$3),$F18),0)</f>
        <v>0</v>
      </c>
      <c r="GC18" s="1484">
        <f>IF(GA18&gt;0,IF(ISTEXT(GA$3),$G18),0)</f>
        <v>0</v>
      </c>
      <c r="GD18" s="1486">
        <f>IF($I18=0,0,IF(GA18&gt;0,GC18*$CG18/$I18,0))</f>
        <v>0</v>
      </c>
      <c r="GE18" s="1487">
        <f>$CC18*GB18</f>
        <v>0</v>
      </c>
      <c r="GF18" s="801" t="b">
        <f>ISERROR(MATCH(GH$3,$J18:$O18,0))</f>
        <v>1</v>
      </c>
      <c r="GG18" s="1488">
        <f>IF($CD18&gt;0, IF(ISTEXT(GG$3), $C18+IF($D18&lt;1000,$D18,$D18/($E18*60)),0),0)</f>
        <v>1</v>
      </c>
      <c r="GH18" s="1483">
        <f>IF(GG18&gt;0,IF(ISTEXT(GG$3),$F18),0)</f>
        <v>6</v>
      </c>
      <c r="GI18" s="1484">
        <f>IF(GG18&gt;0,IF(ISTEXT(GG$3),$G18),0)</f>
        <v>0.2</v>
      </c>
      <c r="GJ18" s="1486">
        <f>IF($I18=0,0,IF(GG18&gt;0,GI18*$CG18/$I18,0))</f>
        <v>1</v>
      </c>
      <c r="GK18" s="1487">
        <f>$CD18*GH18</f>
        <v>4.9315191053122091E-2</v>
      </c>
      <c r="GL18" s="801" t="b">
        <f>ISERROR(MATCH(GN$3,$J18:$O18,0))</f>
        <v>1</v>
      </c>
      <c r="GM18" s="1488">
        <f>IF($CE18&gt;0, IF(ISTEXT(GM$3), $C18+IF($D18&lt;1000,$D18,$D18/($E18*60)),0),0)</f>
        <v>1</v>
      </c>
      <c r="GN18" s="1483">
        <f>IF(GM18&gt;0,IF(ISTEXT(GM$3),$F18),0)</f>
        <v>6</v>
      </c>
      <c r="GO18" s="1484">
        <f>IF(GM18&gt;0,IF(ISTEXT(GM$3),$G18),0)</f>
        <v>0.2</v>
      </c>
      <c r="GP18" s="1486">
        <f>IF($I18=0,0,IF(GM18&gt;0,GO18*$CG18/$I18,0))</f>
        <v>1</v>
      </c>
      <c r="GQ18" s="1487">
        <f>$CE18*GN18</f>
        <v>1.1095917986952473</v>
      </c>
      <c r="GR18" s="801" t="b">
        <f>ISERROR(MATCH(GT$3,$J18:$O18,0))</f>
        <v>1</v>
      </c>
      <c r="GS18" s="1488">
        <f>IF($CF18&gt;0, IF(ISTEXT(GS$3), $C18+IF($D18&lt;1000,$D18,$D18/($E18*60)),0),0)</f>
        <v>1</v>
      </c>
      <c r="GT18" s="1483">
        <f>IF(GS18&gt;0,IF(ISTEXT(GS$3),$F18),0)</f>
        <v>6</v>
      </c>
      <c r="GU18" s="1484">
        <f>IF(I18=0,0,IF(GS18&gt;0,IF(ISTEXT(GS$3),$G18),0)*$CG18/$I18)</f>
        <v>1</v>
      </c>
      <c r="GV18" s="1484"/>
      <c r="GW18" s="1487">
        <f>$CF18*GT18</f>
        <v>0.12328797763280525</v>
      </c>
      <c r="GX18" s="1489">
        <f>IF(ISERROR(FIND("File",$R18)),0,F18*$BN18*VLOOKUP(R18,DataArray,4,FALSE))/60</f>
        <v>0</v>
      </c>
      <c r="GY18" s="551" t="b">
        <f>ISERROR(OR(FIND("F",$R18)))</f>
        <v>1</v>
      </c>
      <c r="GZ18" s="2471" t="b">
        <f>ISERROR(OR(FIND("Image",$R18)))</f>
        <v>1</v>
      </c>
      <c r="HA18" s="2476"/>
      <c r="HB18" s="2866"/>
      <c r="HC18" s="2866"/>
    </row>
    <row r="19" spans="1:211" ht="15" customHeight="1" x14ac:dyDescent="0.15">
      <c r="A19" s="896" t="str">
        <f>CT19</f>
        <v/>
      </c>
      <c r="B19" s="201" t="str">
        <f>IF(CK20&gt;0,CONCATENATE("R",CJ20,"_Remote Site ",CJ20),"")</f>
        <v/>
      </c>
      <c r="C19" s="185"/>
      <c r="D19" s="185"/>
      <c r="E19" s="372">
        <f ca="1">SUM(C19:OFFSET(C19,MATCH(BG19,OFFSET(BG19,1,0):BG$19,0)-1,0))</f>
        <v>0</v>
      </c>
      <c r="F19" s="373">
        <f ca="1">SUM(G19:OFFSET(G19,MATCH(BG19,OFFSET(BG19,1,0):BG$19,0)-1,0))</f>
        <v>0</v>
      </c>
      <c r="G19" s="897"/>
      <c r="H19" s="2479">
        <v>1.5</v>
      </c>
      <c r="I19" s="189">
        <f ca="1">IF(H19&gt;0,CR19,0)</f>
        <v>0</v>
      </c>
      <c r="J19" s="1501"/>
      <c r="K19" s="1502"/>
      <c r="L19" s="1502"/>
      <c r="M19" s="1502"/>
      <c r="N19" s="1502"/>
      <c r="O19" s="1502"/>
      <c r="P19" s="1502"/>
      <c r="Q19" s="1502"/>
      <c r="R19" s="1503"/>
      <c r="S19" s="2480">
        <v>0</v>
      </c>
      <c r="T19" s="168"/>
      <c r="U19" s="169"/>
      <c r="V19" s="760"/>
      <c r="W19" s="2679"/>
      <c r="X19" s="2734">
        <f>DJ19</f>
        <v>0</v>
      </c>
      <c r="Y19" s="2754"/>
      <c r="Z19" s="2755"/>
      <c r="AA19" s="2754"/>
      <c r="AB19" s="2755"/>
      <c r="AC19" s="2754"/>
      <c r="AD19" s="2756"/>
      <c r="AE19" s="2754"/>
      <c r="AF19" s="2755"/>
      <c r="AG19" s="2754"/>
      <c r="AH19" s="2755"/>
      <c r="AI19" s="2754"/>
      <c r="AJ19" s="2755"/>
      <c r="AK19" s="2754"/>
      <c r="AL19" s="2755"/>
      <c r="AM19" s="2754"/>
      <c r="AN19" s="2755"/>
      <c r="AO19" s="2754"/>
      <c r="AP19" s="2755"/>
      <c r="AQ19" s="2754"/>
      <c r="AR19" s="2755"/>
      <c r="AS19" s="2754"/>
      <c r="AT19" s="2755"/>
      <c r="AU19" s="2754"/>
      <c r="AV19" s="2755"/>
      <c r="AW19" s="2754"/>
      <c r="AX19" s="2755"/>
      <c r="AY19" s="2754"/>
      <c r="AZ19" s="2755"/>
      <c r="BA19" s="2754"/>
      <c r="BB19" s="2755"/>
      <c r="BC19" s="2762"/>
      <c r="BD19" s="2763"/>
      <c r="BE19" s="2478"/>
      <c r="BF19" s="2478"/>
      <c r="BG19" s="2737" t="s">
        <v>1179</v>
      </c>
      <c r="BH19" s="1505"/>
      <c r="BI19" s="1505"/>
      <c r="BJ19" s="1505"/>
      <c r="BK19" s="1505"/>
      <c r="BL19" s="1505"/>
      <c r="BM19" s="1505"/>
      <c r="BN19" s="1505"/>
      <c r="BO19" s="1505"/>
      <c r="BP19" s="1506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1507">
        <f ca="1">200+COUNTBLANK($CJ$5:$CJ19)</f>
        <v>203</v>
      </c>
      <c r="CI19" s="1508">
        <f>H19</f>
        <v>1.5</v>
      </c>
      <c r="CJ19" s="1502"/>
      <c r="CK19" s="952"/>
      <c r="CL19" s="61">
        <f ca="1">+CR19</f>
        <v>0</v>
      </c>
      <c r="CM19" s="1509">
        <f>S19</f>
        <v>0</v>
      </c>
      <c r="CN19" s="62"/>
      <c r="CO19" s="62"/>
      <c r="CP19" s="1510" t="s">
        <v>117</v>
      </c>
      <c r="CQ19" s="1504">
        <f>AC19</f>
        <v>0</v>
      </c>
      <c r="CR19" s="768">
        <f ca="1">IF($H19&gt;0,$F19/$H19,0)</f>
        <v>0</v>
      </c>
      <c r="CS19" s="1511"/>
      <c r="CT19" s="1512" t="str">
        <f t="shared" si="1"/>
        <v/>
      </c>
      <c r="CU19" s="1512">
        <f>IF(ISERROR(FIND("_",CW19)),CW19,LEFT(CW19,FIND("_",CW19)-1))</f>
        <v>0</v>
      </c>
      <c r="CV19" s="1513">
        <f>H19</f>
        <v>1.5</v>
      </c>
      <c r="CW19" s="1902"/>
      <c r="CX19" s="1512"/>
      <c r="CY19" s="1897"/>
      <c r="CZ19" s="1513"/>
      <c r="DA19" s="1902"/>
      <c r="DB19" s="935"/>
      <c r="DC19" s="935"/>
      <c r="DD19" s="935"/>
      <c r="DE19" s="935"/>
      <c r="DF19" s="936"/>
      <c r="DG19" s="5"/>
      <c r="DH19" s="1514"/>
      <c r="DI19" s="1515"/>
      <c r="DJ19" s="1516"/>
      <c r="DK19" s="1517"/>
      <c r="DL19" s="804"/>
      <c r="DM19" s="805"/>
      <c r="DN19" s="805"/>
      <c r="DO19" s="28"/>
      <c r="DP19" s="28"/>
      <c r="DQ19" s="806"/>
      <c r="DR19" s="804"/>
      <c r="DS19" s="805"/>
      <c r="DT19" s="805"/>
      <c r="DU19" s="28"/>
      <c r="DV19" s="28"/>
      <c r="DW19" s="806"/>
      <c r="DX19" s="804"/>
      <c r="DY19" s="805"/>
      <c r="DZ19" s="805"/>
      <c r="EA19" s="28"/>
      <c r="EB19" s="28"/>
      <c r="EC19" s="806"/>
      <c r="ED19" s="804"/>
      <c r="EE19" s="805"/>
      <c r="EF19" s="805"/>
      <c r="EG19" s="28"/>
      <c r="EH19" s="28"/>
      <c r="EI19" s="806"/>
      <c r="EJ19" s="804"/>
      <c r="EK19" s="1515"/>
      <c r="EL19" s="1515"/>
      <c r="EM19" s="1516"/>
      <c r="EN19" s="1516"/>
      <c r="EO19" s="1515"/>
      <c r="EP19" s="804"/>
      <c r="EQ19" s="1518"/>
      <c r="ER19" s="1515"/>
      <c r="ES19" s="1516"/>
      <c r="ET19" s="1516"/>
      <c r="EU19" s="1515"/>
      <c r="EV19" s="804"/>
      <c r="EW19" s="1518"/>
      <c r="EX19" s="1515"/>
      <c r="EY19" s="1516"/>
      <c r="EZ19" s="1516"/>
      <c r="FA19" s="1519"/>
      <c r="FB19" s="804"/>
      <c r="FC19" s="1518"/>
      <c r="FD19" s="1515"/>
      <c r="FE19" s="1516"/>
      <c r="FF19" s="1516"/>
      <c r="FG19" s="1519"/>
      <c r="FH19" s="804"/>
      <c r="FI19" s="1518"/>
      <c r="FJ19" s="1515"/>
      <c r="FK19" s="1516"/>
      <c r="FL19" s="1516"/>
      <c r="FM19" s="1519"/>
      <c r="FN19" s="804"/>
      <c r="FO19" s="1518"/>
      <c r="FP19" s="1515"/>
      <c r="FQ19" s="1516"/>
      <c r="FR19" s="1516"/>
      <c r="FS19" s="1519"/>
      <c r="FT19" s="804"/>
      <c r="FU19" s="1518"/>
      <c r="FV19" s="1515"/>
      <c r="FW19" s="1516"/>
      <c r="FX19" s="1516"/>
      <c r="FY19" s="1519"/>
      <c r="FZ19" s="804"/>
      <c r="GA19" s="1518"/>
      <c r="GB19" s="1515"/>
      <c r="GC19" s="1516"/>
      <c r="GD19" s="1516"/>
      <c r="GE19" s="1519"/>
      <c r="GF19" s="804"/>
      <c r="GG19" s="1518"/>
      <c r="GH19" s="1520"/>
      <c r="GI19" s="1516"/>
      <c r="GJ19" s="1516"/>
      <c r="GK19" s="1519"/>
      <c r="GL19" s="804"/>
      <c r="GM19" s="1518"/>
      <c r="GN19" s="1520"/>
      <c r="GO19" s="1516"/>
      <c r="GP19" s="1516"/>
      <c r="GQ19" s="1519"/>
      <c r="GR19" s="804"/>
      <c r="GS19" s="1518"/>
      <c r="GT19" s="1515"/>
      <c r="GU19" s="1516"/>
      <c r="GV19" s="1516"/>
      <c r="GW19" s="1519"/>
      <c r="GX19" s="1521"/>
      <c r="GY19" s="1522"/>
      <c r="GZ19" s="2472"/>
      <c r="HA19" s="2478">
        <f>H19</f>
        <v>1.5</v>
      </c>
      <c r="HB19" s="2869">
        <f>12*LN(H19)^2+20</f>
        <v>21.972823446717985</v>
      </c>
      <c r="HC19" s="2869">
        <f>12*LN(H19)^2+20</f>
        <v>21.972823446717985</v>
      </c>
    </row>
    <row r="20" spans="1:211" ht="15" customHeight="1" x14ac:dyDescent="0.15">
      <c r="A20" s="3117" t="s">
        <v>1735</v>
      </c>
      <c r="B20" s="898" t="s">
        <v>11</v>
      </c>
      <c r="C20" s="899">
        <f>SUM(C5:C19)</f>
        <v>9</v>
      </c>
      <c r="D20" s="900">
        <f>SUM(D5:D19)</f>
        <v>0</v>
      </c>
      <c r="E20" s="198"/>
      <c r="F20" s="1523"/>
      <c r="G20" s="2965" t="s">
        <v>1582</v>
      </c>
      <c r="H20" s="2995">
        <f>I131</f>
        <v>5785.5477862682101</v>
      </c>
      <c r="I20" s="199"/>
      <c r="J20" s="200"/>
      <c r="K20" s="198"/>
      <c r="L20" s="198"/>
      <c r="M20" s="198"/>
      <c r="N20" s="198"/>
      <c r="O20" s="198"/>
      <c r="P20" s="198"/>
      <c r="Q20" s="198"/>
      <c r="R20" s="199"/>
      <c r="S20" s="1524"/>
      <c r="T20" s="2803" t="s">
        <v>117</v>
      </c>
      <c r="U20" s="2804" t="s">
        <v>117</v>
      </c>
      <c r="V20" s="761"/>
      <c r="W20" s="2680"/>
      <c r="X20" s="2735"/>
      <c r="Y20" s="1421"/>
      <c r="Z20" s="2743"/>
      <c r="AA20" s="2743"/>
      <c r="AB20" s="2744"/>
      <c r="AC20" s="2745"/>
      <c r="AD20" s="2746"/>
      <c r="AE20" s="2747"/>
      <c r="AF20" s="2746"/>
      <c r="AG20" s="2747"/>
      <c r="AH20" s="2746"/>
      <c r="AI20" s="2747"/>
      <c r="AJ20" s="2746"/>
      <c r="AK20" s="2747"/>
      <c r="AL20" s="2746"/>
      <c r="AM20" s="2747"/>
      <c r="AN20" s="2746"/>
      <c r="AO20" s="2747"/>
      <c r="AP20" s="2746"/>
      <c r="AQ20" s="2747"/>
      <c r="AR20" s="2746"/>
      <c r="AS20" s="2747"/>
      <c r="AT20" s="2746"/>
      <c r="AU20" s="2747"/>
      <c r="AV20" s="2746"/>
      <c r="AW20" s="2747"/>
      <c r="AX20" s="2746"/>
      <c r="AY20" s="2747"/>
      <c r="AZ20" s="2746"/>
      <c r="BA20" s="2747"/>
      <c r="BB20" s="2747"/>
      <c r="BC20" s="2747"/>
      <c r="BD20" s="2746"/>
      <c r="BE20" s="2747"/>
      <c r="BF20" s="2746"/>
      <c r="BG20" s="1099" t="s">
        <v>308</v>
      </c>
      <c r="BH20" s="1525"/>
      <c r="BI20" s="1525"/>
      <c r="BJ20" s="1525"/>
      <c r="BK20" s="1525"/>
      <c r="BL20" s="1525"/>
      <c r="BM20" s="1525"/>
      <c r="BN20" s="1525"/>
      <c r="BO20" s="1525"/>
      <c r="BP20" s="1526"/>
      <c r="BQ20" s="905"/>
      <c r="BR20" s="905"/>
      <c r="BS20" s="905"/>
      <c r="BT20" s="905"/>
      <c r="BU20" s="905"/>
      <c r="BV20" s="905"/>
      <c r="BW20" s="905"/>
      <c r="BX20" s="905"/>
      <c r="BY20" s="905"/>
      <c r="BZ20" s="905"/>
      <c r="CA20" s="905"/>
      <c r="CB20" s="905"/>
      <c r="CC20" s="905"/>
      <c r="CD20" s="905"/>
      <c r="CE20" s="905"/>
      <c r="CF20" s="905"/>
      <c r="CG20" s="905"/>
      <c r="CH20" s="906"/>
      <c r="CI20" s="1527"/>
      <c r="CJ20" s="1528"/>
      <c r="CK20" s="1525"/>
      <c r="CL20" s="1528"/>
      <c r="CM20" s="755"/>
      <c r="CN20" s="1528"/>
      <c r="CO20" s="202"/>
      <c r="CP20" s="202"/>
      <c r="CQ20" s="1528"/>
      <c r="CR20" s="1529"/>
      <c r="CS20" s="1530"/>
      <c r="CT20" s="1530"/>
      <c r="CU20" s="1530"/>
      <c r="CV20" s="1531"/>
      <c r="CW20" s="1903"/>
      <c r="CX20" s="1530"/>
      <c r="CY20" s="1898"/>
      <c r="CZ20" s="1531"/>
      <c r="DA20" s="1903"/>
      <c r="DB20" s="935"/>
      <c r="DC20" s="935"/>
      <c r="DD20" s="935"/>
      <c r="DE20" s="935"/>
      <c r="DF20" s="936"/>
      <c r="DG20" s="5"/>
      <c r="DH20" s="788"/>
      <c r="DI20" s="1532"/>
      <c r="DJ20" s="1426"/>
      <c r="DK20" s="1533"/>
      <c r="DL20" s="807"/>
      <c r="DM20" s="808"/>
      <c r="DN20" s="808"/>
      <c r="DO20" s="809"/>
      <c r="DP20" s="809"/>
      <c r="DQ20" s="810"/>
      <c r="DR20" s="807"/>
      <c r="DS20" s="808"/>
      <c r="DT20" s="808"/>
      <c r="DU20" s="809"/>
      <c r="DV20" s="809"/>
      <c r="DW20" s="810"/>
      <c r="DX20" s="807"/>
      <c r="DY20" s="808"/>
      <c r="DZ20" s="808"/>
      <c r="EA20" s="809"/>
      <c r="EB20" s="809"/>
      <c r="EC20" s="810"/>
      <c r="ED20" s="807"/>
      <c r="EE20" s="808"/>
      <c r="EF20" s="808"/>
      <c r="EG20" s="809"/>
      <c r="EH20" s="809"/>
      <c r="EI20" s="810"/>
      <c r="EJ20" s="807"/>
      <c r="EK20" s="1532"/>
      <c r="EL20" s="1532"/>
      <c r="EM20" s="1426"/>
      <c r="EN20" s="1426"/>
      <c r="EO20" s="1532"/>
      <c r="EP20" s="807"/>
      <c r="EQ20" s="1534"/>
      <c r="ER20" s="1532"/>
      <c r="ES20" s="1426"/>
      <c r="ET20" s="1426"/>
      <c r="EU20" s="1532"/>
      <c r="EV20" s="807"/>
      <c r="EW20" s="1534"/>
      <c r="EX20" s="1532"/>
      <c r="EY20" s="1426"/>
      <c r="EZ20" s="1426"/>
      <c r="FA20" s="1535"/>
      <c r="FB20" s="807"/>
      <c r="FC20" s="1534"/>
      <c r="FD20" s="1532"/>
      <c r="FE20" s="1426"/>
      <c r="FF20" s="1426"/>
      <c r="FG20" s="1535"/>
      <c r="FH20" s="807"/>
      <c r="FI20" s="1534"/>
      <c r="FJ20" s="1532"/>
      <c r="FK20" s="1426"/>
      <c r="FL20" s="1426"/>
      <c r="FM20" s="1535"/>
      <c r="FN20" s="807"/>
      <c r="FO20" s="1534"/>
      <c r="FP20" s="1532"/>
      <c r="FQ20" s="1426"/>
      <c r="FR20" s="1426"/>
      <c r="FS20" s="1535"/>
      <c r="FT20" s="807"/>
      <c r="FU20" s="1534"/>
      <c r="FV20" s="1532"/>
      <c r="FW20" s="1426"/>
      <c r="FX20" s="1426"/>
      <c r="FY20" s="1535"/>
      <c r="FZ20" s="807"/>
      <c r="GA20" s="1534"/>
      <c r="GB20" s="1532"/>
      <c r="GC20" s="1426"/>
      <c r="GD20" s="1426"/>
      <c r="GE20" s="1535"/>
      <c r="GF20" s="807"/>
      <c r="GG20" s="1534"/>
      <c r="GH20" s="1536"/>
      <c r="GI20" s="1426"/>
      <c r="GJ20" s="1426"/>
      <c r="GK20" s="1535"/>
      <c r="GL20" s="807"/>
      <c r="GM20" s="1534"/>
      <c r="GN20" s="1536"/>
      <c r="GO20" s="1426"/>
      <c r="GP20" s="1426"/>
      <c r="GQ20" s="1535"/>
      <c r="GR20" s="807"/>
      <c r="GS20" s="1534"/>
      <c r="GT20" s="1532"/>
      <c r="GU20" s="1426"/>
      <c r="GV20" s="1426"/>
      <c r="GW20" s="1535"/>
      <c r="GX20" s="1537"/>
      <c r="GY20" s="1538"/>
      <c r="GZ20" s="1539"/>
      <c r="HA20" s="2483" t="s">
        <v>410</v>
      </c>
      <c r="HB20" s="2864"/>
    </row>
    <row r="21" spans="1:211" s="1554" customFormat="1" x14ac:dyDescent="0.15">
      <c r="A21" s="1540"/>
      <c r="B21" s="1541" t="s">
        <v>227</v>
      </c>
      <c r="C21" s="1541"/>
      <c r="D21" s="1541"/>
      <c r="E21" s="1541"/>
      <c r="F21" s="1541"/>
      <c r="G21" s="1542">
        <v>1</v>
      </c>
      <c r="H21" s="1543"/>
      <c r="I21" s="1544"/>
      <c r="J21" s="1540"/>
      <c r="K21" s="1540" t="b">
        <f>K9=0</f>
        <v>1</v>
      </c>
      <c r="L21" s="1540"/>
      <c r="M21" s="1540"/>
      <c r="N21" s="1540"/>
      <c r="O21" s="1540"/>
      <c r="P21" s="1540"/>
      <c r="Q21" s="1540"/>
      <c r="R21" s="1540"/>
      <c r="S21" s="1545"/>
      <c r="T21" s="1540"/>
      <c r="U21" s="1540"/>
      <c r="V21" s="1540"/>
      <c r="W21" s="1540"/>
      <c r="X21" s="1540"/>
      <c r="Y21" s="1540"/>
      <c r="Z21" s="1540"/>
      <c r="AA21" s="1540"/>
      <c r="AB21" s="1540"/>
      <c r="AC21" s="1540"/>
      <c r="AD21" s="1540"/>
      <c r="AE21" s="1540"/>
      <c r="AF21" s="1540"/>
      <c r="AG21" s="1540"/>
      <c r="AH21" s="1540"/>
      <c r="AI21" s="1540"/>
      <c r="AJ21" s="1540"/>
      <c r="AK21" s="1540"/>
      <c r="AL21" s="1540"/>
      <c r="AM21" s="1540"/>
      <c r="AN21" s="1540"/>
      <c r="AO21" s="1540"/>
      <c r="AP21" s="1540"/>
      <c r="AQ21" s="1540"/>
      <c r="AR21" s="1540"/>
      <c r="AS21" s="1540"/>
      <c r="AT21" s="1540"/>
      <c r="AU21" s="1540"/>
      <c r="AV21" s="1540"/>
      <c r="AW21" s="1540"/>
      <c r="AX21" s="1540"/>
      <c r="AY21" s="1540"/>
      <c r="AZ21" s="1540"/>
      <c r="BA21" s="1540"/>
      <c r="BB21" s="1540"/>
      <c r="BC21" s="1540"/>
      <c r="BD21" s="1540"/>
      <c r="BE21" s="1540"/>
      <c r="BF21" s="1540"/>
      <c r="BG21" s="1540"/>
      <c r="BH21" s="1540"/>
      <c r="BI21" s="1540"/>
      <c r="BJ21" s="1540"/>
      <c r="BK21" s="1540"/>
      <c r="BL21" s="1540"/>
      <c r="BM21" s="1540"/>
      <c r="BN21" s="1540"/>
      <c r="BO21" s="1540"/>
      <c r="BP21" s="1540"/>
      <c r="BQ21" s="1540"/>
      <c r="BR21" s="1540"/>
      <c r="BS21" s="1540"/>
      <c r="BT21" s="1540"/>
      <c r="BU21" s="1540"/>
      <c r="BV21" s="1540"/>
      <c r="BW21" s="1540"/>
      <c r="BX21" s="1540"/>
      <c r="BY21" s="1540"/>
      <c r="BZ21" s="1540"/>
      <c r="CA21" s="1540"/>
      <c r="CB21" s="1540"/>
      <c r="CC21" s="1540"/>
      <c r="CD21" s="1540"/>
      <c r="CE21" s="1540"/>
      <c r="CF21" s="1540"/>
      <c r="CG21" s="951">
        <f ca="1">CI21+10</f>
        <v>14</v>
      </c>
      <c r="CH21" s="951">
        <f ca="1">COUNTBLANK($CH$5:$CH21)</f>
        <v>1</v>
      </c>
      <c r="CI21" s="951">
        <f ca="1">COUNTBLANK($CI$5:$CI21)</f>
        <v>4</v>
      </c>
      <c r="CJ21" s="951">
        <f ca="1">COUNTBLANK($CI$5:$CI21)</f>
        <v>4</v>
      </c>
      <c r="CK21" s="951">
        <f ca="1">COUNTBLANK($CI$5:$CI21)</f>
        <v>4</v>
      </c>
      <c r="CL21" s="1540"/>
      <c r="CM21" s="1540"/>
      <c r="CN21" s="1540"/>
      <c r="CO21" s="1540"/>
      <c r="CP21" s="1540"/>
      <c r="CQ21" s="1540"/>
      <c r="CR21" s="1540"/>
      <c r="CS21" s="1540"/>
      <c r="CT21" s="1540"/>
      <c r="CU21" s="1540"/>
      <c r="CV21" s="1540"/>
      <c r="CW21" s="1540"/>
      <c r="CX21" s="1540"/>
      <c r="CY21" s="1540"/>
      <c r="CZ21" s="1540"/>
      <c r="DA21" s="1546"/>
      <c r="DB21" s="1546"/>
      <c r="DC21" s="1546"/>
      <c r="DD21" s="1546"/>
      <c r="DE21" s="1546"/>
      <c r="DF21" s="1415"/>
      <c r="DG21" s="1415"/>
      <c r="DH21" s="1547"/>
      <c r="DI21" s="1548"/>
      <c r="DJ21" s="1548"/>
      <c r="DK21" s="1548"/>
      <c r="DL21" s="1548"/>
      <c r="DM21" s="1549"/>
      <c r="DN21" s="1550"/>
      <c r="DO21" s="1550"/>
      <c r="DP21" s="1550"/>
      <c r="DQ21" s="1550"/>
      <c r="DR21" s="1548"/>
      <c r="DS21" s="1548"/>
      <c r="DT21" s="1548"/>
      <c r="DU21" s="1551"/>
      <c r="DV21" s="1551"/>
      <c r="DW21" s="1552"/>
      <c r="DX21" s="1548"/>
      <c r="DY21" s="1548"/>
      <c r="DZ21" s="1551"/>
      <c r="EA21" s="1551"/>
      <c r="EB21" s="1552"/>
      <c r="EC21" s="1548"/>
      <c r="ED21" s="1548"/>
      <c r="EE21" s="1551"/>
      <c r="EF21" s="1551"/>
      <c r="EG21" s="1552"/>
      <c r="EH21" s="1548"/>
      <c r="EI21" s="1548"/>
      <c r="EJ21" s="1548"/>
      <c r="EK21" s="1551"/>
      <c r="EL21" s="1551"/>
      <c r="EM21" s="1552"/>
      <c r="EN21" s="1548"/>
      <c r="EO21" s="1548"/>
      <c r="EP21" s="1548"/>
      <c r="EQ21" s="1551"/>
      <c r="ER21" s="1551"/>
      <c r="ES21" s="1552"/>
      <c r="ET21" s="1548"/>
      <c r="EU21" s="1548"/>
      <c r="EV21" s="1548"/>
      <c r="EW21" s="1551"/>
      <c r="EX21" s="1551"/>
      <c r="EY21" s="1552"/>
      <c r="EZ21" s="1548"/>
      <c r="FA21" s="1548"/>
      <c r="FB21" s="1548"/>
      <c r="FC21" s="1551"/>
      <c r="FD21" s="1551"/>
      <c r="FE21" s="1552"/>
      <c r="FF21" s="1548"/>
      <c r="FG21" s="1548"/>
      <c r="FH21" s="1548"/>
      <c r="FI21" s="1551"/>
      <c r="FJ21" s="1551"/>
      <c r="FK21" s="1552"/>
      <c r="FL21" s="1548"/>
      <c r="FM21" s="1548"/>
      <c r="FN21" s="1548"/>
      <c r="FO21" s="1551"/>
      <c r="FP21" s="1551"/>
      <c r="FQ21" s="1552"/>
      <c r="FR21" s="1548"/>
      <c r="FS21" s="1548"/>
      <c r="FT21" s="1548"/>
      <c r="FU21" s="1551"/>
      <c r="FV21" s="1551"/>
      <c r="FW21" s="1552"/>
      <c r="FX21" s="1548"/>
      <c r="FY21" s="1548"/>
      <c r="FZ21" s="1548"/>
      <c r="GA21" s="1551"/>
      <c r="GB21" s="1551"/>
      <c r="GC21" s="1552"/>
      <c r="GD21" s="1548"/>
      <c r="GE21" s="1548"/>
      <c r="GF21" s="1548"/>
      <c r="GG21" s="1551"/>
      <c r="GH21" s="1551"/>
      <c r="GI21" s="1550"/>
      <c r="GJ21" s="1552"/>
      <c r="GK21" s="1548"/>
      <c r="GL21" s="1548"/>
      <c r="GM21" s="1551"/>
      <c r="GN21" s="1551"/>
      <c r="GO21" s="1550"/>
      <c r="GP21" s="1552"/>
      <c r="GQ21" s="1548"/>
      <c r="GR21" s="1548"/>
      <c r="GS21" s="1551"/>
      <c r="GT21" s="1552"/>
      <c r="GU21" s="1552"/>
      <c r="GV21" s="1550"/>
      <c r="GW21" s="1550"/>
      <c r="GX21" s="1548"/>
      <c r="GY21" s="1548"/>
      <c r="GZ21" s="1553"/>
      <c r="HA21" s="1834">
        <v>10000</v>
      </c>
      <c r="HB21" s="2870"/>
    </row>
    <row r="22" spans="1:211" ht="15" customHeight="1" x14ac:dyDescent="0.15">
      <c r="A22" s="2836" t="s">
        <v>303</v>
      </c>
      <c r="B22" s="895" t="s">
        <v>1419</v>
      </c>
      <c r="C22" s="2830" t="str">
        <f>VLOOKUP(B22,Hardware!$A$2:$I$632,9,FALSE)</f>
        <v>Intel</v>
      </c>
      <c r="D22" s="2831">
        <f>VLOOKUP(B22,Hardware!$A$2:$I$632,3,FALSE)</f>
        <v>4</v>
      </c>
      <c r="E22" s="2832"/>
      <c r="F22" s="2833">
        <f>VLOOKUP(B22,Hardware!$A$2:$I$632,6,FALSE)</f>
        <v>247</v>
      </c>
      <c r="G22" s="2834">
        <f>VLOOKUP(B22,Hardware!$A$2:$I$632,7,FALSE)</f>
        <v>61.75</v>
      </c>
      <c r="H22" s="2835"/>
      <c r="I22" s="2485" t="s">
        <v>965</v>
      </c>
      <c r="J22" s="2486"/>
      <c r="K22" s="1555"/>
      <c r="L22" s="1555"/>
      <c r="M22" s="1555"/>
      <c r="N22" s="2817"/>
      <c r="O22" s="2817"/>
      <c r="P22" s="937" t="s">
        <v>16</v>
      </c>
      <c r="Q22" s="937" t="s">
        <v>728</v>
      </c>
      <c r="R22" s="1555"/>
      <c r="S22" s="1129"/>
      <c r="T22" s="1556"/>
      <c r="U22" s="1555"/>
      <c r="V22" s="1558"/>
      <c r="W22" s="1555"/>
      <c r="X22" s="1557"/>
      <c r="Y22" s="1557"/>
      <c r="Z22" s="1557"/>
      <c r="AA22" s="1556"/>
      <c r="AB22" s="1557"/>
      <c r="AC22" s="1557"/>
      <c r="AD22" s="1556"/>
      <c r="AE22" s="1556"/>
      <c r="AF22" s="2977" t="s">
        <v>1563</v>
      </c>
      <c r="AG22" s="1557"/>
      <c r="AH22" s="1557"/>
      <c r="AI22" s="1557"/>
      <c r="AJ22" s="1557"/>
      <c r="AK22" s="1557"/>
      <c r="AL22" s="1557"/>
      <c r="AM22" s="1557"/>
      <c r="AN22" s="1557"/>
      <c r="AO22" s="1557"/>
      <c r="AP22" s="1557"/>
      <c r="AQ22" s="1557"/>
      <c r="AR22" s="1557"/>
      <c r="AS22" s="1557"/>
      <c r="AT22" s="1557"/>
      <c r="AU22" s="1557"/>
      <c r="AV22" s="1557"/>
      <c r="AW22" s="1557"/>
      <c r="AX22" s="1557"/>
      <c r="AY22" s="1557"/>
      <c r="AZ22" s="1557"/>
      <c r="BA22" s="1557"/>
      <c r="BB22" s="3196" t="s">
        <v>1450</v>
      </c>
      <c r="BC22" s="3195">
        <f>VLOOKUP(BC23,WFbaseline,6,FALSE)</f>
        <v>1.4875675675675677E-2</v>
      </c>
      <c r="BD22" s="1557"/>
      <c r="BE22" s="1557"/>
      <c r="BF22" s="1559"/>
      <c r="BG22" s="1555"/>
      <c r="BH22" s="1555"/>
      <c r="BI22" s="1555"/>
      <c r="BJ22" s="1555"/>
      <c r="BK22" s="1555"/>
      <c r="BL22" s="1555"/>
      <c r="BM22" s="1555"/>
      <c r="BN22" s="1555"/>
      <c r="BO22" s="1555"/>
      <c r="BP22" s="1556"/>
      <c r="BQ22" s="1557"/>
      <c r="BR22" s="1557"/>
      <c r="BS22" s="1557"/>
      <c r="BT22" s="1557"/>
      <c r="BU22" s="1557"/>
      <c r="BV22" s="1557"/>
      <c r="BW22" s="1557"/>
      <c r="BX22" s="1557"/>
      <c r="BY22" s="1557"/>
      <c r="BZ22" s="1557"/>
      <c r="CA22" s="1557"/>
      <c r="CB22" s="1557"/>
      <c r="CC22" s="1557"/>
      <c r="CD22" s="1557"/>
      <c r="CE22" s="1557"/>
      <c r="CF22" s="1706"/>
      <c r="CG22" s="1555"/>
      <c r="CH22" s="1555"/>
      <c r="CI22" s="1557">
        <f>SUM(AA5:AA19)</f>
        <v>0.58860066740823147</v>
      </c>
      <c r="CJ22" s="1557">
        <f>SUM(Z5:Z19)</f>
        <v>2.4174209116940488E-3</v>
      </c>
      <c r="CK22" s="1557">
        <f>SUM(Y5:Y19)</f>
        <v>0.25656952169076758</v>
      </c>
      <c r="CL22" s="1557"/>
      <c r="CM22" s="1557"/>
      <c r="CN22" s="1559"/>
      <c r="CO22" s="1559"/>
      <c r="CP22" s="1557"/>
      <c r="CQ22" s="1557"/>
      <c r="CR22" s="1557"/>
      <c r="CS22" s="1557"/>
      <c r="CT22" s="1557"/>
      <c r="CU22" s="1557"/>
      <c r="CV22" s="1557"/>
      <c r="CW22" s="1560"/>
      <c r="CX22" s="1560"/>
      <c r="CY22" s="1560"/>
      <c r="CZ22" s="935"/>
      <c r="DA22" s="935"/>
      <c r="DB22" s="935"/>
      <c r="DC22" s="935"/>
      <c r="DD22" s="935"/>
      <c r="DE22" s="935"/>
      <c r="DF22" s="5"/>
      <c r="DG22" s="5"/>
      <c r="DH22" s="1561">
        <f>SUM(DH5:DH19)</f>
        <v>9</v>
      </c>
      <c r="DI22" s="1562">
        <f>SUM(DI5:DI19)</f>
        <v>78</v>
      </c>
      <c r="DJ22" s="1563">
        <f>SUM(DJ5:DJ19)</f>
        <v>15.666666666666664</v>
      </c>
      <c r="DK22" s="1564">
        <f>SUM(DK5:DK19)</f>
        <v>6.872514445479962</v>
      </c>
      <c r="DL22" s="1565"/>
      <c r="DM22" s="1562">
        <f>SUM(DM5:DM19)</f>
        <v>0</v>
      </c>
      <c r="DN22" s="1562">
        <f>SUM(DN5:DN19)</f>
        <v>0</v>
      </c>
      <c r="DO22" s="1563">
        <f>SUM(DO5:DO19)</f>
        <v>0</v>
      </c>
      <c r="DP22" s="1566">
        <f>SUM(DP5:DP19)</f>
        <v>0</v>
      </c>
      <c r="DQ22" s="1567">
        <f>SUM(DQ5:DQ19)</f>
        <v>0</v>
      </c>
      <c r="DR22" s="1565"/>
      <c r="DS22" s="1562">
        <f>SUM(DS5:DS19)</f>
        <v>0</v>
      </c>
      <c r="DT22" s="1562">
        <f>SUM(DT5:DT19)</f>
        <v>0</v>
      </c>
      <c r="DU22" s="1562">
        <f>SUM(DU5:DU19)</f>
        <v>0</v>
      </c>
      <c r="DV22" s="1566">
        <f>SUM(DV5:DV19)</f>
        <v>0</v>
      </c>
      <c r="DW22" s="1567">
        <f>SUM(DW5:DW19)</f>
        <v>0</v>
      </c>
      <c r="DX22" s="1565"/>
      <c r="DY22" s="1562">
        <f>SUM(DY5:DY19)</f>
        <v>0</v>
      </c>
      <c r="DZ22" s="1562">
        <f>SUM(DZ5:DZ19)</f>
        <v>0</v>
      </c>
      <c r="EA22" s="1562">
        <f>SUM(EA5:EA19)</f>
        <v>0</v>
      </c>
      <c r="EB22" s="1566">
        <f>SUM(EB5:EB19)</f>
        <v>0</v>
      </c>
      <c r="EC22" s="1567">
        <f>SUM(EC5:EC19)</f>
        <v>0</v>
      </c>
      <c r="ED22" s="1565"/>
      <c r="EE22" s="1562">
        <f>SUM(EE5:EE19)</f>
        <v>0</v>
      </c>
      <c r="EF22" s="1562">
        <f>SUM(EF5:EF19)</f>
        <v>0</v>
      </c>
      <c r="EG22" s="1562">
        <f>SUM(EG5:EG19)</f>
        <v>0</v>
      </c>
      <c r="EH22" s="1566">
        <f>SUM(EH5:EH19)</f>
        <v>0</v>
      </c>
      <c r="EI22" s="1567">
        <f>SUM(EI5:EI19)</f>
        <v>0</v>
      </c>
      <c r="EJ22" s="1565"/>
      <c r="EK22" s="1562">
        <f>SUM(EK5:EK19)</f>
        <v>0</v>
      </c>
      <c r="EL22" s="1562">
        <f>SUM(EL5:EL19)</f>
        <v>0</v>
      </c>
      <c r="EM22" s="1562">
        <f>SUM(EM5:EM19)</f>
        <v>0</v>
      </c>
      <c r="EN22" s="1566">
        <f>SUM(EN5:EN19)</f>
        <v>0</v>
      </c>
      <c r="EO22" s="1562">
        <f>SUM(EO5:EO19)</f>
        <v>0</v>
      </c>
      <c r="EP22" s="1565"/>
      <c r="EQ22" s="1568">
        <f>SUM(EQ5:EQ19)</f>
        <v>0</v>
      </c>
      <c r="ER22" s="1562">
        <f>SUM(ER5:ER19)</f>
        <v>0</v>
      </c>
      <c r="ES22" s="1562">
        <f>SUM(ES5:ES19)</f>
        <v>0</v>
      </c>
      <c r="ET22" s="1566">
        <f>SUM(ET5:ET19)</f>
        <v>0</v>
      </c>
      <c r="EU22" s="1562">
        <f>SUM(EU5:EU19)</f>
        <v>0</v>
      </c>
      <c r="EV22" s="1565"/>
      <c r="EW22" s="1568">
        <f>SUM(EW5:EW19)</f>
        <v>0</v>
      </c>
      <c r="EX22" s="1562">
        <f>SUM(EX5:EX19)</f>
        <v>0</v>
      </c>
      <c r="EY22" s="1562">
        <f>SUM(EY5:EY19)</f>
        <v>0</v>
      </c>
      <c r="EZ22" s="1566">
        <f>SUM(EZ5:EZ19)</f>
        <v>0</v>
      </c>
      <c r="FA22" s="1569">
        <f>SUM(FA5:FA19)</f>
        <v>0</v>
      </c>
      <c r="FB22" s="1565"/>
      <c r="FC22" s="1568">
        <f>SUM(FC5:FC19)</f>
        <v>0</v>
      </c>
      <c r="FD22" s="1562">
        <f>SUM(FD5:FD19)</f>
        <v>0</v>
      </c>
      <c r="FE22" s="1562">
        <f>SUM(FE5:FE19)</f>
        <v>0</v>
      </c>
      <c r="FF22" s="1566">
        <f>SUM(FF5:FF19)</f>
        <v>0</v>
      </c>
      <c r="FG22" s="1569">
        <f>SUM(FG5:FG19)</f>
        <v>0</v>
      </c>
      <c r="FH22" s="1565"/>
      <c r="FI22" s="1568">
        <f>SUM(FI5:FI19)</f>
        <v>0</v>
      </c>
      <c r="FJ22" s="1562">
        <f>SUM(FJ5:FJ19)</f>
        <v>0</v>
      </c>
      <c r="FK22" s="1562">
        <f>SUM(FK5:FK19)</f>
        <v>0</v>
      </c>
      <c r="FL22" s="1566">
        <f>SUM(FL5:FL19)</f>
        <v>0</v>
      </c>
      <c r="FM22" s="1569">
        <f>SUM(FM5:FM19)</f>
        <v>0</v>
      </c>
      <c r="FN22" s="1565"/>
      <c r="FO22" s="1568">
        <f>SUM(FO5:FO19)</f>
        <v>0</v>
      </c>
      <c r="FP22" s="1562">
        <f>SUM(FP5:FP19)</f>
        <v>0</v>
      </c>
      <c r="FQ22" s="1562">
        <f>SUM(FQ5:FQ19)</f>
        <v>0</v>
      </c>
      <c r="FR22" s="1566">
        <f>SUM(FR5:FR19)</f>
        <v>0</v>
      </c>
      <c r="FS22" s="1569">
        <f>SUM(FS5:FS19)</f>
        <v>0</v>
      </c>
      <c r="FT22" s="1565"/>
      <c r="FU22" s="1568">
        <f>SUM(FU5:FU19)</f>
        <v>4</v>
      </c>
      <c r="FV22" s="1562">
        <f>SUM(FV5:FV19)</f>
        <v>40</v>
      </c>
      <c r="FW22" s="1562">
        <f>SUM(FW5:FW19)</f>
        <v>4.2333333333333334</v>
      </c>
      <c r="FX22" s="1566">
        <f>SUM(FX5:FX19)</f>
        <v>6.666666666666667</v>
      </c>
      <c r="FY22" s="1569">
        <f>SUM(FY5:FY19)</f>
        <v>10.811407269338304</v>
      </c>
      <c r="FZ22" s="1565"/>
      <c r="GA22" s="1568">
        <f>SUM(GA5:GA19)</f>
        <v>0</v>
      </c>
      <c r="GB22" s="1562">
        <f>SUM(GB5:GB19)</f>
        <v>0</v>
      </c>
      <c r="GC22" s="1562">
        <f>SUM(GC5:GC19)</f>
        <v>0</v>
      </c>
      <c r="GD22" s="1566">
        <f>SUM(GD5:GD19)</f>
        <v>0</v>
      </c>
      <c r="GE22" s="1569">
        <f>SUM(GE5:GE19)</f>
        <v>0</v>
      </c>
      <c r="GF22" s="1565"/>
      <c r="GG22" s="1568">
        <f>SUM(GG5:GG19)</f>
        <v>3</v>
      </c>
      <c r="GH22" s="1566">
        <f>SUM(GH5:GH19)</f>
        <v>18</v>
      </c>
      <c r="GI22" s="1562">
        <f>SUM(GI5:GI19)</f>
        <v>0.60000000000000009</v>
      </c>
      <c r="GJ22" s="1566">
        <f>SUM(GJ5:GJ19)</f>
        <v>3</v>
      </c>
      <c r="GK22" s="1569">
        <f>SUM(GK5:GK19)</f>
        <v>0.14794557315936627</v>
      </c>
      <c r="GL22" s="1565"/>
      <c r="GM22" s="1568">
        <f>SUM(GM5:GM19)</f>
        <v>3</v>
      </c>
      <c r="GN22" s="1566">
        <f>SUM(GN5:GN19)</f>
        <v>18</v>
      </c>
      <c r="GO22" s="1562">
        <f>SUM(GO5:GO19)</f>
        <v>0.60000000000000009</v>
      </c>
      <c r="GP22" s="1566">
        <f>SUM(GP5:GP19)</f>
        <v>3</v>
      </c>
      <c r="GQ22" s="1569">
        <f>SUM(GQ5:GQ19)</f>
        <v>3.3287753960857418</v>
      </c>
      <c r="GR22" s="1565"/>
      <c r="GS22" s="1568">
        <f>SUM(GS5:GS19)</f>
        <v>9</v>
      </c>
      <c r="GT22" s="1562">
        <f>SUM(GT5:GT19)</f>
        <v>78</v>
      </c>
      <c r="GU22" s="1566">
        <f>SUM(GU5:GU19)</f>
        <v>13</v>
      </c>
      <c r="GV22" s="1566"/>
      <c r="GW22" s="1569">
        <f>SUM(GW5:GW19)</f>
        <v>2.1717651444547998</v>
      </c>
      <c r="GX22" s="1570">
        <f>SUM(GX5:GX19)</f>
        <v>0</v>
      </c>
      <c r="GY22" s="1571"/>
      <c r="GZ22" s="1572"/>
      <c r="HA22" s="1835">
        <v>1000</v>
      </c>
      <c r="HB22" s="2864"/>
    </row>
    <row r="23" spans="1:211" ht="15" customHeight="1" x14ac:dyDescent="0.15">
      <c r="A23" s="1862" t="str">
        <f>BP23&amp;" Tier"</f>
        <v>4 Tier</v>
      </c>
      <c r="B23" s="1863" t="str">
        <f>A20&amp;" Selected Platforms"</f>
        <v>Project Selected Platforms</v>
      </c>
      <c r="C23" s="1927"/>
      <c r="D23" s="1573" t="s">
        <v>407</v>
      </c>
      <c r="E23" s="1574">
        <f>O25+O29+O33+O37+O41+O46+O71+O75+O79+O83</f>
        <v>4</v>
      </c>
      <c r="F23" s="3409" t="s">
        <v>406</v>
      </c>
      <c r="G23" s="3409"/>
      <c r="H23" s="910" t="s">
        <v>364</v>
      </c>
      <c r="I23" s="911" t="s">
        <v>216</v>
      </c>
      <c r="J23" s="912" t="s">
        <v>109</v>
      </c>
      <c r="K23" s="2484"/>
      <c r="L23" s="1575"/>
      <c r="M23" s="3410" t="s">
        <v>454</v>
      </c>
      <c r="N23" s="3410"/>
      <c r="O23" s="3410"/>
      <c r="P23" s="1682" t="s">
        <v>237</v>
      </c>
      <c r="Q23" s="1737">
        <f>IF($A25&lt;0.9999, $A25/((1+$CJ$2*$A25*($L25-1))*(1-$A25)),200)</f>
        <v>0</v>
      </c>
      <c r="R23" s="913" t="s">
        <v>217</v>
      </c>
      <c r="S23" s="914" t="s">
        <v>91</v>
      </c>
      <c r="T23" s="915" t="s">
        <v>307</v>
      </c>
      <c r="U23" s="1184" t="s">
        <v>317</v>
      </c>
      <c r="V23" s="1864" t="str">
        <f>A23&amp;" Platform Solution"</f>
        <v>4 Tier Platform Solution</v>
      </c>
      <c r="W23" s="1183"/>
      <c r="X23" s="1183"/>
      <c r="Y23" s="2976"/>
      <c r="Z23" s="1188"/>
      <c r="AA23" s="3407">
        <f>Q26+Q30+Q34+Q38+Q42+Q47+Q72+Q76+Q80+Q84</f>
        <v>3</v>
      </c>
      <c r="AB23" s="3407"/>
      <c r="AC23" s="3408">
        <f>R25+R29+R33+R37+R41+R46+R71+R75+R79+R83</f>
        <v>3</v>
      </c>
      <c r="AD23" s="3408"/>
      <c r="AE23" s="2854">
        <f>AE25+AE29+AE33+AE37+AE41+AE46+AE71+AE75+AE79+AE83</f>
        <v>12</v>
      </c>
      <c r="AF23" s="2998">
        <v>24</v>
      </c>
      <c r="AG23" s="931"/>
      <c r="AH23" s="931"/>
      <c r="AI23" s="931"/>
      <c r="AJ23" s="931"/>
      <c r="AK23" s="931"/>
      <c r="AL23" s="931"/>
      <c r="AM23" s="931"/>
      <c r="AN23" s="931"/>
      <c r="AO23" s="931"/>
      <c r="AP23" s="931"/>
      <c r="AQ23" s="931"/>
      <c r="AR23" s="931"/>
      <c r="AS23" s="931"/>
      <c r="AT23" s="931"/>
      <c r="AU23" s="931"/>
      <c r="AV23" s="931"/>
      <c r="AW23" s="931"/>
      <c r="AX23" s="938"/>
      <c r="AY23" s="938"/>
      <c r="AZ23" s="939"/>
      <c r="BA23" s="934"/>
      <c r="BB23" s="2681"/>
      <c r="BC23" s="3194" t="s">
        <v>1272</v>
      </c>
      <c r="BD23" s="939"/>
      <c r="BE23" s="932"/>
      <c r="BF23" s="934"/>
      <c r="BG23" s="940"/>
      <c r="BH23" s="940"/>
      <c r="BI23" s="940"/>
      <c r="BJ23" s="940"/>
      <c r="BK23" s="940"/>
      <c r="BL23" s="940"/>
      <c r="BM23" s="940"/>
      <c r="BN23" s="940"/>
      <c r="BO23" s="940"/>
      <c r="BP23" s="1576">
        <f>SUM(BP24:BP84)</f>
        <v>4</v>
      </c>
      <c r="BQ23" s="1577" t="s">
        <v>344</v>
      </c>
      <c r="BR23" s="1577"/>
      <c r="BS23" s="1577"/>
      <c r="BT23" s="1577"/>
      <c r="BU23" s="1577"/>
      <c r="BV23" s="1577"/>
      <c r="BW23" s="1577"/>
      <c r="BX23" s="1577"/>
      <c r="BY23" s="1577"/>
      <c r="BZ23" s="1577"/>
      <c r="CA23" s="1577"/>
      <c r="CB23" s="1577"/>
      <c r="CC23" s="1577"/>
      <c r="CD23" s="1577"/>
      <c r="CE23" s="1578"/>
      <c r="CF23" s="1578"/>
      <c r="CG23" s="1685" t="str">
        <f>A23</f>
        <v>4 Tier</v>
      </c>
      <c r="CH23" s="1744" t="s">
        <v>730</v>
      </c>
      <c r="CI23" s="1687"/>
      <c r="CJ23" s="1688"/>
      <c r="CK23" s="931"/>
      <c r="CL23" s="932"/>
      <c r="CM23" s="933"/>
      <c r="CN23" s="934"/>
      <c r="CO23" s="931"/>
      <c r="CP23" s="932"/>
      <c r="CQ23" s="933"/>
      <c r="CR23" s="934"/>
      <c r="CS23" s="931"/>
      <c r="CT23" s="932"/>
      <c r="CU23" s="933"/>
      <c r="CV23" s="931"/>
      <c r="CW23" s="931"/>
      <c r="CX23" s="931"/>
      <c r="CY23" s="931"/>
      <c r="CZ23" s="932"/>
      <c r="DA23" s="933"/>
      <c r="DB23" s="934"/>
      <c r="DC23" s="931"/>
      <c r="DD23" s="932"/>
      <c r="DE23" s="933"/>
      <c r="DF23" s="5"/>
      <c r="DG23" s="5"/>
      <c r="DH23" s="1579"/>
      <c r="DI23" s="1580"/>
      <c r="DJ23" s="1581"/>
      <c r="DK23" s="1581"/>
      <c r="DL23" s="1581"/>
      <c r="DM23" s="1582"/>
      <c r="DN23" s="1582"/>
      <c r="DO23" s="1583"/>
      <c r="DP23" s="1581"/>
      <c r="DQ23" s="1583"/>
      <c r="DR23" s="1581"/>
      <c r="DS23" s="1583"/>
      <c r="DT23" s="1583"/>
      <c r="DU23" s="1583"/>
      <c r="DV23" s="1583"/>
      <c r="DW23" s="1583"/>
      <c r="DX23" s="1581"/>
      <c r="DY23" s="1583"/>
      <c r="DZ23" s="1583"/>
      <c r="EA23" s="1583"/>
      <c r="EB23" s="1583"/>
      <c r="EC23" s="1583"/>
      <c r="ED23" s="1581"/>
      <c r="EE23" s="1583"/>
      <c r="EF23" s="1583"/>
      <c r="EG23" s="1583"/>
      <c r="EH23" s="1583"/>
      <c r="EI23" s="1583"/>
      <c r="EJ23" s="1581"/>
      <c r="EK23" s="1583"/>
      <c r="EL23" s="1583"/>
      <c r="EM23" s="1583"/>
      <c r="EN23" s="1583"/>
      <c r="EO23" s="1583"/>
      <c r="EP23" s="1581"/>
      <c r="EQ23" s="1583"/>
      <c r="ER23" s="1583"/>
      <c r="ES23" s="1583"/>
      <c r="ET23" s="1583"/>
      <c r="EU23" s="1583"/>
      <c r="EV23" s="1581"/>
      <c r="EW23" s="1583"/>
      <c r="EX23" s="1583"/>
      <c r="EY23" s="1583"/>
      <c r="EZ23" s="1583"/>
      <c r="FA23" s="1583"/>
      <c r="FB23" s="1581"/>
      <c r="FC23" s="1583"/>
      <c r="FD23" s="1583"/>
      <c r="FE23" s="1583"/>
      <c r="FF23" s="1583"/>
      <c r="FG23" s="1583"/>
      <c r="FH23" s="1581"/>
      <c r="FI23" s="1583"/>
      <c r="FJ23" s="1583"/>
      <c r="FK23" s="1583"/>
      <c r="FL23" s="1583"/>
      <c r="FM23" s="1583"/>
      <c r="FN23" s="1581"/>
      <c r="FO23" s="1583"/>
      <c r="FP23" s="1583"/>
      <c r="FQ23" s="1583"/>
      <c r="FR23" s="1583"/>
      <c r="FS23" s="1583"/>
      <c r="FT23" s="1581"/>
      <c r="FU23" s="1583"/>
      <c r="FV23" s="1583"/>
      <c r="FW23" s="1583"/>
      <c r="FX23" s="1583"/>
      <c r="FY23" s="1583"/>
      <c r="FZ23" s="1581"/>
      <c r="GA23" s="1583"/>
      <c r="GB23" s="1583"/>
      <c r="GC23" s="1583"/>
      <c r="GD23" s="1583"/>
      <c r="GE23" s="1583"/>
      <c r="GF23" s="1581"/>
      <c r="GG23" s="1583"/>
      <c r="GH23" s="1583"/>
      <c r="GI23" s="1583"/>
      <c r="GJ23" s="1583"/>
      <c r="GK23" s="1583"/>
      <c r="GL23" s="1581"/>
      <c r="GM23" s="1583"/>
      <c r="GN23" s="1583"/>
      <c r="GO23" s="1583"/>
      <c r="GP23" s="1583"/>
      <c r="GQ23" s="1583"/>
      <c r="GR23" s="1581"/>
      <c r="GS23" s="1583"/>
      <c r="GT23" s="1583"/>
      <c r="GU23" s="1583"/>
      <c r="GV23" s="1583"/>
      <c r="GW23" s="1583"/>
      <c r="GX23" s="1583"/>
      <c r="GY23" s="1583"/>
      <c r="GZ23" s="1584"/>
      <c r="HA23" s="1835">
        <v>100</v>
      </c>
      <c r="HB23" s="2864"/>
    </row>
    <row r="24" spans="1:211" ht="15" hidden="1" customHeight="1" outlineLevel="2" thickBot="1" x14ac:dyDescent="0.25">
      <c r="A24" s="2823">
        <f>IF(O26&gt;0,A26/O26,0)</f>
        <v>0</v>
      </c>
      <c r="B24" s="552" t="s">
        <v>1471</v>
      </c>
      <c r="C24" s="136" t="str">
        <f>VLOOKUP(B25,HWRange,9,FALSE)</f>
        <v>Intel</v>
      </c>
      <c r="D24" s="137" t="str">
        <f>LEFT(BH2,5)&amp;"="</f>
        <v>Arc18=</v>
      </c>
      <c r="E24" s="138">
        <f>IF(DM$22=0,0,DQ$22/DN$22)</f>
        <v>0</v>
      </c>
      <c r="F24" s="139" t="s">
        <v>328</v>
      </c>
      <c r="G24" s="1585"/>
      <c r="H24" s="1586">
        <v>0.8</v>
      </c>
      <c r="I24" s="1739" t="s">
        <v>1490</v>
      </c>
      <c r="J24" s="207">
        <f>IF(K24&gt;0,K24,IF(I26=Calculator!$H$158,1, IF(OR(R24=Calculator!$H$162,R24=Calculator!$H$163), VLOOKUP(I26,VAdjust,2,FALSE),1)))</f>
        <v>1</v>
      </c>
      <c r="K24" s="2456">
        <f>S22</f>
        <v>0</v>
      </c>
      <c r="L24" s="722">
        <f>VLOOKUP(B25,HWRange,5,FALSE)</f>
        <v>3500</v>
      </c>
      <c r="M24" s="464" t="str">
        <f>IF(ISERROR(VLOOKUP($K25,$L$5:$L$19,1,FALSE)),"","/"&amp;$L$4)</f>
        <v/>
      </c>
      <c r="N24" s="257" t="str">
        <f>IF(ISERROR(VLOOKUP($K25,$M$5:$M$19,1,FALSE)),IF(ISERROR(VLOOKUP($K25,$M$5:$M$19,1,FALSE)),"","/"&amp;$M$4),"/"&amp;$M$4)</f>
        <v/>
      </c>
      <c r="O24" s="465" t="str">
        <f>IF(ISERROR(VLOOKUP($K25,$N$5:$N$19,1,FALSE)),IF(ISERROR(VLOOKUP($K25,$N$5:$N$19,1,FALSE)),"","/"&amp;$N$4),"/"&amp;$N$4)</f>
        <v/>
      </c>
      <c r="P24" s="1587">
        <f>IF(A25=0,0,IF(P26&gt;0,1000*C25/C26,1000*C25/C26))/2</f>
        <v>0</v>
      </c>
      <c r="Q24" s="1734">
        <f>IF(I26=$J$167,0,VLOOKUP(I24,HostArray,2,FALSE))</f>
        <v>0</v>
      </c>
      <c r="R24" s="1588" t="s">
        <v>412</v>
      </c>
      <c r="S24" s="3071" t="str">
        <f>IF(S25=LEFT(B25,3),_xlfn.NUMBERVALUE(MID(B25,FIND("(",B25,1)+1,FIND(")",B25,1)-FIND("(",B25,1)-3)),"")</f>
        <v/>
      </c>
      <c r="T24" s="135">
        <v>10000</v>
      </c>
      <c r="U24" s="1616">
        <f>IF(E24&gt;0,IF(AND(M26="",N26=""),DO$22/F26,DP$22/F26),0)</f>
        <v>0</v>
      </c>
      <c r="V24" s="1822">
        <f t="shared" ref="V24:AD24" si="5">IF(V26&gt;0,IF($A25&gt;0.5,$A25,""),0)</f>
        <v>0</v>
      </c>
      <c r="W24" s="1823">
        <f>IF(AND($W25=W$167,$H27=I$191),W$168,IF(W26&gt;0,IF($A25&gt;0.5,$A25,""),0))</f>
        <v>0</v>
      </c>
      <c r="X24" s="1823">
        <f t="shared" si="5"/>
        <v>0</v>
      </c>
      <c r="Y24" s="1823">
        <f t="shared" si="5"/>
        <v>0</v>
      </c>
      <c r="Z24" s="1823">
        <f t="shared" si="5"/>
        <v>0</v>
      </c>
      <c r="AA24" s="1823">
        <f t="shared" si="5"/>
        <v>0</v>
      </c>
      <c r="AB24" s="1823">
        <f t="shared" si="5"/>
        <v>0</v>
      </c>
      <c r="AC24" s="1823">
        <f t="shared" si="5"/>
        <v>0</v>
      </c>
      <c r="AD24" s="1824">
        <f t="shared" si="5"/>
        <v>0</v>
      </c>
      <c r="AE24" s="2851">
        <f>L27</f>
        <v>0</v>
      </c>
      <c r="AF24" s="2977" t="str">
        <f>IF(I26=$H$191,$AF$22,"")</f>
        <v/>
      </c>
      <c r="AG24" s="5"/>
      <c r="AH24" s="1590"/>
      <c r="AI24" s="1590"/>
      <c r="AJ24" s="5"/>
      <c r="AK24" s="1590"/>
      <c r="AL24" s="5"/>
      <c r="AM24" s="1590"/>
      <c r="AN24" s="5"/>
      <c r="AO24" s="1590"/>
      <c r="AP24" s="5"/>
      <c r="AQ24" s="1590"/>
      <c r="AR24" s="5"/>
      <c r="AS24" s="1590"/>
      <c r="AT24" s="5"/>
      <c r="AU24" s="5"/>
      <c r="AV24" s="5"/>
      <c r="AW24" s="1591"/>
      <c r="AX24" s="2"/>
      <c r="AY24" s="2"/>
      <c r="BC24" s="1"/>
      <c r="BF24" s="1592"/>
      <c r="BG24" s="1593"/>
      <c r="BH24" s="1593"/>
      <c r="BI24" s="1593"/>
      <c r="BJ24" s="1593"/>
      <c r="BK24" s="1593"/>
      <c r="BL24" s="1593"/>
      <c r="BM24" s="1593"/>
      <c r="BN24" s="1593"/>
      <c r="BO24" s="1593"/>
      <c r="BP24" s="1589"/>
      <c r="BQ24" s="884"/>
      <c r="BR24" s="884"/>
      <c r="BS24" s="884"/>
      <c r="BT24" s="884"/>
      <c r="BU24" s="884"/>
      <c r="BV24" s="884"/>
      <c r="BW24" s="884"/>
      <c r="BX24" s="884"/>
      <c r="BY24" s="884"/>
      <c r="BZ24" s="884"/>
      <c r="CA24" s="884"/>
      <c r="CB24" s="884"/>
      <c r="CC24" s="884"/>
      <c r="CD24" s="884"/>
      <c r="CE24" s="884"/>
      <c r="CF24" s="884"/>
      <c r="CG24" s="1689">
        <f>A24</f>
        <v>0</v>
      </c>
      <c r="CH24" s="1690" t="str">
        <f>B24</f>
        <v>Tier01: Platform Tier 01</v>
      </c>
      <c r="CI24" s="1179" t="str">
        <f>F24</f>
        <v>SRint2006</v>
      </c>
      <c r="CJ24" s="2718"/>
      <c r="CK24" s="2722">
        <f>T24</f>
        <v>10000</v>
      </c>
      <c r="CL24" s="1592"/>
      <c r="CM24" s="1594"/>
      <c r="CN24" s="1592"/>
      <c r="CQ24" s="1592"/>
      <c r="CR24" s="1594"/>
      <c r="CU24" s="1592"/>
      <c r="DA24" s="1592"/>
      <c r="DB24" s="1594"/>
      <c r="DE24" s="1592"/>
      <c r="DF24" s="5"/>
      <c r="DI24" s="1592"/>
      <c r="DJ24" s="1"/>
      <c r="DK24" s="1"/>
      <c r="DL24" s="1590"/>
      <c r="DM24" s="1"/>
      <c r="DN24" s="1594"/>
      <c r="DO24" s="1595"/>
      <c r="DP24" s="394"/>
      <c r="DQ24" s="1"/>
      <c r="DR24" s="1593"/>
      <c r="DS24" s="1593"/>
      <c r="DT24" s="1415"/>
      <c r="DW24" s="1"/>
      <c r="DX24" s="1593"/>
      <c r="DY24" s="1415"/>
      <c r="EC24" s="1"/>
      <c r="ED24" s="1415"/>
      <c r="EH24" s="1593"/>
      <c r="EI24" s="1"/>
      <c r="EJ24" s="1415"/>
      <c r="EN24" s="1593"/>
      <c r="EO24" s="1"/>
      <c r="EP24" s="1415"/>
      <c r="ET24" s="1593"/>
      <c r="EU24" s="1"/>
      <c r="EV24" s="1415"/>
      <c r="EZ24" s="1593"/>
      <c r="FA24" s="1"/>
      <c r="FB24" s="1415"/>
      <c r="FF24" s="1593"/>
      <c r="FG24" s="1"/>
      <c r="FH24" s="1415"/>
      <c r="FL24" s="1593"/>
      <c r="FM24" s="1"/>
      <c r="FN24" s="1415"/>
      <c r="FR24" s="1593"/>
      <c r="FS24" s="1"/>
      <c r="FT24" s="1415"/>
      <c r="FX24" s="1593"/>
      <c r="FY24" s="1"/>
      <c r="FZ24" s="1415"/>
      <c r="GD24" s="1593"/>
      <c r="GE24" s="1"/>
      <c r="GG24" s="1415"/>
      <c r="GJ24" s="1593"/>
      <c r="GK24" s="1"/>
      <c r="GM24" s="1415"/>
      <c r="GO24" s="1415"/>
      <c r="GP24" s="1593"/>
      <c r="GQ24" s="1"/>
      <c r="GS24" s="1415"/>
      <c r="GT24" s="1415"/>
      <c r="HA24" s="1836">
        <v>10</v>
      </c>
    </row>
    <row r="25" spans="1:211" ht="16" hidden="1" outlineLevel="2" x14ac:dyDescent="0.2">
      <c r="A25" s="2824">
        <f>IF(E24=0,0,A26/G26)</f>
        <v>0</v>
      </c>
      <c r="B25" s="156" t="s">
        <v>1403</v>
      </c>
      <c r="C25" s="206">
        <f>ROUND(IF(P26&gt;0,2*P26*C26/1000, IF(L26=0,0, IF(I26=Calculator!$H$160, Calculator!$J$160*(1+L25), IF(K26=4, 4*H24*G25/13.4,L25*Calculator!$J$151)))),0)</f>
        <v>0</v>
      </c>
      <c r="D25" s="205">
        <f>F26*L25</f>
        <v>0</v>
      </c>
      <c r="E25" s="70">
        <f>IF(I26=J167,F26*VLOOKUP(B25,HWRange,8,FALSE),"Virtual Server")</f>
        <v>0</v>
      </c>
      <c r="F25" s="71">
        <f>IF(I26=$J$167,VLOOKUP(B25,HWRange,7,FALSE),IF(I25&gt;VLOOKUP(B25,HWRange,3,FALSE),VLOOKUP(B25,HWRange,7,FALSE)*VLOOKUP(B25,HWRange,3,FALSE)/I25,VLOOKUP(B25,HWRange,7,FALSE)))</f>
        <v>60</v>
      </c>
      <c r="G25" s="157">
        <f>IF(I26=$J$167,VLOOKUP(B25,HWRange,6,FALSE),VLOOKUP(B25,HWRange,6,FALSE)*I25/VLOOKUP(B25,HWRange,3,FALSE))</f>
        <v>240</v>
      </c>
      <c r="H25" s="161" t="s">
        <v>365</v>
      </c>
      <c r="I25" s="1247">
        <v>2</v>
      </c>
      <c r="J25" s="1881"/>
      <c r="K25" s="756" t="str">
        <f>A169</f>
        <v>Tier01</v>
      </c>
      <c r="L25" s="772">
        <f>IF(I26=$J$167,VLOOKUP(B25,HWRange,3,FALSE),I25)</f>
        <v>4</v>
      </c>
      <c r="M25" s="466" t="str">
        <f>IF(ISERROR(VLOOKUP($K25,$J$5:$J$19,1,FALSE)),IF(ISERROR(VLOOKUP($K25,$J$5:$J$19,1,FALSE)),"","/"&amp;$J$4),"/"&amp;$J$4)</f>
        <v/>
      </c>
      <c r="N25" s="467" t="str">
        <f>IF(ISERROR(VLOOKUP($K25,$K$5:$K$19,1,FALSE)),"","/"&amp;$K$4)</f>
        <v/>
      </c>
      <c r="O25" s="468">
        <f>IF(AND(O24="",M26=""),0,D25)</f>
        <v>0</v>
      </c>
      <c r="P25" s="1596" t="str">
        <f>IF(NOT(M25=""),Calculator!$A$158,IF(NOT(N25=""),Calculator!$B$158,IF(NOT(O24=""), Calculator!$C$158,Calculator!$G$158)))</f>
        <v>WindowsLinuxSolarisAIXHPUX</v>
      </c>
      <c r="Q25" s="1246" t="str">
        <f>VLOOKUP(B25,HWRange,2,FALSE)</f>
        <v>Xeon E5-2637v4</v>
      </c>
      <c r="R25" s="1187">
        <f>F26*VLOOKUP(B25,HWRange,8,FALSE)</f>
        <v>0</v>
      </c>
      <c r="S25" s="3070">
        <f>IF(OR(LEFT(B25,3)="AMI",LEFT(B25,3)="AZI"),LEFT(B25,3),0)</f>
        <v>0</v>
      </c>
      <c r="T25" s="1598" t="s">
        <v>366</v>
      </c>
      <c r="U25" s="1599" t="s">
        <v>307</v>
      </c>
      <c r="V25" s="822">
        <f t="shared" ref="V25:AD25" si="6">IF(V26=0,0,IF($A25&lt;0.5,$A25,"+"))</f>
        <v>0</v>
      </c>
      <c r="W25" s="2063">
        <f>IF(AND($N26="/"&amp;$Q$4,$H27=I$191,$H26=0),W$167,IF(W26=0,0,IF($A25&lt;0.5,$A25,"+")))</f>
        <v>0</v>
      </c>
      <c r="X25" s="318">
        <f t="shared" si="6"/>
        <v>0</v>
      </c>
      <c r="Y25" s="318">
        <f t="shared" si="6"/>
        <v>0</v>
      </c>
      <c r="Z25" s="318">
        <f t="shared" si="6"/>
        <v>0</v>
      </c>
      <c r="AA25" s="318">
        <f t="shared" si="6"/>
        <v>0</v>
      </c>
      <c r="AB25" s="318">
        <f t="shared" si="6"/>
        <v>0</v>
      </c>
      <c r="AC25" s="318">
        <f t="shared" si="6"/>
        <v>0</v>
      </c>
      <c r="AD25" s="823">
        <f t="shared" si="6"/>
        <v>0</v>
      </c>
      <c r="AE25" s="2852">
        <f>D25</f>
        <v>0</v>
      </c>
      <c r="AF25" s="2998">
        <f>AF$23</f>
        <v>24</v>
      </c>
      <c r="AG25" s="5"/>
      <c r="AH25" s="1590"/>
      <c r="AI25" s="390"/>
      <c r="AJ25" s="5"/>
      <c r="AK25" s="390"/>
      <c r="AL25" s="5"/>
      <c r="AM25" s="390"/>
      <c r="AN25" s="5"/>
      <c r="AO25" s="390"/>
      <c r="AP25" s="5"/>
      <c r="AQ25" s="390"/>
      <c r="AR25" s="5"/>
      <c r="AS25" s="390"/>
      <c r="AT25" s="5"/>
      <c r="AU25" s="5"/>
      <c r="AV25" s="5"/>
      <c r="AW25" s="1600"/>
      <c r="AX25" s="1601"/>
      <c r="AY25" s="1601"/>
      <c r="BC25" s="1602"/>
      <c r="BF25" s="1592"/>
      <c r="BG25" s="1601"/>
      <c r="BH25" s="1601"/>
      <c r="BI25" s="1601"/>
      <c r="BJ25" s="1601"/>
      <c r="BK25" s="1603"/>
      <c r="BL25" s="1601"/>
      <c r="BM25" s="1601"/>
      <c r="BN25" s="1601"/>
      <c r="BO25" s="1601"/>
      <c r="BP25" s="885">
        <f>IF(A25&gt;0,1,0)</f>
        <v>0</v>
      </c>
      <c r="BQ25" s="773"/>
      <c r="BR25" s="773"/>
      <c r="BS25" s="1597"/>
      <c r="BT25" s="751"/>
      <c r="BU25" s="751"/>
      <c r="BV25" s="751"/>
      <c r="BW25" s="751"/>
      <c r="BX25" s="751"/>
      <c r="BY25" s="751"/>
      <c r="BZ25" s="751"/>
      <c r="CA25" s="751"/>
      <c r="CB25" s="751"/>
      <c r="CC25" s="751"/>
      <c r="CD25" s="751"/>
      <c r="CE25" s="751"/>
      <c r="CF25" s="751"/>
      <c r="CG25" s="1691">
        <f>A25</f>
        <v>0</v>
      </c>
      <c r="CH25" s="1590" t="str">
        <f>B25</f>
        <v>Xeon E5-2637v4 4 core (1 chip) 3500 MHz</v>
      </c>
      <c r="CI25" s="1180">
        <f>F25</f>
        <v>60</v>
      </c>
      <c r="CJ25" s="1180">
        <f>G25</f>
        <v>240</v>
      </c>
      <c r="CK25" s="2723"/>
      <c r="CL25" s="1592"/>
      <c r="CM25" s="1594"/>
      <c r="CN25" s="1592"/>
      <c r="CQ25" s="1592"/>
      <c r="CR25" s="1594"/>
      <c r="CU25" s="1592"/>
      <c r="DA25" s="1592"/>
      <c r="DB25" s="1594"/>
      <c r="DE25" s="1592"/>
      <c r="DF25" s="1594"/>
      <c r="DI25" s="1592"/>
      <c r="DJ25" s="1602"/>
      <c r="DK25" s="1602"/>
      <c r="DL25" s="256"/>
      <c r="DM25" s="1602"/>
      <c r="DN25" s="1594"/>
      <c r="DO25" s="1594"/>
      <c r="DP25" s="394"/>
      <c r="DQ25" s="1602"/>
      <c r="DR25" s="1594"/>
      <c r="DS25" s="1594"/>
      <c r="DT25" s="1415"/>
      <c r="DW25" s="1602"/>
      <c r="DX25" s="1594"/>
      <c r="DY25" s="1415"/>
      <c r="EC25" s="1602"/>
      <c r="ED25" s="1415"/>
      <c r="EH25" s="1594"/>
      <c r="EI25" s="1602"/>
      <c r="EJ25" s="1415"/>
      <c r="EN25" s="1594"/>
      <c r="EO25" s="1602"/>
      <c r="EP25" s="1415"/>
      <c r="ET25" s="1594"/>
      <c r="EU25" s="1602"/>
      <c r="EV25" s="1415"/>
      <c r="EZ25" s="1594"/>
      <c r="FA25" s="1602"/>
      <c r="FB25" s="1415"/>
      <c r="FF25" s="1594"/>
      <c r="FG25" s="1602"/>
      <c r="FH25" s="1415"/>
      <c r="FL25" s="1594"/>
      <c r="FM25" s="1602"/>
      <c r="FN25" s="1415"/>
      <c r="FR25" s="1594"/>
      <c r="FS25" s="1602"/>
      <c r="FT25" s="1415"/>
      <c r="FX25" s="1594"/>
      <c r="FY25" s="1602"/>
      <c r="FZ25" s="1415"/>
      <c r="GD25" s="1594"/>
      <c r="GE25" s="1602"/>
      <c r="GG25" s="1415"/>
      <c r="GJ25" s="1594"/>
      <c r="GK25" s="1602"/>
      <c r="GM25" s="1415"/>
      <c r="GO25" s="1415"/>
      <c r="GP25" s="1594"/>
      <c r="GQ25" s="1602"/>
      <c r="GS25" s="1415"/>
      <c r="GT25" s="1415"/>
      <c r="HA25" s="1835">
        <v>9600</v>
      </c>
    </row>
    <row r="26" spans="1:211" ht="16" hidden="1" outlineLevel="2" thickBot="1" x14ac:dyDescent="0.25">
      <c r="A26" s="2825">
        <f>IF(E24=0,0,$DN$22)</f>
        <v>0</v>
      </c>
      <c r="B26" s="2829" t="str">
        <f>"Install ("&amp;C27&amp;M24&amp;N24&amp;O24&amp;M25&amp;N25&amp;M26&amp;N26&amp;")"</f>
        <v>Install (Physical)</v>
      </c>
      <c r="C26" s="258">
        <f>IF(E24=0,0, IF(I26=Calculator!$H$160,1,E26/O26)*H24)</f>
        <v>0</v>
      </c>
      <c r="D26" s="140">
        <f>IF(J26=$H$192,J27,0)+IF(E24=0,0,J24*E24)*($BO$2/F25)</f>
        <v>0</v>
      </c>
      <c r="E26" s="141">
        <f>IF(E24=0,0,L25*60/D26)</f>
        <v>0</v>
      </c>
      <c r="F26" s="142">
        <f>IF(L26=0,0,IF(H26,H26,IF(I26=Calculator!$H$160,A24,IF(N26="/DBMS",1,IF(H27=$I$191,IF(N25="",IF(L26=1,2,L26),L26+1),L26)))))</f>
        <v>0</v>
      </c>
      <c r="G26" s="158">
        <f>IF(E24=0,0,IF(F26&gt;0,+E26*F26,"Nodes?"))</f>
        <v>0</v>
      </c>
      <c r="H26" s="143"/>
      <c r="I26" s="1248" t="s">
        <v>408</v>
      </c>
      <c r="J26" s="2819" t="str">
        <f>I22</f>
        <v xml:space="preserve">Siloed </v>
      </c>
      <c r="K26" s="1604">
        <f>IF(AND(N26="",N25=""),2,4)</f>
        <v>2</v>
      </c>
      <c r="L26" s="1605">
        <f>IF(H26,H26,IF(E24=0,0,IF(A26&gt;0,+INT(A26/(E26*H24))+1,0)))</f>
        <v>0</v>
      </c>
      <c r="M26" s="469" t="str">
        <f>IF(ISERROR(VLOOKUP($K25,$O$5:$O$19,1,FALSE)),IF(ISERROR(VLOOKUP($K25,$O$5:$O$19,1,FALSE)),"","/"&amp;$O$4),"/"&amp;$O$4)</f>
        <v/>
      </c>
      <c r="N26" s="470" t="str">
        <f>IF(ISERROR(VLOOKUP($K25,$Q$5:$Q$19,1,FALSE)),IF(ISERROR(VLOOKUP($K25,$Q$5:$Q$19,1,FALSE)),"","/"&amp;$Q$4),"/"&amp;$Q$4)</f>
        <v/>
      </c>
      <c r="O26" s="471">
        <f>IF($DM$22&gt;0,$DN$22/$DM$22,0)</f>
        <v>0</v>
      </c>
      <c r="P26" s="886"/>
      <c r="Q26" s="1714">
        <f>D25/VLOOKUP(B25,HWRange,3,FALSE)</f>
        <v>0</v>
      </c>
      <c r="R26" s="1877">
        <f>P169</f>
        <v>0</v>
      </c>
      <c r="S26" s="1982">
        <f>IF(E24=0,0,H24*A24/A25)</f>
        <v>0</v>
      </c>
      <c r="T26" s="135">
        <v>10000</v>
      </c>
      <c r="U26" s="1608">
        <f>IF(E24=0,0,IF(U27=$I$192,U24,DP$22/F26))</f>
        <v>0</v>
      </c>
      <c r="V26" s="1826">
        <f>IF(G26&gt;0,1,0)</f>
        <v>0</v>
      </c>
      <c r="W26" s="1827">
        <f t="shared" ref="W26:AC26" si="7">IF(V26&gt;0,IF($F26&gt;V26,V26+1,0),0)</f>
        <v>0</v>
      </c>
      <c r="X26" s="1827">
        <f t="shared" si="7"/>
        <v>0</v>
      </c>
      <c r="Y26" s="1827">
        <f t="shared" si="7"/>
        <v>0</v>
      </c>
      <c r="Z26" s="1827">
        <f t="shared" si="7"/>
        <v>0</v>
      </c>
      <c r="AA26" s="1827">
        <f t="shared" si="7"/>
        <v>0</v>
      </c>
      <c r="AB26" s="1827">
        <f t="shared" si="7"/>
        <v>0</v>
      </c>
      <c r="AC26" s="1827">
        <f t="shared" si="7"/>
        <v>0</v>
      </c>
      <c r="AD26" s="1828">
        <f>IF(AC26&gt;0,IF($F26&gt;AC26,"…"&amp;$F26,0),0)</f>
        <v>0</v>
      </c>
      <c r="AE26" s="2853">
        <f>A25</f>
        <v>0</v>
      </c>
      <c r="AF26" s="2978">
        <f>IF(AF25="","",IF(H26=0,0,H26/AF25+IF(H27=$I$191,1,0)))</f>
        <v>0</v>
      </c>
      <c r="AG26" s="1681"/>
      <c r="AH26" s="1590"/>
      <c r="AI26" s="1590"/>
      <c r="AJ26" s="5"/>
      <c r="AK26" s="1590"/>
      <c r="AL26" s="5"/>
      <c r="AM26" s="1590"/>
      <c r="AN26" s="5"/>
      <c r="AO26" s="1590"/>
      <c r="AP26" s="5"/>
      <c r="AQ26" s="1590"/>
      <c r="AR26" s="5"/>
      <c r="AS26" s="1590"/>
      <c r="AT26" s="5"/>
      <c r="AU26" s="5"/>
      <c r="AV26" s="5"/>
      <c r="AW26" s="56"/>
      <c r="BC26" s="1602"/>
      <c r="BF26" s="1592"/>
      <c r="BG26" s="1601"/>
      <c r="BH26" s="1601"/>
      <c r="BI26" s="1601"/>
      <c r="BJ26" s="1601"/>
      <c r="BK26" s="1601"/>
      <c r="BL26" s="1601"/>
      <c r="BM26" s="1022"/>
      <c r="BN26" s="1601"/>
      <c r="BO26" s="1601"/>
      <c r="BP26" s="1606"/>
      <c r="BQ26" s="1607"/>
      <c r="BR26" s="887"/>
      <c r="BS26" s="888"/>
      <c r="BT26" s="1606"/>
      <c r="BU26" s="1606"/>
      <c r="BV26" s="1606"/>
      <c r="BW26" s="1606"/>
      <c r="BX26" s="1606"/>
      <c r="BY26" s="1606"/>
      <c r="BZ26" s="1606"/>
      <c r="CA26" s="1606"/>
      <c r="CB26" s="1606"/>
      <c r="CC26" s="1606"/>
      <c r="CD26" s="1606"/>
      <c r="CE26" s="1606"/>
      <c r="CF26" s="1606"/>
      <c r="CG26" s="1692">
        <f>A26</f>
        <v>0</v>
      </c>
      <c r="CH26" s="1693" t="str">
        <f>B26</f>
        <v>Install (Physical)</v>
      </c>
      <c r="CI26" s="1181">
        <f>F26</f>
        <v>0</v>
      </c>
      <c r="CJ26" s="2719">
        <f>D25</f>
        <v>0</v>
      </c>
      <c r="CK26" s="2724">
        <f>T26</f>
        <v>10000</v>
      </c>
      <c r="CL26" s="1592"/>
      <c r="CM26" s="1594"/>
      <c r="CN26" s="1592"/>
      <c r="CQ26" s="1592"/>
      <c r="CR26" s="1594"/>
      <c r="CU26" s="1592"/>
      <c r="DA26" s="1592"/>
      <c r="DB26" s="1594"/>
      <c r="DE26" s="1592"/>
      <c r="DF26" s="1594"/>
      <c r="DI26" s="1592"/>
      <c r="DJ26" s="1602"/>
      <c r="DK26" s="1602"/>
      <c r="DL26" s="1590"/>
      <c r="DM26" s="1602"/>
      <c r="DN26" s="1594"/>
      <c r="DO26" s="1594"/>
      <c r="DP26" s="394"/>
      <c r="DQ26" s="1602"/>
      <c r="DR26" s="1597"/>
      <c r="DS26" s="1597"/>
      <c r="DT26" s="1415"/>
      <c r="DW26" s="1602"/>
      <c r="DX26" s="1597"/>
      <c r="DY26" s="1415"/>
      <c r="EC26" s="1602"/>
      <c r="ED26" s="1415"/>
      <c r="EH26" s="1597"/>
      <c r="EI26" s="1602"/>
      <c r="EJ26" s="1415"/>
      <c r="EN26" s="1597"/>
      <c r="EO26" s="1602"/>
      <c r="EP26" s="1415"/>
      <c r="ET26" s="1597"/>
      <c r="EU26" s="1602"/>
      <c r="EV26" s="1415"/>
      <c r="EZ26" s="1597"/>
      <c r="FA26" s="1602"/>
      <c r="FB26" s="1415"/>
      <c r="FF26" s="1597"/>
      <c r="FG26" s="1602"/>
      <c r="FH26" s="1415"/>
      <c r="FL26" s="1597"/>
      <c r="FM26" s="1602"/>
      <c r="FN26" s="1415"/>
      <c r="FR26" s="1597"/>
      <c r="FS26" s="1602"/>
      <c r="FT26" s="1415"/>
      <c r="FX26" s="1597"/>
      <c r="FY26" s="1602"/>
      <c r="FZ26" s="1415"/>
      <c r="GD26" s="1597"/>
      <c r="GE26" s="1602"/>
      <c r="GG26" s="1415"/>
      <c r="GJ26" s="1597"/>
      <c r="GK26" s="1602"/>
      <c r="GM26" s="1415"/>
      <c r="GO26" s="1415"/>
      <c r="GP26" s="1597"/>
      <c r="GQ26" s="1602"/>
      <c r="GS26" s="1415"/>
      <c r="GT26" s="1415"/>
      <c r="HA26" s="1835">
        <v>2500</v>
      </c>
    </row>
    <row r="27" spans="1:211" ht="15" hidden="1" outlineLevel="1" collapsed="1" x14ac:dyDescent="0.2">
      <c r="A27" s="916">
        <f>IF(A26=0,0,ROUND(100*A25,0)&amp;"% CPU")</f>
        <v>0</v>
      </c>
      <c r="B27" s="917">
        <f>IF(A26&gt;0,IF(I26=$J$167,K25&amp;": "&amp;F26&amp;"x "&amp;B25&amp;" "&amp;C25&amp;" GB RAM",$K25&amp;": "&amp;$F26&amp;"x VM ("&amp;I25&amp;" core "&amp;C25&amp;" GB RAM) "&amp;Q25&amp;" "&amp;L24&amp;" MHz"),0)</f>
        <v>0</v>
      </c>
      <c r="C27" s="1609" t="str">
        <f>IF(I26=$H$189,I26,I24)</f>
        <v>Physical</v>
      </c>
      <c r="D27" s="918">
        <f>A24</f>
        <v>0</v>
      </c>
      <c r="E27" s="919">
        <f>IF(E26&gt;0,ROUND(E26*60/1000,0)&amp;"K TPH",0)</f>
        <v>0</v>
      </c>
      <c r="F27" s="920">
        <f>F26</f>
        <v>0</v>
      </c>
      <c r="G27" s="919">
        <f>IF(G26&gt;0,ROUND(G26*60/1000,0)&amp;"K TPH",0)</f>
        <v>0</v>
      </c>
      <c r="H27" s="921" t="str">
        <f>H$23</f>
        <v>Minimum</v>
      </c>
      <c r="I27" s="1736">
        <f>IF(I26=$J$167,0,I24)</f>
        <v>0</v>
      </c>
      <c r="J27" s="2086">
        <f>IF(AND(O24="/"&amp;$N$4,J26=$H$192),IF(F26&gt;0,(F26-1)*A26/(60*$H$194),0),0)</f>
        <v>0</v>
      </c>
      <c r="K27" s="2086">
        <f>IF(E24&gt;0,D26/E24,0)</f>
        <v>0</v>
      </c>
      <c r="L27" s="2080">
        <f>IF($W25=$W$167,2,F26)</f>
        <v>0</v>
      </c>
      <c r="M27" s="3134">
        <f>IF(AND(S27&gt;0,I26=$H$189),1,0)</f>
        <v>0</v>
      </c>
      <c r="N27" s="3134">
        <f>IF(I26 =$H$191,IF(N25="/"&amp;$K$4,0,1),0)</f>
        <v>0</v>
      </c>
      <c r="O27" s="1611"/>
      <c r="P27" s="1610"/>
      <c r="Q27" s="1737">
        <f>IF($A29&lt;0.9999, $A29/((1+$CJ$2*$A29*($L29-1))*(1-$A29)),200)</f>
        <v>0</v>
      </c>
      <c r="R27" s="1611"/>
      <c r="S27" s="3118">
        <f>IF(LEFT(B25,3)=S25,VLOOKUP(B25,HWRange,10,FALSE),0)</f>
        <v>0</v>
      </c>
      <c r="T27" s="940" t="str">
        <f>U27</f>
        <v>Data</v>
      </c>
      <c r="U27" s="1595" t="s">
        <v>329</v>
      </c>
      <c r="V27" s="1918">
        <f>IF(A25&gt;0,B27&amp;" "&amp;C27&amp;IF(B27="",""," GB RAM"),0)</f>
        <v>0</v>
      </c>
      <c r="W27" s="1819"/>
      <c r="X27" s="1819"/>
      <c r="Y27" s="1819"/>
      <c r="Z27" s="1819"/>
      <c r="AA27" s="1819"/>
      <c r="AB27" s="1819"/>
      <c r="AC27" s="1819"/>
      <c r="AD27" s="1819"/>
      <c r="AE27" s="1919">
        <f>IF(A25&gt;0,F25,0)</f>
        <v>0</v>
      </c>
      <c r="AF27" s="2876">
        <f>IF(A24=0,0,IF(LEFT(B25,3)=S25,VLOOKUP(B25,HWRange,12,FALSE),0)*F26)</f>
        <v>0</v>
      </c>
      <c r="AG27" s="2877" t="str">
        <f>IF(AF27&gt;0,S25&amp;" 3-yr Pricing","")</f>
        <v/>
      </c>
      <c r="AH27" s="2878"/>
      <c r="AI27" s="1613"/>
      <c r="AJ27" s="1613"/>
      <c r="AK27" s="1613"/>
      <c r="AL27" s="1613"/>
      <c r="AM27" s="1613"/>
      <c r="AN27" s="1613"/>
      <c r="AO27" s="1613"/>
      <c r="AP27" s="1613"/>
      <c r="AQ27" s="1613"/>
      <c r="AR27" s="1613"/>
      <c r="AS27" s="1613"/>
      <c r="AT27" s="1613"/>
      <c r="AU27" s="1591"/>
      <c r="AV27" s="1591"/>
      <c r="AW27" s="1591"/>
      <c r="AX27" s="1601"/>
      <c r="AY27" s="1601"/>
      <c r="BC27" s="1614"/>
      <c r="BF27" s="1592"/>
      <c r="BG27" s="1601"/>
      <c r="BH27" s="1601"/>
      <c r="BI27" s="1601"/>
      <c r="BJ27" s="1601"/>
      <c r="BK27" s="1601"/>
      <c r="BL27" s="1601"/>
      <c r="BM27" s="1601"/>
      <c r="BN27" s="1601"/>
      <c r="BO27" s="1601"/>
      <c r="BP27" s="1738"/>
      <c r="BQ27" s="1612"/>
      <c r="BR27" s="1612"/>
      <c r="BS27" s="1612"/>
      <c r="BT27" s="1612"/>
      <c r="BU27" s="1612"/>
      <c r="BV27" s="1612"/>
      <c r="BW27" s="1612"/>
      <c r="BX27" s="1612"/>
      <c r="BY27" s="1612"/>
      <c r="BZ27" s="1612"/>
      <c r="CA27" s="1612"/>
      <c r="CB27" s="1612"/>
      <c r="CC27" s="1612"/>
      <c r="CD27" s="1612"/>
      <c r="CE27" s="1612"/>
      <c r="CF27" s="1612"/>
      <c r="CG27" s="3403">
        <f>B27</f>
        <v>0</v>
      </c>
      <c r="CH27" s="3404"/>
      <c r="CI27" s="3404"/>
      <c r="CJ27" s="3404"/>
      <c r="CK27" s="2723"/>
      <c r="CL27" s="1592"/>
      <c r="CM27" s="1594"/>
      <c r="CN27" s="1592"/>
      <c r="CQ27" s="1592"/>
      <c r="CR27" s="1594"/>
      <c r="CU27" s="1592"/>
      <c r="DA27" s="1592"/>
      <c r="DB27" s="1594"/>
      <c r="DE27" s="1592"/>
      <c r="DF27" s="1594"/>
      <c r="DI27" s="1592"/>
      <c r="DJ27" s="1614"/>
      <c r="DK27" s="1614"/>
      <c r="DL27" s="1590"/>
      <c r="DM27" s="1614"/>
      <c r="DN27" s="1594"/>
      <c r="DO27" s="1594"/>
      <c r="DP27" s="394"/>
      <c r="DQ27" s="1614"/>
      <c r="DR27" s="1597"/>
      <c r="DS27" s="1597"/>
      <c r="DT27" s="1415"/>
      <c r="DW27" s="1614"/>
      <c r="DX27" s="1597"/>
      <c r="DY27" s="1415"/>
      <c r="EC27" s="1614"/>
      <c r="ED27" s="1415"/>
      <c r="EH27" s="1597"/>
      <c r="EI27" s="1614"/>
      <c r="EJ27" s="1415"/>
      <c r="EN27" s="1597"/>
      <c r="EO27" s="1614"/>
      <c r="EP27" s="1415"/>
      <c r="ET27" s="1597"/>
      <c r="EU27" s="1614"/>
      <c r="EV27" s="1415"/>
      <c r="EZ27" s="1597"/>
      <c r="FA27" s="1614"/>
      <c r="FB27" s="1415"/>
      <c r="FF27" s="1597"/>
      <c r="FG27" s="1614"/>
      <c r="FH27" s="1415"/>
      <c r="FL27" s="1597"/>
      <c r="FM27" s="1614"/>
      <c r="FN27" s="1415"/>
      <c r="FR27" s="1597"/>
      <c r="FS27" s="1614"/>
      <c r="FT27" s="1415"/>
      <c r="FX27" s="1597"/>
      <c r="FY27" s="1614"/>
      <c r="FZ27" s="1415"/>
      <c r="GD27" s="1597"/>
      <c r="GE27" s="1614"/>
      <c r="GG27" s="1415"/>
      <c r="GJ27" s="1597"/>
      <c r="GK27" s="1614"/>
      <c r="GM27" s="1415"/>
      <c r="GO27" s="1415"/>
      <c r="GP27" s="1597"/>
      <c r="GQ27" s="1614"/>
      <c r="GS27" s="1415"/>
      <c r="GT27" s="1415"/>
      <c r="HA27" s="1835">
        <v>622</v>
      </c>
    </row>
    <row r="28" spans="1:211" ht="17" hidden="1" outlineLevel="2" thickBot="1" x14ac:dyDescent="0.25">
      <c r="A28" s="2823">
        <f>IF(O30&gt;0,A30/O30,0)</f>
        <v>0</v>
      </c>
      <c r="B28" s="552" t="s">
        <v>1470</v>
      </c>
      <c r="C28" s="136" t="str">
        <f>VLOOKUP(B29,Hardware!$A$2:$I$632,9,FALSE)</f>
        <v>Intel</v>
      </c>
      <c r="D28" s="137" t="str">
        <f>D24</f>
        <v>Arc18=</v>
      </c>
      <c r="E28" s="138">
        <f>IF(DS$22=0,0,IF(DW$22&gt;0,DW$22/DT$22))</f>
        <v>0</v>
      </c>
      <c r="F28" s="139" t="s">
        <v>328</v>
      </c>
      <c r="G28" s="1585"/>
      <c r="H28" s="1586">
        <v>0.8</v>
      </c>
      <c r="I28" s="1739" t="str">
        <f>I24</f>
        <v>Host01</v>
      </c>
      <c r="J28" s="207">
        <f>IF(K28&gt;0,K28,IF(I30=Calculator!$H$158,1, IF(OR(R28=Calculator!$H$162,R28=Calculator!$H$163), VLOOKUP(I30,VAdjust,2,FALSE),1)))</f>
        <v>1</v>
      </c>
      <c r="K28" s="2456"/>
      <c r="L28" s="722">
        <f>VLOOKUP(B29,HWRange,5,FALSE)</f>
        <v>3500</v>
      </c>
      <c r="M28" s="464" t="str">
        <f>IF(ISERROR(VLOOKUP($K29,$L$5:$L$19,1,FALSE)),"","/"&amp;$L$4)</f>
        <v/>
      </c>
      <c r="N28" s="257" t="str">
        <f>IF(ISERROR(VLOOKUP($K29,$M$5:$M$19,1,FALSE)),IF(ISERROR(VLOOKUP($K29,$M$5:$M$19,1,FALSE)),"","/"&amp;$M$4),"/"&amp;$M$4)</f>
        <v/>
      </c>
      <c r="O28" s="465" t="str">
        <f>IF(ISERROR(VLOOKUP($K29,$N$5:$N$19,1,FALSE)),IF(ISERROR(VLOOKUP($K29,$N$5:$N$19,1,FALSE)),"","/"&amp;$N$4),"/"&amp;$N$4)</f>
        <v/>
      </c>
      <c r="P28" s="1587">
        <f>IF(A29=0,0,IF(P30&gt;0,1000*C29/C30,1000*C29/C30))/2</f>
        <v>0</v>
      </c>
      <c r="Q28" s="1734">
        <f>IF(I30=$J$167,0,VLOOKUP(I28,HostArray,2,FALSE))</f>
        <v>0</v>
      </c>
      <c r="R28" s="1588" t="s">
        <v>412</v>
      </c>
      <c r="S28" s="3071" t="str">
        <f>IF(S29=LEFT(B29,3),_xlfn.NUMBERVALUE(MID(B29,FIND("(",B29,1)+1,FIND(")",B29,1)-FIND("(",B29,1)-3)),"")</f>
        <v/>
      </c>
      <c r="T28" s="135">
        <v>10000</v>
      </c>
      <c r="U28" s="1616">
        <f>IF(E28&gt;0,IF(AND(M30="",N30=""),DU$22/F30,DV$22/F30),0)</f>
        <v>0</v>
      </c>
      <c r="V28" s="1822">
        <f t="shared" ref="V28:AD28" si="8">IF(V30&gt;0,IF($A29&gt;0.5,$A29,""),0)</f>
        <v>0</v>
      </c>
      <c r="W28" s="1823">
        <f>IF(AND($W29=W$167,$H31=I$191),W$168,IF(W30&gt;0,IF($A29&gt;0.5,$A29,""),0))</f>
        <v>0</v>
      </c>
      <c r="X28" s="1823">
        <f t="shared" si="8"/>
        <v>0</v>
      </c>
      <c r="Y28" s="1823">
        <f t="shared" si="8"/>
        <v>0</v>
      </c>
      <c r="Z28" s="1823">
        <f t="shared" si="8"/>
        <v>0</v>
      </c>
      <c r="AA28" s="1823">
        <f t="shared" si="8"/>
        <v>0</v>
      </c>
      <c r="AB28" s="1823">
        <f t="shared" si="8"/>
        <v>0</v>
      </c>
      <c r="AC28" s="1823">
        <f t="shared" si="8"/>
        <v>0</v>
      </c>
      <c r="AD28" s="1824">
        <f t="shared" si="8"/>
        <v>0</v>
      </c>
      <c r="AE28" s="1825">
        <f>L31</f>
        <v>0</v>
      </c>
      <c r="AF28" s="2977" t="str">
        <f>IF(I30=$H$191,$AF$22,"")</f>
        <v/>
      </c>
      <c r="AG28" s="1600"/>
      <c r="AH28" s="1600"/>
      <c r="AI28" s="1600"/>
      <c r="AJ28" s="1600"/>
      <c r="AK28" s="1600"/>
      <c r="AL28" s="1600"/>
      <c r="AM28" s="1600"/>
      <c r="AN28" s="1600"/>
      <c r="AO28" s="1600"/>
      <c r="AP28" s="1600"/>
      <c r="AQ28" s="1600"/>
      <c r="AR28" s="1600"/>
      <c r="AS28" s="1600"/>
      <c r="AT28" s="1600"/>
      <c r="AU28" s="1600"/>
      <c r="AV28" s="1600"/>
      <c r="AX28" s="2"/>
      <c r="AY28" s="2"/>
      <c r="BC28" s="1"/>
      <c r="BF28" s="1592"/>
      <c r="BG28" s="1593"/>
      <c r="BH28" s="1593"/>
      <c r="BI28" s="1593"/>
      <c r="BJ28" s="1593"/>
      <c r="BK28" s="1593"/>
      <c r="BL28" s="1593"/>
      <c r="BM28" s="1593"/>
      <c r="BN28" s="1593"/>
      <c r="BO28" s="1593"/>
      <c r="BP28" s="889"/>
      <c r="BQ28" s="889"/>
      <c r="BR28" s="889"/>
      <c r="BS28" s="889"/>
      <c r="BT28" s="889"/>
      <c r="BU28" s="889"/>
      <c r="BV28" s="1615"/>
      <c r="BW28" s="1615"/>
      <c r="BX28" s="1615"/>
      <c r="BY28" s="1615"/>
      <c r="BZ28" s="1615"/>
      <c r="CA28" s="1615"/>
      <c r="CB28" s="1615"/>
      <c r="CC28" s="1615"/>
      <c r="CD28" s="1615"/>
      <c r="CE28" s="1615"/>
      <c r="CF28" s="1615"/>
      <c r="CG28" s="1689">
        <f t="shared" ref="CG28:CH30" si="9">A28</f>
        <v>0</v>
      </c>
      <c r="CH28" s="1690" t="str">
        <f t="shared" si="9"/>
        <v>Tier02: Platform Tier 02</v>
      </c>
      <c r="CI28" s="1179" t="str">
        <f>F28</f>
        <v>SRint2006</v>
      </c>
      <c r="CJ28" s="2718"/>
      <c r="CK28" s="2724">
        <f>T28</f>
        <v>10000</v>
      </c>
      <c r="CL28" s="1592"/>
      <c r="CM28" s="1594"/>
      <c r="CN28" s="1592"/>
      <c r="CQ28" s="1592"/>
      <c r="CR28" s="1594"/>
      <c r="CU28" s="1592"/>
      <c r="DA28" s="1592"/>
      <c r="DB28" s="1594"/>
      <c r="DE28" s="1592"/>
      <c r="DF28" s="1594"/>
      <c r="DI28" s="1592"/>
      <c r="DJ28" s="1"/>
      <c r="DK28" s="1"/>
      <c r="DL28" s="1590"/>
      <c r="DM28" s="1"/>
      <c r="DN28" s="1594"/>
      <c r="DO28" s="1595"/>
      <c r="DP28" s="394"/>
      <c r="DQ28" s="1"/>
      <c r="DR28" s="1593"/>
      <c r="DS28" s="1593"/>
      <c r="DT28" s="1415"/>
      <c r="DW28" s="1"/>
      <c r="DX28" s="1593"/>
      <c r="DY28" s="1415"/>
      <c r="EC28" s="1"/>
      <c r="ED28" s="1415"/>
      <c r="EH28" s="1593"/>
      <c r="EI28" s="1"/>
      <c r="EJ28" s="1415"/>
      <c r="EN28" s="1593"/>
      <c r="EO28" s="1"/>
      <c r="EP28" s="1415"/>
      <c r="ET28" s="1593"/>
      <c r="EU28" s="1"/>
      <c r="EV28" s="1415"/>
      <c r="EZ28" s="1593"/>
      <c r="FA28" s="1"/>
      <c r="FB28" s="1415"/>
      <c r="FF28" s="1593"/>
      <c r="FG28" s="1"/>
      <c r="FH28" s="1415"/>
      <c r="FL28" s="1593"/>
      <c r="FM28" s="1"/>
      <c r="FN28" s="1415"/>
      <c r="FR28" s="1593"/>
      <c r="FS28" s="1"/>
      <c r="FT28" s="1415"/>
      <c r="FX28" s="1593"/>
      <c r="FY28" s="1"/>
      <c r="FZ28" s="1415"/>
      <c r="GD28" s="1593"/>
      <c r="GE28" s="1"/>
      <c r="GG28" s="1415"/>
      <c r="GJ28" s="1593"/>
      <c r="GK28" s="1"/>
      <c r="GM28" s="1415"/>
      <c r="GO28" s="1415"/>
      <c r="GP28" s="1593"/>
      <c r="GQ28" s="1"/>
      <c r="GS28" s="1415"/>
      <c r="GT28" s="1415"/>
      <c r="HA28" s="1835">
        <v>310</v>
      </c>
    </row>
    <row r="29" spans="1:211" ht="15" hidden="1" outlineLevel="2" x14ac:dyDescent="0.2">
      <c r="A29" s="2824">
        <f>IF(E28=0,0,A30/G30)</f>
        <v>0</v>
      </c>
      <c r="B29" s="156" t="str">
        <f>B25</f>
        <v>Xeon E5-2637v4 4 core (1 chip) 3500 MHz</v>
      </c>
      <c r="C29" s="206">
        <f>ROUND(IF(P30&gt;0,2*P30*C30/1000, IF(L30=0,0, IF(I30=Calculator!$H$160, Calculator!$J$160*(1+L29), IF(K30=4, 4*H28*G29/13.4,L29*Calculator!$J$151)))),0)</f>
        <v>0</v>
      </c>
      <c r="D29" s="205">
        <f>F30*L29</f>
        <v>0</v>
      </c>
      <c r="E29" s="70">
        <f>IF(I30=J$167,F30*VLOOKUP(B29,HWRange,8,FALSE),"Virtual Server")</f>
        <v>0</v>
      </c>
      <c r="F29" s="71">
        <f>IF(I30=$J$167,VLOOKUP(B29,HWRange,7,FALSE),IF(I29&gt;VLOOKUP(B29,HWRange,3,FALSE),VLOOKUP(B29,HWRange,7,FALSE)*VLOOKUP(B29,HWRange,3,FALSE)/I29,VLOOKUP(B29,HWRange,7,FALSE)))</f>
        <v>60</v>
      </c>
      <c r="G29" s="157">
        <f>IF(I30=$J$167,VLOOKUP(B29,HWRange,6,FALSE),VLOOKUP(B29,HWRange,6,FALSE)*I29/VLOOKUP(B29,HWRange,3,FALSE))</f>
        <v>240</v>
      </c>
      <c r="H29" s="161" t="s">
        <v>365</v>
      </c>
      <c r="I29" s="1247">
        <v>2</v>
      </c>
      <c r="J29" s="1881"/>
      <c r="K29" s="756" t="str">
        <f>A170</f>
        <v>Tier02</v>
      </c>
      <c r="L29" s="491">
        <f>IF(I30=$J$167,VLOOKUP(B29,HWRange,3,FALSE),I29)</f>
        <v>4</v>
      </c>
      <c r="M29" s="466" t="str">
        <f>IF(ISERROR(VLOOKUP($K29,$J$5:$J$19,1,FALSE)),IF(ISERROR(VLOOKUP($K29,$J$5:$J$19,1,FALSE)),"","/"&amp;$J$4),"/"&amp;$J$4)</f>
        <v/>
      </c>
      <c r="N29" s="467" t="str">
        <f>IF(ISERROR(VLOOKUP($K29,$K$5:$K$19,1,FALSE)),"","/"&amp;$K$4)</f>
        <v/>
      </c>
      <c r="O29" s="468">
        <f>IF(AND(O28="",M30=""),0,D29)</f>
        <v>0</v>
      </c>
      <c r="P29" s="1596" t="str">
        <f>IF(NOT(M29=""),Calculator!$A$158,IF(NOT(N29=""),Calculator!$B$158,IF(NOT(O28=""), Calculator!$C$158,Calculator!$G$158)))</f>
        <v>WindowsLinuxSolarisAIXHPUX</v>
      </c>
      <c r="Q29" s="1246" t="str">
        <f>VLOOKUP(B29,HWRange,2,FALSE)</f>
        <v>Xeon E5-2637v4</v>
      </c>
      <c r="R29" s="1187">
        <f>F30*VLOOKUP(B29,HWRange,8,FALSE)</f>
        <v>0</v>
      </c>
      <c r="S29" s="3070">
        <f>IF(OR(LEFT(B29,3)="AMI",LEFT(B29,3)="AZI"),LEFT(B29,3),0)</f>
        <v>0</v>
      </c>
      <c r="T29" s="1617" t="s">
        <v>366</v>
      </c>
      <c r="U29" s="1599" t="s">
        <v>307</v>
      </c>
      <c r="V29" s="822">
        <f t="shared" ref="V29:AD29" si="10">IF(V30=0,0,IF($A29&lt;0.5,$A29,"+"))</f>
        <v>0</v>
      </c>
      <c r="W29" s="2063">
        <f>IF(AND($N30="/"&amp;$Q$4,$H31=I$191,$H30=0),W$167,IF(W30=0,0,IF($A29&lt;0.5,$A29,"+")))</f>
        <v>0</v>
      </c>
      <c r="X29" s="318">
        <f t="shared" si="10"/>
        <v>0</v>
      </c>
      <c r="Y29" s="318">
        <f t="shared" si="10"/>
        <v>0</v>
      </c>
      <c r="Z29" s="318">
        <f t="shared" si="10"/>
        <v>0</v>
      </c>
      <c r="AA29" s="318">
        <f t="shared" si="10"/>
        <v>0</v>
      </c>
      <c r="AB29" s="318">
        <f t="shared" si="10"/>
        <v>0</v>
      </c>
      <c r="AC29" s="318">
        <f t="shared" si="10"/>
        <v>0</v>
      </c>
      <c r="AD29" s="823">
        <f t="shared" si="10"/>
        <v>0</v>
      </c>
      <c r="AE29" s="1185">
        <f>D29</f>
        <v>0</v>
      </c>
      <c r="AF29" s="2998">
        <f>AF$23</f>
        <v>24</v>
      </c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X29" s="1601"/>
      <c r="AY29" s="1601"/>
      <c r="BC29" s="1602"/>
      <c r="BF29" s="1592"/>
      <c r="BG29" s="1601"/>
      <c r="BH29" s="1601"/>
      <c r="BI29" s="1601"/>
      <c r="BJ29" s="1601"/>
      <c r="BK29" s="1601"/>
      <c r="BL29" s="1601"/>
      <c r="BM29" s="1601"/>
      <c r="BN29" s="1601"/>
      <c r="BO29" s="1601"/>
      <c r="BP29" s="885">
        <f>IF(A29&gt;0,1,0)</f>
        <v>0</v>
      </c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1691">
        <f t="shared" si="9"/>
        <v>0</v>
      </c>
      <c r="CH29" s="1590" t="str">
        <f t="shared" si="9"/>
        <v>Xeon E5-2637v4 4 core (1 chip) 3500 MHz</v>
      </c>
      <c r="CI29" s="1180">
        <f>F29</f>
        <v>60</v>
      </c>
      <c r="CJ29" s="1180">
        <f>G29</f>
        <v>240</v>
      </c>
      <c r="CK29" s="2723"/>
      <c r="CL29" s="1592"/>
      <c r="CM29" s="1594"/>
      <c r="CN29" s="1592"/>
      <c r="CQ29" s="1592"/>
      <c r="CR29" s="1594"/>
      <c r="CU29" s="1592"/>
      <c r="DA29" s="1592"/>
      <c r="DB29" s="1594"/>
      <c r="DE29" s="1592"/>
      <c r="DF29" s="1594"/>
      <c r="DI29" s="1592"/>
      <c r="DJ29" s="1602"/>
      <c r="DK29" s="1602"/>
      <c r="DL29" s="1590"/>
      <c r="DM29" s="1602"/>
      <c r="DN29" s="1594"/>
      <c r="DO29" s="1594"/>
      <c r="DP29" s="394"/>
      <c r="DQ29" s="1602"/>
      <c r="DR29" s="1594"/>
      <c r="DS29" s="1594"/>
      <c r="DT29" s="1415"/>
      <c r="DW29" s="1602"/>
      <c r="DX29" s="1594"/>
      <c r="DY29" s="1415"/>
      <c r="EC29" s="1602"/>
      <c r="ED29" s="1415"/>
      <c r="EH29" s="1594"/>
      <c r="EI29" s="1602"/>
      <c r="EJ29" s="1415"/>
      <c r="EN29" s="1594"/>
      <c r="EO29" s="1602"/>
      <c r="EP29" s="1415"/>
      <c r="ET29" s="1594"/>
      <c r="EU29" s="1602"/>
      <c r="EV29" s="1415"/>
      <c r="EZ29" s="1594"/>
      <c r="FA29" s="1602"/>
      <c r="FB29" s="1415"/>
      <c r="FF29" s="1594"/>
      <c r="FG29" s="1602"/>
      <c r="FH29" s="1415"/>
      <c r="FL29" s="1594"/>
      <c r="FM29" s="1602"/>
      <c r="FN29" s="1415"/>
      <c r="FR29" s="1594"/>
      <c r="FS29" s="1602"/>
      <c r="FT29" s="1415"/>
      <c r="FX29" s="1594"/>
      <c r="FY29" s="1602"/>
      <c r="FZ29" s="1415"/>
      <c r="GD29" s="1594"/>
      <c r="GE29" s="1602"/>
      <c r="GG29" s="1415"/>
      <c r="GJ29" s="1594"/>
      <c r="GK29" s="1602"/>
      <c r="GM29" s="1415"/>
      <c r="GO29" s="1415"/>
      <c r="GP29" s="1594"/>
      <c r="GQ29" s="1602"/>
      <c r="GS29" s="1415"/>
      <c r="GT29" s="1415"/>
      <c r="HA29" s="1835">
        <v>155</v>
      </c>
    </row>
    <row r="30" spans="1:211" ht="14" hidden="1" outlineLevel="2" thickBot="1" x14ac:dyDescent="0.2">
      <c r="A30" s="2825">
        <f>IF(E28=0,0,$DT$22)</f>
        <v>0</v>
      </c>
      <c r="B30" s="3075" t="str">
        <f>"Install ("&amp;C31&amp;M28&amp;N28&amp;O28&amp;M29&amp;N29&amp;M30&amp;N30&amp;")"</f>
        <v>Install (Physical)</v>
      </c>
      <c r="C30" s="258">
        <f>IF(E28=0,0, IF(I30=Calculator!$H$160,1,E30/O30)*H28)</f>
        <v>0</v>
      </c>
      <c r="D30" s="140">
        <f>IF(J30=$H$192,J31,0)+IF(E28=0,0,J28*E28)*($BO$2/F29)</f>
        <v>0</v>
      </c>
      <c r="E30" s="141">
        <f>IF(E28=0,0,L29*60/D30)</f>
        <v>0</v>
      </c>
      <c r="F30" s="142">
        <f>IF(L30=0,0,IF(H30,H30,IF(I30=Calculator!$H$160,A28,IF(N30="/DBMS",1,IF(H31=$I$191,IF(N29="",IF(L30=1,2,L30),L30+1),L30)))))</f>
        <v>0</v>
      </c>
      <c r="G30" s="158">
        <f>IF(E28=0,0,IF(F30&gt;0,+E30*F30,"Nodes?"))</f>
        <v>0</v>
      </c>
      <c r="H30" s="143"/>
      <c r="I30" s="1248" t="s">
        <v>408</v>
      </c>
      <c r="J30" s="2819" t="str">
        <f>J26</f>
        <v xml:space="preserve">Siloed </v>
      </c>
      <c r="K30" s="1604">
        <f>IF(AND(N30="",N29=""),2,4)</f>
        <v>2</v>
      </c>
      <c r="L30" s="1605">
        <f>IF(H30,H30,IF(E28=0,0,IF(A30&gt;0,+INT(A30/(E30*H28))+1,0)))</f>
        <v>0</v>
      </c>
      <c r="M30" s="469" t="str">
        <f>IF(ISERROR(VLOOKUP($K29,$O$5:$O$19,1,FALSE)),IF(ISERROR(VLOOKUP($K29,$O$5:$O$19,1,FALSE)),"","/"&amp;$O$4),"/"&amp;$O$4)</f>
        <v/>
      </c>
      <c r="N30" s="470" t="str">
        <f>IF(ISERROR(VLOOKUP($K29,$Q$5:$Q$19,1,FALSE)),IF(ISERROR(VLOOKUP($K29,$Q$5:$Q$19,1,FALSE)),"","/"&amp;$Q$4),"/"&amp;$Q$4)</f>
        <v/>
      </c>
      <c r="O30" s="471">
        <f>IF($DS$22&gt;0,$DT$22/$DS$22,0)</f>
        <v>0</v>
      </c>
      <c r="P30" s="886"/>
      <c r="Q30" s="1714">
        <f>D29/VLOOKUP(B29,HWRange,3,FALSE)</f>
        <v>0</v>
      </c>
      <c r="R30" s="1877">
        <f>P170</f>
        <v>0</v>
      </c>
      <c r="S30" s="1982">
        <f>IF(E28=0,0,H28*A28/A29)</f>
        <v>0</v>
      </c>
      <c r="T30" s="135">
        <v>10000</v>
      </c>
      <c r="U30" s="1608">
        <f>IF(E28=0,0,IF(U31=$I$192,U28,DV$22/F30))</f>
        <v>0</v>
      </c>
      <c r="V30" s="1826">
        <f>IF(G30&gt;0,1,0)</f>
        <v>0</v>
      </c>
      <c r="W30" s="1827">
        <f t="shared" ref="W30:AC30" si="11">IF(V30&gt;0,IF($F30&gt;V30,V30+1,0),0)</f>
        <v>0</v>
      </c>
      <c r="X30" s="1827">
        <f t="shared" si="11"/>
        <v>0</v>
      </c>
      <c r="Y30" s="1827">
        <f t="shared" si="11"/>
        <v>0</v>
      </c>
      <c r="Z30" s="1827">
        <f t="shared" si="11"/>
        <v>0</v>
      </c>
      <c r="AA30" s="1827">
        <f t="shared" si="11"/>
        <v>0</v>
      </c>
      <c r="AB30" s="1827">
        <f t="shared" si="11"/>
        <v>0</v>
      </c>
      <c r="AC30" s="1827">
        <f t="shared" si="11"/>
        <v>0</v>
      </c>
      <c r="AD30" s="1828">
        <f>IF(AC30&gt;0,IF($F30&gt;AC30,"…"&amp;$F30,0),0)</f>
        <v>0</v>
      </c>
      <c r="AE30" s="1829">
        <f>A29</f>
        <v>0</v>
      </c>
      <c r="AF30" s="2978">
        <f>IF(AF29="","",IF(H30=0,0,H30/AF29+IF(H31=$I$191,1,0)))</f>
        <v>0</v>
      </c>
      <c r="AG30" s="1591"/>
      <c r="AH30" s="1591"/>
      <c r="AI30" s="1591"/>
      <c r="AJ30" s="1591"/>
      <c r="AK30" s="1591"/>
      <c r="AL30" s="1591"/>
      <c r="AM30" s="1591"/>
      <c r="AN30" s="1591"/>
      <c r="AO30" s="1591"/>
      <c r="AP30" s="1591"/>
      <c r="AQ30" s="1591"/>
      <c r="AR30" s="1591"/>
      <c r="AS30" s="1591"/>
      <c r="AT30" s="1591"/>
      <c r="AU30" s="1591"/>
      <c r="AV30" s="1591"/>
      <c r="BC30" s="1602"/>
      <c r="BF30" s="1592"/>
      <c r="BG30" s="1601"/>
      <c r="BH30" s="1601"/>
      <c r="BI30" s="1601"/>
      <c r="BJ30" s="1601"/>
      <c r="BK30" s="1601"/>
      <c r="BL30" s="1601"/>
      <c r="BM30" s="1601"/>
      <c r="BN30" s="1601"/>
      <c r="BO30" s="1601"/>
      <c r="BP30" s="1606"/>
      <c r="BQ30" s="1606"/>
      <c r="BR30" s="1606"/>
      <c r="BS30" s="1606"/>
      <c r="BT30" s="1606"/>
      <c r="BU30" s="1606"/>
      <c r="BV30" s="1606"/>
      <c r="BW30" s="1606"/>
      <c r="BX30" s="1606"/>
      <c r="BY30" s="1606"/>
      <c r="BZ30" s="1606"/>
      <c r="CA30" s="1606"/>
      <c r="CB30" s="1606"/>
      <c r="CC30" s="1606"/>
      <c r="CD30" s="1606"/>
      <c r="CE30" s="1606"/>
      <c r="CF30" s="1606"/>
      <c r="CG30" s="1692">
        <f t="shared" si="9"/>
        <v>0</v>
      </c>
      <c r="CH30" s="1693" t="str">
        <f t="shared" si="9"/>
        <v>Install (Physical)</v>
      </c>
      <c r="CI30" s="1181">
        <f>F30</f>
        <v>0</v>
      </c>
      <c r="CJ30" s="2719">
        <f>D29</f>
        <v>0</v>
      </c>
      <c r="CK30" s="2724">
        <f>T30</f>
        <v>10000</v>
      </c>
      <c r="CL30" s="1592"/>
      <c r="CM30" s="1594"/>
      <c r="CN30" s="1592"/>
      <c r="CQ30" s="1592"/>
      <c r="CR30" s="1594"/>
      <c r="CU30" s="1592"/>
      <c r="DA30" s="1592"/>
      <c r="DB30" s="1594"/>
      <c r="DE30" s="1592"/>
      <c r="DF30" s="1594"/>
      <c r="DI30" s="1592"/>
      <c r="DJ30" s="1602"/>
      <c r="DK30" s="1602"/>
      <c r="DL30" s="1590"/>
      <c r="DM30" s="1602"/>
      <c r="DN30" s="1594"/>
      <c r="DO30" s="1594"/>
      <c r="DP30" s="394"/>
      <c r="DQ30" s="1602"/>
      <c r="DR30" s="1597"/>
      <c r="DS30" s="1597"/>
      <c r="DT30" s="1415"/>
      <c r="DW30" s="1602"/>
      <c r="DX30" s="1597"/>
      <c r="DY30" s="1415"/>
      <c r="EC30" s="1602"/>
      <c r="ED30" s="1415"/>
      <c r="EH30" s="1597"/>
      <c r="EI30" s="1602"/>
      <c r="EJ30" s="1415"/>
      <c r="EN30" s="1597"/>
      <c r="EO30" s="1602"/>
      <c r="EP30" s="1415"/>
      <c r="ET30" s="1597"/>
      <c r="EU30" s="1602"/>
      <c r="EV30" s="1415"/>
      <c r="EZ30" s="1597"/>
      <c r="FA30" s="1602"/>
      <c r="FB30" s="1415"/>
      <c r="FF30" s="1597"/>
      <c r="FG30" s="1602"/>
      <c r="FH30" s="1415"/>
      <c r="FL30" s="1597"/>
      <c r="FM30" s="1602"/>
      <c r="FN30" s="1415"/>
      <c r="FR30" s="1597"/>
      <c r="FS30" s="1602"/>
      <c r="FT30" s="1415"/>
      <c r="FX30" s="1597"/>
      <c r="FY30" s="1602"/>
      <c r="FZ30" s="1415"/>
      <c r="GD30" s="1597"/>
      <c r="GE30" s="1602"/>
      <c r="GG30" s="1415"/>
      <c r="GJ30" s="1597"/>
      <c r="GK30" s="1602"/>
      <c r="GM30" s="1415"/>
      <c r="GO30" s="1415"/>
      <c r="GP30" s="1597"/>
      <c r="GQ30" s="1602"/>
      <c r="GS30" s="1415"/>
      <c r="GT30" s="1415"/>
      <c r="HA30" s="1835">
        <v>135</v>
      </c>
    </row>
    <row r="31" spans="1:211" ht="15" hidden="1" outlineLevel="1" collapsed="1" x14ac:dyDescent="0.15">
      <c r="A31" s="916">
        <f>IF(A30=0,0,ROUND(100*A29,0)&amp;"% CPU")</f>
        <v>0</v>
      </c>
      <c r="B31" s="917">
        <f>IF(A30&gt;0,IF(I30=$J$167,K29&amp;": "&amp;F30&amp;"x "&amp;B29&amp;" "&amp;C29&amp;" GB RAM",$K29&amp;": "&amp;$F30&amp;"x VM ("&amp;I29&amp;" core "&amp;C29&amp;" GB RAM) "&amp;Q29&amp;" "&amp;L28&amp;" MHz"),0)</f>
        <v>0</v>
      </c>
      <c r="C31" s="1609" t="str">
        <f>IF(I30=$H$189,I30,I28)</f>
        <v>Physical</v>
      </c>
      <c r="D31" s="918">
        <f>A28</f>
        <v>0</v>
      </c>
      <c r="E31" s="919">
        <f>IF(E30&gt;0,ROUND(E30*60/1000,0)&amp;"K TPH",0)</f>
        <v>0</v>
      </c>
      <c r="F31" s="920">
        <f>+L30</f>
        <v>0</v>
      </c>
      <c r="G31" s="919">
        <f>IF(G30&gt;0,ROUND(G30*60/1000,0)&amp;"K TPH",0)</f>
        <v>0</v>
      </c>
      <c r="H31" s="921" t="str">
        <f>H$23</f>
        <v>Minimum</v>
      </c>
      <c r="I31" s="1736">
        <f>IF(I30=$J$167,0,I28)</f>
        <v>0</v>
      </c>
      <c r="J31" s="2086">
        <f>IF(AND(O28="/"&amp;$N$4,J30=$H$192),IF(F30&gt;0,(F30-1)*A30/(60*$H$194),0),0)</f>
        <v>0</v>
      </c>
      <c r="K31" s="2086">
        <f>IF(E28&gt;0,D30/E28,0)</f>
        <v>0</v>
      </c>
      <c r="L31" s="2080">
        <f>IF($W29=$W$167,2,F30)</f>
        <v>0</v>
      </c>
      <c r="M31" s="3134">
        <f>IF(AND(S31&gt;0,I30=$H$189),1,0)</f>
        <v>0</v>
      </c>
      <c r="N31" s="3134">
        <f>IF(I30 =$H$191,IF(N29="/"&amp;$K$4,0,1),0)</f>
        <v>0</v>
      </c>
      <c r="O31" s="1618"/>
      <c r="P31" s="922"/>
      <c r="Q31" s="1737">
        <f>IF($A33&lt;0.9999, $A33/((1+$CJ$2*$A33*($L33-1))*(1-$A33)),200)</f>
        <v>0</v>
      </c>
      <c r="R31" s="1618"/>
      <c r="S31" s="3118">
        <f>IF(LEFT(B29,3)=S29,VLOOKUP(B29,HWRange,10,FALSE),0)</f>
        <v>0</v>
      </c>
      <c r="T31" s="940" t="str">
        <f>U31</f>
        <v>Data</v>
      </c>
      <c r="U31" s="1595" t="s">
        <v>329</v>
      </c>
      <c r="V31" s="1918">
        <f>IF(A29&gt;0,B31&amp;" "&amp;C31&amp;IF(B31="",""," GB RAM"),0)</f>
        <v>0</v>
      </c>
      <c r="W31" s="1819"/>
      <c r="X31" s="1819"/>
      <c r="Y31" s="1819"/>
      <c r="Z31" s="1819"/>
      <c r="AA31" s="1819"/>
      <c r="AB31" s="1819"/>
      <c r="AC31" s="1819"/>
      <c r="AD31" s="1819"/>
      <c r="AE31" s="1919">
        <f>IF(A29&gt;0,F29,0)</f>
        <v>0</v>
      </c>
      <c r="AF31" s="2876">
        <f>IF(A28=0,0,IF(LEFT(B29,3)=S29,VLOOKUP(B29,HWRange,12,FALSE),0)*F30)</f>
        <v>0</v>
      </c>
      <c r="AG31" s="2877" t="str">
        <f>IF(AF31&gt;0,S29&amp;" 3-yr Pricing","")</f>
        <v/>
      </c>
      <c r="AH31" s="2878"/>
      <c r="AI31" s="1591"/>
      <c r="AJ31" s="1591"/>
      <c r="AK31" s="1591"/>
      <c r="AL31" s="1591"/>
      <c r="AM31" s="1591"/>
      <c r="AN31" s="1591"/>
      <c r="AO31" s="1591"/>
      <c r="AP31" s="1591"/>
      <c r="AQ31" s="1591"/>
      <c r="AR31" s="1591"/>
      <c r="AS31" s="1591"/>
      <c r="AT31" s="1591"/>
      <c r="AU31" s="1591"/>
      <c r="AV31" s="1591"/>
      <c r="AX31" s="1601"/>
      <c r="AY31" s="1601"/>
      <c r="BC31" s="1614"/>
      <c r="BF31" s="1592"/>
      <c r="BG31" s="1601"/>
      <c r="BH31" s="1601"/>
      <c r="BI31" s="1601"/>
      <c r="BJ31" s="1601"/>
      <c r="BK31" s="1601"/>
      <c r="BL31" s="1601"/>
      <c r="BM31" s="1601"/>
      <c r="BN31" s="1601"/>
      <c r="BO31" s="1601"/>
      <c r="BP31" s="1619"/>
      <c r="BQ31" s="1619"/>
      <c r="BR31" s="1619"/>
      <c r="BS31" s="1619"/>
      <c r="BT31" s="1619"/>
      <c r="BU31" s="1619"/>
      <c r="BV31" s="1619"/>
      <c r="BW31" s="1619"/>
      <c r="BX31" s="1619"/>
      <c r="BY31" s="1619"/>
      <c r="BZ31" s="1619"/>
      <c r="CA31" s="1619"/>
      <c r="CB31" s="1619"/>
      <c r="CC31" s="1619"/>
      <c r="CD31" s="1619"/>
      <c r="CE31" s="1619"/>
      <c r="CF31" s="1619"/>
      <c r="CG31" s="3403">
        <f>B31</f>
        <v>0</v>
      </c>
      <c r="CH31" s="3404"/>
      <c r="CI31" s="3404"/>
      <c r="CJ31" s="3404"/>
      <c r="CK31" s="2723"/>
      <c r="CL31" s="1592"/>
      <c r="CM31" s="1594"/>
      <c r="CN31" s="1592"/>
      <c r="CQ31" s="1592"/>
      <c r="CR31" s="1594"/>
      <c r="CU31" s="1592"/>
      <c r="DA31" s="1592"/>
      <c r="DB31" s="1594"/>
      <c r="DE31" s="1592"/>
      <c r="DF31" s="1594"/>
      <c r="DI31" s="1592"/>
      <c r="DJ31" s="1614"/>
      <c r="DK31" s="1614"/>
      <c r="DL31" s="1614"/>
      <c r="DM31" s="1614"/>
      <c r="DN31" s="1594"/>
      <c r="DO31" s="1594"/>
      <c r="DP31" s="394"/>
      <c r="DQ31" s="1614"/>
      <c r="DR31" s="1597"/>
      <c r="DS31" s="1597"/>
      <c r="DT31" s="1415"/>
      <c r="DW31" s="1614"/>
      <c r="DX31" s="1597"/>
      <c r="DY31" s="1415"/>
      <c r="EC31" s="1614"/>
      <c r="ED31" s="1415"/>
      <c r="EH31" s="1597"/>
      <c r="EI31" s="1614"/>
      <c r="EJ31" s="1415"/>
      <c r="EN31" s="1597"/>
      <c r="EO31" s="1614"/>
      <c r="EP31" s="1415"/>
      <c r="ET31" s="1597"/>
      <c r="EU31" s="1614"/>
      <c r="EV31" s="1415"/>
      <c r="EZ31" s="1597"/>
      <c r="FA31" s="1614"/>
      <c r="FB31" s="1415"/>
      <c r="FF31" s="1597"/>
      <c r="FG31" s="1614"/>
      <c r="FH31" s="1415"/>
      <c r="FL31" s="1597"/>
      <c r="FM31" s="1614"/>
      <c r="FN31" s="1415"/>
      <c r="FR31" s="1597"/>
      <c r="FS31" s="1614"/>
      <c r="FT31" s="1415"/>
      <c r="FX31" s="1597"/>
      <c r="FY31" s="1614"/>
      <c r="FZ31" s="1415"/>
      <c r="GD31" s="1597"/>
      <c r="GE31" s="1614"/>
      <c r="GG31" s="1415"/>
      <c r="GJ31" s="1597"/>
      <c r="GK31" s="1614"/>
      <c r="GM31" s="1415"/>
      <c r="GO31" s="1415"/>
      <c r="GP31" s="1597"/>
      <c r="GQ31" s="1614"/>
      <c r="GS31" s="1415"/>
      <c r="GT31" s="1415"/>
      <c r="HA31" s="1835">
        <v>90</v>
      </c>
    </row>
    <row r="32" spans="1:211" ht="17" hidden="1" outlineLevel="2" thickBot="1" x14ac:dyDescent="0.25">
      <c r="A32" s="2823">
        <f>IF(O34&gt;0,A34/O34,0)</f>
        <v>0</v>
      </c>
      <c r="B32" s="552" t="s">
        <v>129</v>
      </c>
      <c r="C32" s="136" t="str">
        <f>VLOOKUP(B33,Hardware!$A$2:$I$632,9,FALSE)</f>
        <v>Intel</v>
      </c>
      <c r="D32" s="137" t="str">
        <f>D28</f>
        <v>Arc18=</v>
      </c>
      <c r="E32" s="138">
        <f>IF(DY$22=0,0,IF(EC$22&gt;0,EC$22/DZ$22))</f>
        <v>0</v>
      </c>
      <c r="F32" s="139" t="s">
        <v>328</v>
      </c>
      <c r="G32" s="1585"/>
      <c r="H32" s="1586">
        <v>0.8</v>
      </c>
      <c r="I32" s="1739" t="str">
        <f>I28</f>
        <v>Host01</v>
      </c>
      <c r="J32" s="207">
        <f>IF(K32&gt;0,K32,IF(I34=Calculator!$H$158,1, IF(OR(R32=Calculator!$H$162,R32=Calculator!$H$163), VLOOKUP(I34,VAdjust,2,FALSE),1)))</f>
        <v>1</v>
      </c>
      <c r="K32" s="2456"/>
      <c r="L32" s="722">
        <f>VLOOKUP(B33,HWRange,5,FALSE)</f>
        <v>3500</v>
      </c>
      <c r="M32" s="464" t="str">
        <f>IF(ISERROR(VLOOKUP($K33,$L$5:$L$19,1,FALSE)),"","/"&amp;$L$4)</f>
        <v/>
      </c>
      <c r="N32" s="257" t="str">
        <f>IF(ISERROR(VLOOKUP($K33,$M$5:$M$19,1,FALSE)),IF(ISERROR(VLOOKUP($K33,$M$5:$M$19,1,FALSE)),"","/"&amp;$M$4),"/"&amp;$M$4)</f>
        <v/>
      </c>
      <c r="O32" s="465" t="str">
        <f>IF(ISERROR(VLOOKUP($K33,$N$5:$N$19,1,FALSE)),IF(ISERROR(VLOOKUP($K33,$N$5:$N$19,1,FALSE)),"","/"&amp;$N$4),"/"&amp;$N$4)</f>
        <v/>
      </c>
      <c r="P32" s="1587">
        <f>IF(A33=0,0,IF(P34&gt;0,1000*C33/C34,1000*C33/C34))/2</f>
        <v>0</v>
      </c>
      <c r="Q32" s="1734">
        <f>IF(I34=$J$167,0,VLOOKUP(I32,HostArray,2,FALSE))</f>
        <v>0</v>
      </c>
      <c r="R32" s="1588" t="s">
        <v>412</v>
      </c>
      <c r="S32" s="3071" t="str">
        <f>IF(S33=LEFT(B33,3),_xlfn.NUMBERVALUE(MID(B33,FIND("(",B33,1)+1,FIND(")",B33,1)-FIND("(",B33,1)-3)),"")</f>
        <v/>
      </c>
      <c r="T32" s="135">
        <v>10000</v>
      </c>
      <c r="U32" s="1616">
        <f>IF(E32&gt;0,IF(AND(M34="",N34=""),EA$22/F34,EB$22/F34),0)</f>
        <v>0</v>
      </c>
      <c r="V32" s="1822">
        <f t="shared" ref="V32:AD32" si="12">IF(V34&gt;0,IF($A33&gt;0.5,$A33,""),0)</f>
        <v>0</v>
      </c>
      <c r="W32" s="1823">
        <f>IF(AND($W33=W$167,$H35=I$191),W$168,IF(W34&gt;0,IF($A33&gt;0.5,$A33,""),0))</f>
        <v>0</v>
      </c>
      <c r="X32" s="1823">
        <f t="shared" si="12"/>
        <v>0</v>
      </c>
      <c r="Y32" s="1823">
        <f t="shared" si="12"/>
        <v>0</v>
      </c>
      <c r="Z32" s="1823">
        <f t="shared" si="12"/>
        <v>0</v>
      </c>
      <c r="AA32" s="1823">
        <f t="shared" si="12"/>
        <v>0</v>
      </c>
      <c r="AB32" s="1823">
        <f t="shared" si="12"/>
        <v>0</v>
      </c>
      <c r="AC32" s="1823">
        <f t="shared" si="12"/>
        <v>0</v>
      </c>
      <c r="AD32" s="1824">
        <f t="shared" si="12"/>
        <v>0</v>
      </c>
      <c r="AE32" s="1825">
        <f>L35</f>
        <v>0</v>
      </c>
      <c r="AF32" s="2977" t="str">
        <f>IF(I34=$H$191,$AF$22,"")</f>
        <v/>
      </c>
      <c r="AG32" s="1600"/>
      <c r="AH32" s="1600"/>
      <c r="AI32" s="1600"/>
      <c r="AJ32" s="1600"/>
      <c r="AK32" s="1600"/>
      <c r="AL32" s="1600"/>
      <c r="AM32" s="1600"/>
      <c r="AN32" s="1600"/>
      <c r="AO32" s="1600"/>
      <c r="AP32" s="1600"/>
      <c r="AQ32" s="1600"/>
      <c r="AR32" s="1600"/>
      <c r="AS32" s="1600"/>
      <c r="AT32" s="1600"/>
      <c r="AU32" s="1600"/>
      <c r="AV32" s="1600"/>
      <c r="AX32" s="2"/>
      <c r="AY32" s="2"/>
      <c r="BC32" s="1"/>
      <c r="BF32" s="1592"/>
      <c r="BG32" s="1593"/>
      <c r="BH32" s="1593"/>
      <c r="BI32" s="1593"/>
      <c r="BJ32" s="1593"/>
      <c r="BK32" s="1593"/>
      <c r="BL32" s="1593"/>
      <c r="BM32" s="1593"/>
      <c r="BN32" s="1593"/>
      <c r="BO32" s="1593"/>
      <c r="BP32" s="889"/>
      <c r="BQ32" s="889"/>
      <c r="BR32" s="889"/>
      <c r="BS32" s="889"/>
      <c r="BT32" s="889"/>
      <c r="BU32" s="889"/>
      <c r="BV32" s="1615"/>
      <c r="BW32" s="1615"/>
      <c r="BX32" s="1615"/>
      <c r="BY32" s="1615"/>
      <c r="BZ32" s="1615"/>
      <c r="CA32" s="1615"/>
      <c r="CB32" s="1615"/>
      <c r="CC32" s="1615"/>
      <c r="CD32" s="1615"/>
      <c r="CE32" s="1615"/>
      <c r="CF32" s="1615"/>
      <c r="CG32" s="1689">
        <f t="shared" ref="CG32:CH34" si="13">A32</f>
        <v>0</v>
      </c>
      <c r="CH32" s="1690" t="str">
        <f t="shared" si="13"/>
        <v>Tier03: Platform Tier 03</v>
      </c>
      <c r="CI32" s="1179" t="str">
        <f>F32</f>
        <v>SRint2006</v>
      </c>
      <c r="CJ32" s="2718"/>
      <c r="CK32" s="2724">
        <f>T32</f>
        <v>10000</v>
      </c>
      <c r="CL32" s="1592"/>
      <c r="CM32" s="1594"/>
      <c r="CN32" s="1592"/>
      <c r="CQ32" s="1592"/>
      <c r="CR32" s="1594"/>
      <c r="CU32" s="1592"/>
      <c r="DA32" s="1592"/>
      <c r="DB32" s="1594"/>
      <c r="DE32" s="1592"/>
      <c r="DF32" s="1594"/>
      <c r="DI32" s="1592"/>
      <c r="DJ32" s="1"/>
      <c r="DK32" s="1"/>
      <c r="DL32" s="1590"/>
      <c r="DM32" s="1"/>
      <c r="DN32" s="1594"/>
      <c r="DO32" s="1595"/>
      <c r="DP32" s="394"/>
      <c r="DQ32" s="1"/>
      <c r="DR32" s="1593"/>
      <c r="DS32" s="1593"/>
      <c r="DT32" s="1415"/>
      <c r="DW32" s="1"/>
      <c r="DX32" s="1593"/>
      <c r="DY32" s="1415"/>
      <c r="EC32" s="1"/>
      <c r="ED32" s="1415"/>
      <c r="EH32" s="1593"/>
      <c r="EI32" s="1"/>
      <c r="EJ32" s="1415"/>
      <c r="EN32" s="1593"/>
      <c r="EO32" s="1"/>
      <c r="EP32" s="1415"/>
      <c r="ET32" s="1593"/>
      <c r="EU32" s="1"/>
      <c r="EV32" s="1415"/>
      <c r="EZ32" s="1593"/>
      <c r="FA32" s="1"/>
      <c r="FB32" s="1415"/>
      <c r="FF32" s="1593"/>
      <c r="FG32" s="1"/>
      <c r="FH32" s="1415"/>
      <c r="FL32" s="1593"/>
      <c r="FM32" s="1"/>
      <c r="FN32" s="1415"/>
      <c r="FR32" s="1593"/>
      <c r="FS32" s="1"/>
      <c r="FT32" s="1415"/>
      <c r="FX32" s="1593"/>
      <c r="FY32" s="1"/>
      <c r="FZ32" s="1415"/>
      <c r="GD32" s="1593"/>
      <c r="GE32" s="1"/>
      <c r="GG32" s="1415"/>
      <c r="GJ32" s="1593"/>
      <c r="GK32" s="1"/>
      <c r="GM32" s="1415"/>
      <c r="GO32" s="1415"/>
      <c r="GP32" s="1593"/>
      <c r="GQ32" s="1"/>
      <c r="GS32" s="1415"/>
      <c r="GT32" s="1415"/>
      <c r="HA32" s="1835">
        <v>45</v>
      </c>
    </row>
    <row r="33" spans="1:209" ht="15" hidden="1" outlineLevel="2" x14ac:dyDescent="0.2">
      <c r="A33" s="2824">
        <f>IF(E32=0,0,A34/G34)</f>
        <v>0</v>
      </c>
      <c r="B33" s="156" t="str">
        <f>B29</f>
        <v>Xeon E5-2637v4 4 core (1 chip) 3500 MHz</v>
      </c>
      <c r="C33" s="206">
        <f>ROUND(IF(P34&gt;0,2*P34*C34/1000, IF(L34=0,0, IF(I34=Calculator!$H$160, Calculator!$J$160*(1+L33), IF(K34=4, 4*H32*G33/13.4,L33*Calculator!$J$151)))),0)</f>
        <v>0</v>
      </c>
      <c r="D33" s="205">
        <f>F34*L33</f>
        <v>0</v>
      </c>
      <c r="E33" s="70">
        <f>IF(I34=J167,F34*VLOOKUP(B33,HWRange,8,FALSE),"Virtual Server")</f>
        <v>0</v>
      </c>
      <c r="F33" s="71">
        <f>IF(I34=$J$167,VLOOKUP(B33,HWRange,7,FALSE),IF(I33&gt;VLOOKUP(B33,HWRange,3,FALSE),VLOOKUP(B33,HWRange,7,FALSE)*VLOOKUP(B33,HWRange,3,FALSE)/I33,VLOOKUP(B33,HWRange,7,FALSE)))</f>
        <v>60</v>
      </c>
      <c r="G33" s="157">
        <f>IF(I34=$J$167,VLOOKUP(B33,HWRange,6,FALSE),VLOOKUP(B33,HWRange,6,FALSE)*I33/VLOOKUP(B33,HWRange,3,FALSE))</f>
        <v>240</v>
      </c>
      <c r="H33" s="161" t="s">
        <v>365</v>
      </c>
      <c r="I33" s="1247">
        <v>2</v>
      </c>
      <c r="J33" s="1881"/>
      <c r="K33" s="756" t="str">
        <f>A171</f>
        <v>Tier03</v>
      </c>
      <c r="L33" s="491">
        <f>IF(I34=$J$167,VLOOKUP(B33,HWRange,3,FALSE),I33)</f>
        <v>4</v>
      </c>
      <c r="M33" s="466" t="str">
        <f>IF(ISERROR(VLOOKUP($K33,$J$5:$J$19,1,FALSE)),IF(ISERROR(VLOOKUP($K33,$J$5:$J$19,1,FALSE)),"","/"&amp;$J$4),"/"&amp;$J$4)</f>
        <v/>
      </c>
      <c r="N33" s="467" t="str">
        <f>IF(ISERROR(VLOOKUP($K33,$K$5:$K$19,1,FALSE)),"","/"&amp;$K$4)</f>
        <v/>
      </c>
      <c r="O33" s="468">
        <f>IF(AND(O32="",M34=""),0,D33)</f>
        <v>0</v>
      </c>
      <c r="P33" s="1596" t="str">
        <f>IF(NOT(M33=""),Calculator!$A$158,IF(NOT(N33=""),Calculator!$B$158,IF(NOT(O32=""), Calculator!$C$158,Calculator!$G$158)))</f>
        <v>WindowsLinuxSolarisAIXHPUX</v>
      </c>
      <c r="Q33" s="1246" t="str">
        <f>VLOOKUP(B33,HWRange,2,FALSE)</f>
        <v>Xeon E5-2637v4</v>
      </c>
      <c r="R33" s="1187">
        <f>F34*VLOOKUP(B33,HWRange,8,FALSE)</f>
        <v>0</v>
      </c>
      <c r="S33" s="3070">
        <f>IF(OR(LEFT(B33,3)="AMI",LEFT(B33,3)="AZI"),LEFT(B33,3),0)</f>
        <v>0</v>
      </c>
      <c r="T33" s="1620" t="s">
        <v>366</v>
      </c>
      <c r="U33" s="1599" t="s">
        <v>307</v>
      </c>
      <c r="V33" s="822">
        <f t="shared" ref="V33:AD33" si="14">IF(V34=0,0,IF($A33&lt;0.5,$A33,"+"))</f>
        <v>0</v>
      </c>
      <c r="W33" s="2063">
        <f>IF(AND($N34="/"&amp;$Q$4,$H35=I$191,$H34=0),W$167,IF(W34=0,0,IF($A33&lt;0.5,$A33,"+")))</f>
        <v>0</v>
      </c>
      <c r="X33" s="318">
        <f t="shared" si="14"/>
        <v>0</v>
      </c>
      <c r="Y33" s="318">
        <f t="shared" si="14"/>
        <v>0</v>
      </c>
      <c r="Z33" s="318">
        <f t="shared" si="14"/>
        <v>0</v>
      </c>
      <c r="AA33" s="318">
        <f t="shared" si="14"/>
        <v>0</v>
      </c>
      <c r="AB33" s="318">
        <f t="shared" si="14"/>
        <v>0</v>
      </c>
      <c r="AC33" s="318">
        <f t="shared" si="14"/>
        <v>0</v>
      </c>
      <c r="AD33" s="823">
        <f t="shared" si="14"/>
        <v>0</v>
      </c>
      <c r="AE33" s="1185">
        <f>D33</f>
        <v>0</v>
      </c>
      <c r="AF33" s="2998">
        <f>AF$23</f>
        <v>24</v>
      </c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X33" s="1601"/>
      <c r="AY33" s="1601"/>
      <c r="BC33" s="1602"/>
      <c r="BF33" s="1592"/>
      <c r="BG33" s="1601"/>
      <c r="BH33" s="1601"/>
      <c r="BI33" s="1601"/>
      <c r="BJ33" s="1601"/>
      <c r="BK33" s="1601"/>
      <c r="BL33" s="1601"/>
      <c r="BM33" s="1601"/>
      <c r="BN33" s="1601"/>
      <c r="BO33" s="1601"/>
      <c r="BP33" s="885">
        <f>IF(A33&gt;0,1,0)</f>
        <v>0</v>
      </c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1691">
        <f t="shared" si="13"/>
        <v>0</v>
      </c>
      <c r="CH33" s="1590" t="str">
        <f t="shared" si="13"/>
        <v>Xeon E5-2637v4 4 core (1 chip) 3500 MHz</v>
      </c>
      <c r="CI33" s="1180">
        <f>F33</f>
        <v>60</v>
      </c>
      <c r="CJ33" s="1180">
        <f>G33</f>
        <v>240</v>
      </c>
      <c r="CK33" s="2723"/>
      <c r="CL33" s="1592"/>
      <c r="CM33" s="1594"/>
      <c r="CN33" s="1592"/>
      <c r="CQ33" s="1592"/>
      <c r="CR33" s="1594"/>
      <c r="CU33" s="1592"/>
      <c r="DA33" s="1592"/>
      <c r="DB33" s="1594"/>
      <c r="DE33" s="1592"/>
      <c r="DF33" s="1594"/>
      <c r="DI33" s="1592"/>
      <c r="DJ33" s="1602"/>
      <c r="DK33" s="1602"/>
      <c r="DL33" s="1590"/>
      <c r="DM33" s="1602"/>
      <c r="DN33" s="1594"/>
      <c r="DO33" s="1594"/>
      <c r="DP33" s="394"/>
      <c r="DQ33" s="1602"/>
      <c r="DR33" s="1594"/>
      <c r="DS33" s="1594"/>
      <c r="DT33" s="1415"/>
      <c r="DW33" s="1602"/>
      <c r="DX33" s="1594"/>
      <c r="DY33" s="1415"/>
      <c r="EC33" s="1602"/>
      <c r="ED33" s="1415"/>
      <c r="EH33" s="1594"/>
      <c r="EI33" s="1602"/>
      <c r="EJ33" s="1415"/>
      <c r="EN33" s="1594"/>
      <c r="EO33" s="1602"/>
      <c r="EP33" s="1415"/>
      <c r="ET33" s="1594"/>
      <c r="EU33" s="1602"/>
      <c r="EV33" s="1415"/>
      <c r="EZ33" s="1594"/>
      <c r="FA33" s="1602"/>
      <c r="FB33" s="1415"/>
      <c r="FF33" s="1594"/>
      <c r="FG33" s="1602"/>
      <c r="FH33" s="1415"/>
      <c r="FL33" s="1594"/>
      <c r="FM33" s="1602"/>
      <c r="FN33" s="1415"/>
      <c r="FR33" s="1594"/>
      <c r="FS33" s="1602"/>
      <c r="FT33" s="1415"/>
      <c r="FX33" s="1594"/>
      <c r="FY33" s="1602"/>
      <c r="FZ33" s="1415"/>
      <c r="GD33" s="1594"/>
      <c r="GE33" s="1602"/>
      <c r="GG33" s="1415"/>
      <c r="GJ33" s="1594"/>
      <c r="GK33" s="1602"/>
      <c r="GM33" s="1415"/>
      <c r="GO33" s="1415"/>
      <c r="GP33" s="1594"/>
      <c r="GQ33" s="1602"/>
      <c r="GS33" s="1415"/>
      <c r="GT33" s="1415"/>
      <c r="HA33" s="1835">
        <v>24</v>
      </c>
    </row>
    <row r="34" spans="1:209" ht="14" hidden="1" outlineLevel="2" thickBot="1" x14ac:dyDescent="0.2">
      <c r="A34" s="2825">
        <f>IF(E32=0,0,DZ$22)</f>
        <v>0</v>
      </c>
      <c r="B34" s="3076" t="str">
        <f>"Install ("&amp;C35&amp;M32&amp;N32&amp;O32&amp;M33&amp;N33&amp;M34&amp;N34&amp;")"</f>
        <v>Install (Physical)</v>
      </c>
      <c r="C34" s="258">
        <f>IF(E32=0,0, IF(I34=Calculator!$H$160,1,E34/O34)*H32)</f>
        <v>0</v>
      </c>
      <c r="D34" s="140">
        <f>IF(J34=$H$192,J35,0)+IF(E32=0,0,J32*E32)*($BO$2/F33)</f>
        <v>0</v>
      </c>
      <c r="E34" s="141">
        <f>IF(E32=0,0,L33*60/D34)</f>
        <v>0</v>
      </c>
      <c r="F34" s="142">
        <f>IF(L34=0,0,IF(H34,H34,IF(I34=Calculator!$H$160,A32,IF(N34="/DBMS",1,IF(H35=$I$191,IF(N33="",IF(L34=1,2,L34),L34+1),L34)))))</f>
        <v>0</v>
      </c>
      <c r="G34" s="158">
        <f>IF(E32=0,0,IF(F34&gt;0,+E34*F34,"Nodes?"))</f>
        <v>0</v>
      </c>
      <c r="H34" s="143"/>
      <c r="I34" s="1248" t="s">
        <v>408</v>
      </c>
      <c r="J34" s="2819" t="str">
        <f>J30</f>
        <v xml:space="preserve">Siloed </v>
      </c>
      <c r="K34" s="1604">
        <f>IF(AND(N34="",N33=""),2,4)</f>
        <v>2</v>
      </c>
      <c r="L34" s="1605">
        <f>IF(H34,H34,IF(E32=0,0,IF(A34&gt;0,+INT(A34/(E34*H32))+1,0)))</f>
        <v>0</v>
      </c>
      <c r="M34" s="469" t="str">
        <f>IF(ISERROR(VLOOKUP($K33,$O$5:$O$19,1,FALSE)),IF(ISERROR(VLOOKUP($K33,$O$5:$O$19,1,FALSE)),"","/"&amp;$O$4),"/"&amp;$O$4)</f>
        <v/>
      </c>
      <c r="N34" s="470" t="str">
        <f>IF(ISERROR(VLOOKUP($K33,$Q$5:$Q$19,1,FALSE)),IF(ISERROR(VLOOKUP($K33,$Q$5:$Q$19,1,FALSE)),"","/"&amp;$Q$4),"/"&amp;$Q$4)</f>
        <v/>
      </c>
      <c r="O34" s="471">
        <f>IF($DY$22&gt;0,$DZ$22/$DY$22,0)</f>
        <v>0</v>
      </c>
      <c r="P34" s="886"/>
      <c r="Q34" s="1714">
        <f>D33/VLOOKUP(B33,HWRange,3,FALSE)</f>
        <v>0</v>
      </c>
      <c r="R34" s="1877">
        <f>P171</f>
        <v>0</v>
      </c>
      <c r="S34" s="1982">
        <f>IF(E32=0,0,H32*A32/A33)</f>
        <v>0</v>
      </c>
      <c r="T34" s="135">
        <v>10000</v>
      </c>
      <c r="U34" s="1608">
        <f>IF(E32=0,0,IF(U35=$I$192,U32,EB$22/F34))</f>
        <v>0</v>
      </c>
      <c r="V34" s="1826">
        <f>IF(G34&gt;0,1,0)</f>
        <v>0</v>
      </c>
      <c r="W34" s="1827">
        <f t="shared" ref="W34:AC34" si="15">IF(V34&gt;0,IF($F34&gt;V34,V34+1,0),0)</f>
        <v>0</v>
      </c>
      <c r="X34" s="1827">
        <f t="shared" si="15"/>
        <v>0</v>
      </c>
      <c r="Y34" s="1827">
        <f t="shared" si="15"/>
        <v>0</v>
      </c>
      <c r="Z34" s="1827">
        <f t="shared" si="15"/>
        <v>0</v>
      </c>
      <c r="AA34" s="1827">
        <f t="shared" si="15"/>
        <v>0</v>
      </c>
      <c r="AB34" s="1827">
        <f t="shared" si="15"/>
        <v>0</v>
      </c>
      <c r="AC34" s="1827">
        <f t="shared" si="15"/>
        <v>0</v>
      </c>
      <c r="AD34" s="1828">
        <f>IF(AC34&gt;0,IF($F34&gt;AC34,"…"&amp;$F34,0),0)</f>
        <v>0</v>
      </c>
      <c r="AE34" s="1829">
        <f>A33</f>
        <v>0</v>
      </c>
      <c r="AF34" s="2978">
        <f>IF(AF33="","",IF(H34=0,0,H34/AF33+IF(H35=$I$191,1,0)))</f>
        <v>0</v>
      </c>
      <c r="AG34" s="1591"/>
      <c r="AH34" s="1591"/>
      <c r="AI34" s="1591"/>
      <c r="AJ34" s="1591"/>
      <c r="AK34" s="1591"/>
      <c r="AL34" s="1591"/>
      <c r="AM34" s="1591"/>
      <c r="AN34" s="1591"/>
      <c r="AO34" s="1591"/>
      <c r="AP34" s="1591"/>
      <c r="AQ34" s="1591"/>
      <c r="AR34" s="1591"/>
      <c r="AS34" s="1591"/>
      <c r="AT34" s="1591"/>
      <c r="AU34" s="1591"/>
      <c r="AV34" s="1591"/>
      <c r="BC34" s="1602"/>
      <c r="BF34" s="1592"/>
      <c r="BG34" s="1601"/>
      <c r="BH34" s="1601"/>
      <c r="BI34" s="1601"/>
      <c r="BJ34" s="1601"/>
      <c r="BK34" s="1601"/>
      <c r="BL34" s="1601"/>
      <c r="BM34" s="1601"/>
      <c r="BN34" s="1601"/>
      <c r="BO34" s="1601"/>
      <c r="BP34" s="1606"/>
      <c r="BQ34" s="1606"/>
      <c r="BR34" s="1606"/>
      <c r="BS34" s="1606"/>
      <c r="BT34" s="1606"/>
      <c r="BU34" s="1606"/>
      <c r="BV34" s="1606"/>
      <c r="BW34" s="1606"/>
      <c r="BX34" s="1606"/>
      <c r="BY34" s="1606"/>
      <c r="BZ34" s="1606"/>
      <c r="CA34" s="1606"/>
      <c r="CB34" s="1606"/>
      <c r="CC34" s="1606"/>
      <c r="CD34" s="1606"/>
      <c r="CE34" s="1606"/>
      <c r="CF34" s="1606"/>
      <c r="CG34" s="1692">
        <f t="shared" si="13"/>
        <v>0</v>
      </c>
      <c r="CH34" s="1693" t="str">
        <f t="shared" si="13"/>
        <v>Install (Physical)</v>
      </c>
      <c r="CI34" s="1181">
        <f>F34</f>
        <v>0</v>
      </c>
      <c r="CJ34" s="2719">
        <f>D33</f>
        <v>0</v>
      </c>
      <c r="CK34" s="2724">
        <f>T34</f>
        <v>10000</v>
      </c>
      <c r="CL34" s="1592"/>
      <c r="CM34" s="1594"/>
      <c r="CN34" s="1592"/>
      <c r="CQ34" s="1592"/>
      <c r="CR34" s="1594"/>
      <c r="CU34" s="1592"/>
      <c r="DA34" s="1592"/>
      <c r="DB34" s="1594"/>
      <c r="DE34" s="1592"/>
      <c r="DF34" s="1594"/>
      <c r="DI34" s="1592"/>
      <c r="DJ34" s="1602"/>
      <c r="DK34" s="1602"/>
      <c r="DL34" s="1590"/>
      <c r="DM34" s="1602"/>
      <c r="DN34" s="1594"/>
      <c r="DO34" s="1594"/>
      <c r="DP34" s="394"/>
      <c r="DQ34" s="1602"/>
      <c r="DR34" s="1597"/>
      <c r="DS34" s="1597"/>
      <c r="DT34" s="1415"/>
      <c r="DW34" s="1602"/>
      <c r="DX34" s="1597"/>
      <c r="DY34" s="1415"/>
      <c r="EC34" s="1602"/>
      <c r="ED34" s="1415"/>
      <c r="EH34" s="1597"/>
      <c r="EI34" s="1602"/>
      <c r="EJ34" s="1415"/>
      <c r="EN34" s="1597"/>
      <c r="EO34" s="1602"/>
      <c r="EP34" s="1415"/>
      <c r="ET34" s="1597"/>
      <c r="EU34" s="1602"/>
      <c r="EV34" s="1415"/>
      <c r="EZ34" s="1597"/>
      <c r="FA34" s="1602"/>
      <c r="FB34" s="1415"/>
      <c r="FF34" s="1597"/>
      <c r="FG34" s="1602"/>
      <c r="FH34" s="1415"/>
      <c r="FL34" s="1597"/>
      <c r="FM34" s="1602"/>
      <c r="FN34" s="1415"/>
      <c r="FR34" s="1597"/>
      <c r="FS34" s="1602"/>
      <c r="FT34" s="1415"/>
      <c r="FX34" s="1597"/>
      <c r="FY34" s="1602"/>
      <c r="FZ34" s="1415"/>
      <c r="GD34" s="1597"/>
      <c r="GE34" s="1602"/>
      <c r="GG34" s="1415"/>
      <c r="GJ34" s="1597"/>
      <c r="GK34" s="1602"/>
      <c r="GM34" s="1415"/>
      <c r="GO34" s="1415"/>
      <c r="GP34" s="1597"/>
      <c r="GQ34" s="1602"/>
      <c r="GS34" s="1415"/>
      <c r="GT34" s="1415"/>
      <c r="HA34" s="1835">
        <v>18</v>
      </c>
    </row>
    <row r="35" spans="1:209" ht="15" hidden="1" outlineLevel="1" collapsed="1" x14ac:dyDescent="0.15">
      <c r="A35" s="916">
        <f>IF(A34=0,0,ROUND(100*A33,0)&amp;"% CPU")</f>
        <v>0</v>
      </c>
      <c r="B35" s="917">
        <f>IF(A34&gt;0,IF(I34=$J$167,K33&amp;": "&amp;F34&amp;"x "&amp;B33&amp;" "&amp;C33&amp;" GB RAM",$K33&amp;": "&amp;$F34&amp;"x VM ("&amp;I33&amp;" core "&amp;C33&amp;" GB RAM) "&amp;Q33&amp;" "&amp;L32&amp;" MHz"),0)</f>
        <v>0</v>
      </c>
      <c r="C35" s="1609" t="str">
        <f>IF(I34=$H$189,I34,I32)</f>
        <v>Physical</v>
      </c>
      <c r="D35" s="918">
        <f>A32</f>
        <v>0</v>
      </c>
      <c r="E35" s="919">
        <f>IF(E34&gt;0,ROUND(E34*60/1000,0)&amp;"K TPH",0)</f>
        <v>0</v>
      </c>
      <c r="F35" s="920">
        <f>+L34</f>
        <v>0</v>
      </c>
      <c r="G35" s="919">
        <f>IF(G34&gt;0,ROUND(G34*60/1000,0)&amp;"K TPH",0)</f>
        <v>0</v>
      </c>
      <c r="H35" s="921" t="str">
        <f>H$23</f>
        <v>Minimum</v>
      </c>
      <c r="I35" s="1736">
        <f>IF(I34=$J$167,0,I32)</f>
        <v>0</v>
      </c>
      <c r="J35" s="2086">
        <f>IF(AND(O32="/"&amp;$N$4,J34=$H$192),IF(F34&gt;0,(F34-1)*A34/(60*$H$194),0),0)</f>
        <v>0</v>
      </c>
      <c r="K35" s="2086">
        <f>IF(E32&gt;0,D34/E32,0)</f>
        <v>0</v>
      </c>
      <c r="L35" s="2080">
        <f>IF($W33=$W$167,2,F34)</f>
        <v>0</v>
      </c>
      <c r="M35" s="3134">
        <f>IF(AND(S35&gt;0,I34=$H$189),1,0)</f>
        <v>0</v>
      </c>
      <c r="N35" s="1618"/>
      <c r="O35" s="1618"/>
      <c r="P35" s="922"/>
      <c r="Q35" s="1737">
        <f>IF($A37&lt;0.9999, $A37/((1+$CJ$2*$A37*($L37-1))*(1-$A37)),200)</f>
        <v>0</v>
      </c>
      <c r="R35" s="1618"/>
      <c r="S35" s="3118">
        <f>IF(LEFT(B33,3)=S33,VLOOKUP(B33,HWRange,10,FALSE),0)</f>
        <v>0</v>
      </c>
      <c r="T35" s="940" t="str">
        <f>U35</f>
        <v>Data</v>
      </c>
      <c r="U35" s="1595" t="s">
        <v>329</v>
      </c>
      <c r="V35" s="1918">
        <f>IF(A33&gt;0,B35&amp;" "&amp;C35&amp;IF(B35="",""," GB RAM"),0)</f>
        <v>0</v>
      </c>
      <c r="W35" s="1819"/>
      <c r="X35" s="1819"/>
      <c r="Y35" s="1819"/>
      <c r="Z35" s="1819"/>
      <c r="AA35" s="1819"/>
      <c r="AB35" s="1819"/>
      <c r="AC35" s="1819"/>
      <c r="AD35" s="1819"/>
      <c r="AE35" s="1919">
        <f>IF(A33&gt;0,F33,0)</f>
        <v>0</v>
      </c>
      <c r="AF35" s="2876">
        <f>IF(A32=0,0,IF(LEFT(B33,3)=S33,VLOOKUP(B33,HWRange,12,FALSE),0)*F34)</f>
        <v>0</v>
      </c>
      <c r="AG35" s="2877" t="str">
        <f>IF(AF35&gt;0,S33&amp;" 3-yr Pricing","")</f>
        <v/>
      </c>
      <c r="AH35" s="2878"/>
      <c r="AI35" s="1591"/>
      <c r="AJ35" s="1591"/>
      <c r="AK35" s="1591"/>
      <c r="AL35" s="1591"/>
      <c r="AM35" s="1591"/>
      <c r="AN35" s="1591"/>
      <c r="AO35" s="1591"/>
      <c r="AP35" s="1591"/>
      <c r="AQ35" s="1591"/>
      <c r="AR35" s="1591"/>
      <c r="AS35" s="1591"/>
      <c r="AT35" s="1591"/>
      <c r="AU35" s="1591"/>
      <c r="AV35" s="1591"/>
      <c r="AX35" s="1601"/>
      <c r="BC35" s="1614"/>
      <c r="BF35" s="1592"/>
      <c r="BG35" s="1601"/>
      <c r="BH35" s="1601"/>
      <c r="BI35" s="1601"/>
      <c r="BJ35" s="1601"/>
      <c r="BK35" s="1601"/>
      <c r="BL35" s="1601"/>
      <c r="BM35" s="1601"/>
      <c r="BN35" s="1601"/>
      <c r="BO35" s="1601"/>
      <c r="BP35" s="1619"/>
      <c r="BQ35" s="1619"/>
      <c r="BR35" s="1619"/>
      <c r="BS35" s="1619"/>
      <c r="BT35" s="1619"/>
      <c r="BU35" s="1619"/>
      <c r="BV35" s="1619"/>
      <c r="BW35" s="1619"/>
      <c r="BX35" s="1619"/>
      <c r="BY35" s="1619"/>
      <c r="BZ35" s="1619"/>
      <c r="CA35" s="1619"/>
      <c r="CB35" s="1619"/>
      <c r="CC35" s="1619"/>
      <c r="CD35" s="1619"/>
      <c r="CE35" s="1619"/>
      <c r="CF35" s="1619"/>
      <c r="CG35" s="3403">
        <f>B35</f>
        <v>0</v>
      </c>
      <c r="CH35" s="3404"/>
      <c r="CI35" s="3404"/>
      <c r="CJ35" s="3404"/>
      <c r="CK35" s="2723"/>
      <c r="CL35" s="1592"/>
      <c r="CM35" s="1594"/>
      <c r="CN35" s="1592"/>
      <c r="CQ35" s="1592"/>
      <c r="CR35" s="1594"/>
      <c r="CU35" s="1592"/>
      <c r="DA35" s="1592"/>
      <c r="DB35" s="1594"/>
      <c r="DE35" s="1592"/>
      <c r="DF35" s="1594"/>
      <c r="DI35" s="1592"/>
      <c r="DJ35" s="1614"/>
      <c r="DK35" s="1614"/>
      <c r="DL35" s="1614"/>
      <c r="DM35" s="1614"/>
      <c r="DN35" s="1594"/>
      <c r="DO35" s="1594"/>
      <c r="DP35" s="394"/>
      <c r="DQ35" s="1614"/>
      <c r="DR35" s="1597"/>
      <c r="DS35" s="1597"/>
      <c r="DT35" s="1415"/>
      <c r="DW35" s="1614"/>
      <c r="DX35" s="1597"/>
      <c r="DY35" s="1415"/>
      <c r="EC35" s="1614"/>
      <c r="ED35" s="1415"/>
      <c r="EH35" s="1597"/>
      <c r="EI35" s="1614"/>
      <c r="EJ35" s="1415"/>
      <c r="EN35" s="1597"/>
      <c r="EO35" s="1614"/>
      <c r="EP35" s="1415"/>
      <c r="ET35" s="1597"/>
      <c r="EU35" s="1614"/>
      <c r="EV35" s="1415"/>
      <c r="EZ35" s="1597"/>
      <c r="FA35" s="1614"/>
      <c r="FB35" s="1415"/>
      <c r="FF35" s="1597"/>
      <c r="FG35" s="1614"/>
      <c r="FH35" s="1415"/>
      <c r="FL35" s="1597"/>
      <c r="FM35" s="1614"/>
      <c r="FN35" s="1415"/>
      <c r="FR35" s="1597"/>
      <c r="FS35" s="1614"/>
      <c r="FT35" s="1415"/>
      <c r="FX35" s="1597"/>
      <c r="FY35" s="1614"/>
      <c r="FZ35" s="1415"/>
      <c r="GD35" s="1597"/>
      <c r="GE35" s="1614"/>
      <c r="GG35" s="1415"/>
      <c r="GJ35" s="1597"/>
      <c r="GK35" s="1614"/>
      <c r="GM35" s="1415"/>
      <c r="GO35" s="1415"/>
      <c r="GP35" s="1597"/>
      <c r="GQ35" s="1614"/>
      <c r="GS35" s="1415"/>
      <c r="GT35" s="1415"/>
      <c r="HA35" s="1835">
        <v>12</v>
      </c>
    </row>
    <row r="36" spans="1:209" ht="17" hidden="1" outlineLevel="2" thickBot="1" x14ac:dyDescent="0.25">
      <c r="A36" s="2823">
        <f>IF(O38&gt;0,A38/O38,0)</f>
        <v>0</v>
      </c>
      <c r="B36" s="552" t="s">
        <v>130</v>
      </c>
      <c r="C36" s="136" t="str">
        <f>VLOOKUP(B37,Hardware!$A$2:$I$632,9,FALSE)</f>
        <v>Intel</v>
      </c>
      <c r="D36" s="137" t="str">
        <f>D32</f>
        <v>Arc18=</v>
      </c>
      <c r="E36" s="138">
        <f>IF(EE$22=0,0,IF(EI$22&gt;0,EI$22/EF$22))</f>
        <v>0</v>
      </c>
      <c r="F36" s="139" t="s">
        <v>328</v>
      </c>
      <c r="G36" s="1585"/>
      <c r="H36" s="1586">
        <v>0.8</v>
      </c>
      <c r="I36" s="1739" t="str">
        <f>I32</f>
        <v>Host01</v>
      </c>
      <c r="J36" s="207">
        <f>IF(K36&gt;0,K36,IF(I38=Calculator!$H$158,1, IF(OR(R36=Calculator!$H$162,R36=Calculator!$H$163), VLOOKUP(I38,VAdjust,2,FALSE),1)))</f>
        <v>1</v>
      </c>
      <c r="K36" s="2456"/>
      <c r="L36" s="722">
        <f>VLOOKUP(B37,HWRange,5,FALSE)</f>
        <v>3500</v>
      </c>
      <c r="M36" s="464" t="str">
        <f>IF(ISERROR(VLOOKUP($K37,$L$5:$L$19,1,FALSE)),"","/"&amp;$L$4)</f>
        <v/>
      </c>
      <c r="N36" s="257" t="str">
        <f>IF(ISERROR(VLOOKUP($K37,$M$5:$M$19,1,FALSE)),IF(ISERROR(VLOOKUP($K37,$M$5:$M$19,1,FALSE)),"","/"&amp;$M$4),"/"&amp;$M$4)</f>
        <v/>
      </c>
      <c r="O36" s="465" t="str">
        <f>IF(ISERROR(VLOOKUP($K37,$N$5:$N$19,1,FALSE)),IF(ISERROR(VLOOKUP($K37,$N$5:$N$19,1,FALSE)),"","/"&amp;$N$4),"/"&amp;$N$4)</f>
        <v/>
      </c>
      <c r="P36" s="1587">
        <f>IF(A37=0,0,IF(P38&gt;0,1000*C37/C38,1000*C37/C38))/2</f>
        <v>0</v>
      </c>
      <c r="Q36" s="1734">
        <f>IF(I38=$J$167,0,VLOOKUP(I36,HostArray,2,FALSE))</f>
        <v>0</v>
      </c>
      <c r="R36" s="1588" t="s">
        <v>412</v>
      </c>
      <c r="S36" s="3071" t="str">
        <f>IF(S37=LEFT(B37,3),_xlfn.NUMBERVALUE(MID(B37,FIND("(",B37,1)+1,FIND(")",B37,1)-FIND("(",B37,1)-3)),"")</f>
        <v/>
      </c>
      <c r="T36" s="135">
        <v>10000</v>
      </c>
      <c r="U36" s="1616">
        <f>IF(E36&gt;0,IF(AND(M38="",N38=""),EG$22/F38,EH$22/F38),0)</f>
        <v>0</v>
      </c>
      <c r="V36" s="1822">
        <f t="shared" ref="V36:AD36" si="16">IF(V38&gt;0,IF($A37&gt;0.5,$A37,""),0)</f>
        <v>0</v>
      </c>
      <c r="W36" s="1823">
        <f>IF(AND($W37=W$167,$H39=I$191),W$168,IF(W38&gt;0,IF($A37&gt;0.5,$A37,""),0))</f>
        <v>0</v>
      </c>
      <c r="X36" s="1823">
        <f t="shared" si="16"/>
        <v>0</v>
      </c>
      <c r="Y36" s="1823">
        <f t="shared" si="16"/>
        <v>0</v>
      </c>
      <c r="Z36" s="1823">
        <f t="shared" si="16"/>
        <v>0</v>
      </c>
      <c r="AA36" s="1823">
        <f t="shared" si="16"/>
        <v>0</v>
      </c>
      <c r="AB36" s="1823">
        <f t="shared" si="16"/>
        <v>0</v>
      </c>
      <c r="AC36" s="1823">
        <f t="shared" si="16"/>
        <v>0</v>
      </c>
      <c r="AD36" s="1824">
        <f t="shared" si="16"/>
        <v>0</v>
      </c>
      <c r="AE36" s="1825">
        <f>L39</f>
        <v>0</v>
      </c>
      <c r="AF36" s="2977" t="str">
        <f>IF(I38=$H$191,$AF$22,"")</f>
        <v/>
      </c>
      <c r="AG36" s="1600"/>
      <c r="AH36" s="1600"/>
      <c r="AI36" s="1600"/>
      <c r="AJ36" s="1600"/>
      <c r="AK36" s="1600"/>
      <c r="AL36" s="1600"/>
      <c r="AM36" s="1600"/>
      <c r="AN36" s="1600"/>
      <c r="AO36" s="1600"/>
      <c r="AP36" s="1600"/>
      <c r="AQ36" s="1600"/>
      <c r="AR36" s="1600"/>
      <c r="AS36" s="1600"/>
      <c r="AT36" s="1600"/>
      <c r="AU36" s="1600"/>
      <c r="AV36" s="1600"/>
      <c r="AX36" s="2"/>
      <c r="BC36" s="1"/>
      <c r="BF36" s="1592"/>
      <c r="BG36" s="1593"/>
      <c r="BH36" s="1593"/>
      <c r="BI36" s="1593"/>
      <c r="BJ36" s="1593"/>
      <c r="BK36" s="1593"/>
      <c r="BL36" s="1593"/>
      <c r="BM36" s="1593"/>
      <c r="BN36" s="1593"/>
      <c r="BO36" s="1593"/>
      <c r="BP36" s="889"/>
      <c r="BQ36" s="889"/>
      <c r="BR36" s="889"/>
      <c r="BS36" s="889"/>
      <c r="BT36" s="889"/>
      <c r="BU36" s="889"/>
      <c r="BV36" s="1615"/>
      <c r="BW36" s="1615"/>
      <c r="BX36" s="1615"/>
      <c r="BY36" s="1615"/>
      <c r="BZ36" s="1615"/>
      <c r="CA36" s="1615"/>
      <c r="CB36" s="1615"/>
      <c r="CC36" s="1615"/>
      <c r="CD36" s="1615"/>
      <c r="CE36" s="1615"/>
      <c r="CF36" s="1615"/>
      <c r="CG36" s="1689">
        <f t="shared" ref="CG36:CH38" si="17">A36</f>
        <v>0</v>
      </c>
      <c r="CH36" s="1690" t="str">
        <f t="shared" si="17"/>
        <v>Tier04: Platform Tier 04</v>
      </c>
      <c r="CI36" s="1179" t="str">
        <f>F36</f>
        <v>SRint2006</v>
      </c>
      <c r="CJ36" s="2718"/>
      <c r="CK36" s="2724">
        <f>T36</f>
        <v>10000</v>
      </c>
      <c r="CL36" s="1592"/>
      <c r="CM36" s="1594"/>
      <c r="CN36" s="1592"/>
      <c r="CQ36" s="1592"/>
      <c r="CR36" s="1594"/>
      <c r="CU36" s="1592"/>
      <c r="DA36" s="1592"/>
      <c r="DB36" s="1594"/>
      <c r="DE36" s="1592"/>
      <c r="DF36" s="1594"/>
      <c r="DI36" s="1592"/>
      <c r="DJ36" s="1"/>
      <c r="DK36" s="1"/>
      <c r="DL36" s="1590"/>
      <c r="DM36" s="1"/>
      <c r="DN36" s="1594"/>
      <c r="DO36" s="1595"/>
      <c r="DP36" s="394"/>
      <c r="DQ36" s="1"/>
      <c r="DR36" s="1593"/>
      <c r="DS36" s="1593"/>
      <c r="DT36" s="1415"/>
      <c r="DW36" s="1"/>
      <c r="DX36" s="1593"/>
      <c r="DY36" s="1415"/>
      <c r="EC36" s="1"/>
      <c r="ED36" s="1415"/>
      <c r="EH36" s="1593"/>
      <c r="EI36" s="1"/>
      <c r="EJ36" s="1415"/>
      <c r="EN36" s="1593"/>
      <c r="EO36" s="1"/>
      <c r="EP36" s="1415"/>
      <c r="ET36" s="1593"/>
      <c r="EU36" s="1"/>
      <c r="EV36" s="1415"/>
      <c r="EZ36" s="1593"/>
      <c r="FA36" s="1"/>
      <c r="FB36" s="1415"/>
      <c r="FF36" s="1593"/>
      <c r="FG36" s="1"/>
      <c r="FH36" s="1415"/>
      <c r="FL36" s="1593"/>
      <c r="FM36" s="1"/>
      <c r="FN36" s="1415"/>
      <c r="FR36" s="1593"/>
      <c r="FS36" s="1"/>
      <c r="FT36" s="1415"/>
      <c r="FX36" s="1593"/>
      <c r="FY36" s="1"/>
      <c r="FZ36" s="1415"/>
      <c r="GD36" s="1593"/>
      <c r="GE36" s="1"/>
      <c r="GG36" s="1415"/>
      <c r="GJ36" s="1593"/>
      <c r="GK36" s="1"/>
      <c r="GM36" s="1415"/>
      <c r="GO36" s="1415"/>
      <c r="GP36" s="1593"/>
      <c r="GQ36" s="1"/>
      <c r="GS36" s="1415"/>
      <c r="GT36" s="1415"/>
      <c r="HA36" s="1835">
        <v>3</v>
      </c>
    </row>
    <row r="37" spans="1:209" ht="15" hidden="1" outlineLevel="2" x14ac:dyDescent="0.2">
      <c r="A37" s="2824">
        <f>IF(E36=0,0,A38/G38)</f>
        <v>0</v>
      </c>
      <c r="B37" s="156" t="str">
        <f>B33</f>
        <v>Xeon E5-2637v4 4 core (1 chip) 3500 MHz</v>
      </c>
      <c r="C37" s="206">
        <f>ROUND(IF(P38&gt;0,2*P38*C38/1000, IF(L38=0,0, IF(I38=Calculator!$H$160, Calculator!$J$160*(1+L37), IF(K38=4, 4*H36*G37/13.4,L37*Calculator!$J$151)))),0)</f>
        <v>0</v>
      </c>
      <c r="D37" s="205">
        <f>F38*L37</f>
        <v>0</v>
      </c>
      <c r="E37" s="70">
        <f>IF(I38=J167,F38*VLOOKUP(B37,HWRange,8,FALSE),"Virtual Server")</f>
        <v>0</v>
      </c>
      <c r="F37" s="71">
        <f>IF(I38=$J$167,VLOOKUP(B37,HWRange,7,FALSE),IF(I37&gt;VLOOKUP(B37,HWRange,3,FALSE),VLOOKUP(B37,HWRange,7,FALSE)*VLOOKUP(B37,HWRange,3,FALSE)/I37,VLOOKUP(B37,HWRange,7,FALSE)))</f>
        <v>60</v>
      </c>
      <c r="G37" s="157">
        <f>IF(I38=$J$167,VLOOKUP(B37,HWRange,6,FALSE),VLOOKUP(B37,HWRange,6,FALSE)*I37/VLOOKUP(B37,HWRange,3,FALSE))</f>
        <v>240</v>
      </c>
      <c r="H37" s="161" t="s">
        <v>365</v>
      </c>
      <c r="I37" s="1247">
        <v>2</v>
      </c>
      <c r="J37" s="1881"/>
      <c r="K37" s="756" t="str">
        <f>A172</f>
        <v>Tier04</v>
      </c>
      <c r="L37" s="491">
        <f>IF(I38=$J$167,VLOOKUP(B37,HWRange,3,FALSE),I37)</f>
        <v>4</v>
      </c>
      <c r="M37" s="466" t="str">
        <f>IF(ISERROR(VLOOKUP($K37,$J$5:$J$19,1,FALSE)),IF(ISERROR(VLOOKUP($K37,$J$5:$J$19,1,FALSE)),"","/"&amp;$J$4),"/"&amp;$J$4)</f>
        <v/>
      </c>
      <c r="N37" s="467" t="str">
        <f>IF(ISERROR(VLOOKUP($K37,$K$5:$K$19,1,FALSE)),"","/"&amp;$K$4)</f>
        <v/>
      </c>
      <c r="O37" s="468">
        <f>IF(AND(O36="",M38=""),0,D37)</f>
        <v>0</v>
      </c>
      <c r="P37" s="1596" t="str">
        <f>IF(NOT(M37=""),Calculator!$A$158,IF(NOT(N37=""),Calculator!$B$158,IF(NOT(O36=""), Calculator!$C$158,Calculator!$G$158)))</f>
        <v>WindowsLinuxSolarisAIXHPUX</v>
      </c>
      <c r="Q37" s="1246" t="str">
        <f>VLOOKUP(B37,HWRange,2,FALSE)</f>
        <v>Xeon E5-2637v4</v>
      </c>
      <c r="R37" s="1187">
        <f>F38*VLOOKUP(B37,HWRange,8,FALSE)</f>
        <v>0</v>
      </c>
      <c r="S37" s="3070">
        <f>IF(OR(LEFT(B37,3)="AMI",LEFT(B37,3)="AZI"),LEFT(B37,3),0)</f>
        <v>0</v>
      </c>
      <c r="T37" s="1621" t="s">
        <v>366</v>
      </c>
      <c r="U37" s="1599" t="s">
        <v>307</v>
      </c>
      <c r="V37" s="822">
        <f t="shared" ref="V37:AD37" si="18">IF(V38=0,0,IF($A37&lt;0.5,$A37,"+"))</f>
        <v>0</v>
      </c>
      <c r="W37" s="2063">
        <f>IF(AND($N38="/"&amp;$Q$4,$H39=I$191,$H38=0),W$167,IF(W38=0,0,IF($A37&lt;0.5,$A37,"+")))</f>
        <v>0</v>
      </c>
      <c r="X37" s="318">
        <f t="shared" si="18"/>
        <v>0</v>
      </c>
      <c r="Y37" s="318">
        <f t="shared" si="18"/>
        <v>0</v>
      </c>
      <c r="Z37" s="318">
        <f t="shared" si="18"/>
        <v>0</v>
      </c>
      <c r="AA37" s="318">
        <f t="shared" si="18"/>
        <v>0</v>
      </c>
      <c r="AB37" s="318">
        <f t="shared" si="18"/>
        <v>0</v>
      </c>
      <c r="AC37" s="318">
        <f t="shared" si="18"/>
        <v>0</v>
      </c>
      <c r="AD37" s="823">
        <f t="shared" si="18"/>
        <v>0</v>
      </c>
      <c r="AE37" s="1185">
        <f>D37</f>
        <v>0</v>
      </c>
      <c r="AF37" s="2998">
        <f>AF$23</f>
        <v>24</v>
      </c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X37" s="1601"/>
      <c r="AY37" s="1601"/>
      <c r="BC37" s="1602"/>
      <c r="BF37" s="1592"/>
      <c r="BG37" s="1601"/>
      <c r="BH37" s="1601"/>
      <c r="BI37" s="1601"/>
      <c r="BJ37" s="1601"/>
      <c r="BK37" s="1601"/>
      <c r="BL37" s="1601"/>
      <c r="BM37" s="1601"/>
      <c r="BN37" s="1601"/>
      <c r="BO37" s="1601"/>
      <c r="BP37" s="885">
        <f>IF(A37&gt;0,1,0)</f>
        <v>0</v>
      </c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1691">
        <f t="shared" si="17"/>
        <v>0</v>
      </c>
      <c r="CH37" s="1590" t="str">
        <f t="shared" si="17"/>
        <v>Xeon E5-2637v4 4 core (1 chip) 3500 MHz</v>
      </c>
      <c r="CI37" s="1180">
        <f>F37</f>
        <v>60</v>
      </c>
      <c r="CJ37" s="1180">
        <f>G37</f>
        <v>240</v>
      </c>
      <c r="CK37" s="2723"/>
      <c r="CL37" s="1592"/>
      <c r="CM37" s="1594"/>
      <c r="CN37" s="1592"/>
      <c r="CQ37" s="1592"/>
      <c r="CR37" s="1594"/>
      <c r="CU37" s="1592"/>
      <c r="DA37" s="1592"/>
      <c r="DB37" s="1594"/>
      <c r="DE37" s="1592"/>
      <c r="DF37" s="1594"/>
      <c r="DI37" s="1592"/>
      <c r="DJ37" s="1602"/>
      <c r="DK37" s="1602"/>
      <c r="DL37" s="1592"/>
      <c r="DM37" s="1602"/>
      <c r="DN37" s="1594"/>
      <c r="DO37" s="1594"/>
      <c r="DP37" s="394"/>
      <c r="DQ37" s="1602"/>
      <c r="DR37" s="1594"/>
      <c r="DS37" s="1594"/>
      <c r="DT37" s="1415"/>
      <c r="DW37" s="1602"/>
      <c r="DX37" s="1594"/>
      <c r="DY37" s="1415"/>
      <c r="EC37" s="1602"/>
      <c r="ED37" s="1415"/>
      <c r="EH37" s="1594"/>
      <c r="EI37" s="1602"/>
      <c r="EJ37" s="1415"/>
      <c r="EN37" s="1594"/>
      <c r="EO37" s="1602"/>
      <c r="EP37" s="1415"/>
      <c r="ET37" s="1594"/>
      <c r="EU37" s="1602"/>
      <c r="EV37" s="1415"/>
      <c r="EZ37" s="1594"/>
      <c r="FA37" s="1602"/>
      <c r="FB37" s="1415"/>
      <c r="FF37" s="1594"/>
      <c r="FG37" s="1602"/>
      <c r="FH37" s="1415"/>
      <c r="FL37" s="1594"/>
      <c r="FM37" s="1602"/>
      <c r="FN37" s="1415"/>
      <c r="FR37" s="1594"/>
      <c r="FS37" s="1602"/>
      <c r="FT37" s="1415"/>
      <c r="FX37" s="1594"/>
      <c r="FY37" s="1602"/>
      <c r="FZ37" s="1415"/>
      <c r="GD37" s="1594"/>
      <c r="GE37" s="1602"/>
      <c r="GG37" s="1415"/>
      <c r="GJ37" s="1594"/>
      <c r="GK37" s="1602"/>
      <c r="GM37" s="1415"/>
      <c r="GO37" s="1415"/>
      <c r="GP37" s="1594"/>
      <c r="GQ37" s="1602"/>
      <c r="GS37" s="1415"/>
      <c r="GT37" s="1415"/>
      <c r="HA37" s="1835">
        <v>1.5</v>
      </c>
    </row>
    <row r="38" spans="1:209" ht="14" hidden="1" outlineLevel="2" thickBot="1" x14ac:dyDescent="0.2">
      <c r="A38" s="2825">
        <f>IF(E36=0,0,EF$22)</f>
        <v>0</v>
      </c>
      <c r="B38" s="3077" t="str">
        <f>"Install ("&amp;C39&amp;M36&amp;N36&amp;O36&amp;M37&amp;N37&amp;M38&amp;N38&amp;")"</f>
        <v>Install (Physical)</v>
      </c>
      <c r="C38" s="258">
        <f>IF(E36=0,0, IF(I38=Calculator!$H$160,1,E38/O38)*H36)</f>
        <v>0</v>
      </c>
      <c r="D38" s="140">
        <f>IF(J38=$H$192,J39,0)+IF(E36=0,0,J36*E36)*($BO$2/F37)</f>
        <v>0</v>
      </c>
      <c r="E38" s="141">
        <f>IF(E36=0,0,L37*60/D38)</f>
        <v>0</v>
      </c>
      <c r="F38" s="142">
        <f>IF(L38=0,0,IF(H38,H38,IF(I38=Calculator!$H$160,A36,IF(N38="/DBMS",1,IF(H39=$I$191,IF(N37="",IF(L38=1,2,L38),L38+1),L38)))))</f>
        <v>0</v>
      </c>
      <c r="G38" s="158">
        <f>IF(E36=0,0,IF(F38&gt;0,+E38*F38,"Nodes?"))</f>
        <v>0</v>
      </c>
      <c r="H38" s="143"/>
      <c r="I38" s="1248" t="s">
        <v>408</v>
      </c>
      <c r="J38" s="2819" t="str">
        <f>J34</f>
        <v xml:space="preserve">Siloed </v>
      </c>
      <c r="K38" s="1604">
        <f>IF(AND(N38="",N37=""),2,4)</f>
        <v>2</v>
      </c>
      <c r="L38" s="1605">
        <f>IF(H38,H38,IF(E36=0,0,IF(A38&gt;0,+INT(A38/(E38*H36))+1,0)))</f>
        <v>0</v>
      </c>
      <c r="M38" s="469" t="str">
        <f>IF(ISERROR(VLOOKUP($K37,$O$5:$O$19,1,FALSE)),IF(ISERROR(VLOOKUP($K37,$O$5:$O$19,1,FALSE)),"","/"&amp;$O$4),"/"&amp;$O$4)</f>
        <v/>
      </c>
      <c r="N38" s="470" t="str">
        <f>IF(ISERROR(VLOOKUP($K37,$Q$5:$Q$19,1,FALSE)),IF(ISERROR(VLOOKUP($K37,$Q$5:$Q$19,1,FALSE)),"","/"&amp;$Q$4),"/"&amp;$Q$4)</f>
        <v/>
      </c>
      <c r="O38" s="471">
        <f>IF($EE$22&gt;0,$EF$22/$EE$22,0)</f>
        <v>0</v>
      </c>
      <c r="P38" s="886"/>
      <c r="Q38" s="1714">
        <f>D37/VLOOKUP(B37,HWRange,3,FALSE)</f>
        <v>0</v>
      </c>
      <c r="R38" s="1877">
        <f>P172</f>
        <v>0</v>
      </c>
      <c r="S38" s="1982">
        <f>IF(E36=0,0,H36*A36/A37)</f>
        <v>0</v>
      </c>
      <c r="T38" s="135">
        <v>10000</v>
      </c>
      <c r="U38" s="1608">
        <f>IF(E36=0,0,IF(U39=$I$192,U36,EH$22/F38))</f>
        <v>0</v>
      </c>
      <c r="V38" s="1826">
        <f>IF(G38&gt;0,1,0)</f>
        <v>0</v>
      </c>
      <c r="W38" s="1827">
        <f t="shared" ref="W38:AC38" si="19">IF(V38&gt;0,IF($F38&gt;V38,V38+1,0),0)</f>
        <v>0</v>
      </c>
      <c r="X38" s="1827">
        <f t="shared" si="19"/>
        <v>0</v>
      </c>
      <c r="Y38" s="1827">
        <f t="shared" si="19"/>
        <v>0</v>
      </c>
      <c r="Z38" s="1827">
        <f t="shared" si="19"/>
        <v>0</v>
      </c>
      <c r="AA38" s="1827">
        <f t="shared" si="19"/>
        <v>0</v>
      </c>
      <c r="AB38" s="1827">
        <f t="shared" si="19"/>
        <v>0</v>
      </c>
      <c r="AC38" s="1827">
        <f t="shared" si="19"/>
        <v>0</v>
      </c>
      <c r="AD38" s="1828">
        <f>IF(AC38&gt;0,IF($F38&gt;AC38,"…"&amp;$F38,0),0)</f>
        <v>0</v>
      </c>
      <c r="AE38" s="1829">
        <f>A37</f>
        <v>0</v>
      </c>
      <c r="AF38" s="2978">
        <f>IF(AF37="","",IF(H38=0,0,H38/AF37+IF(H39=$I$191,1,0)))</f>
        <v>0</v>
      </c>
      <c r="AG38" s="1591"/>
      <c r="AH38" s="1591"/>
      <c r="AI38" s="1591"/>
      <c r="AJ38" s="1591"/>
      <c r="AK38" s="1591"/>
      <c r="AL38" s="1591"/>
      <c r="AM38" s="1591"/>
      <c r="AN38" s="1591"/>
      <c r="AO38" s="1591"/>
      <c r="AP38" s="1591"/>
      <c r="AQ38" s="1591"/>
      <c r="AR38" s="1591"/>
      <c r="AS38" s="1591"/>
      <c r="AT38" s="1591"/>
      <c r="AU38" s="1591"/>
      <c r="AV38" s="1591"/>
      <c r="BC38" s="1602"/>
      <c r="BF38" s="1592"/>
      <c r="BG38" s="1601"/>
      <c r="BH38" s="1601"/>
      <c r="BI38" s="1601"/>
      <c r="BJ38" s="1601"/>
      <c r="BK38" s="1601"/>
      <c r="BL38" s="1601"/>
      <c r="BM38" s="1601"/>
      <c r="BN38" s="1601"/>
      <c r="BO38" s="1601"/>
      <c r="BP38" s="1606"/>
      <c r="BQ38" s="1606"/>
      <c r="BR38" s="1606"/>
      <c r="BS38" s="1606"/>
      <c r="BT38" s="1606"/>
      <c r="BU38" s="1606"/>
      <c r="BV38" s="1606"/>
      <c r="BW38" s="1606"/>
      <c r="BX38" s="1606"/>
      <c r="BY38" s="1606"/>
      <c r="BZ38" s="1606"/>
      <c r="CA38" s="1606"/>
      <c r="CB38" s="1606"/>
      <c r="CC38" s="1606"/>
      <c r="CD38" s="1606"/>
      <c r="CE38" s="1606"/>
      <c r="CF38" s="1606"/>
      <c r="CG38" s="1692">
        <f t="shared" si="17"/>
        <v>0</v>
      </c>
      <c r="CH38" s="1693" t="str">
        <f t="shared" si="17"/>
        <v>Install (Physical)</v>
      </c>
      <c r="CI38" s="1181">
        <f>F38</f>
        <v>0</v>
      </c>
      <c r="CJ38" s="2719">
        <f>D37</f>
        <v>0</v>
      </c>
      <c r="CK38" s="2724">
        <f>T38</f>
        <v>10000</v>
      </c>
      <c r="CL38" s="1592"/>
      <c r="CM38" s="1594"/>
      <c r="CN38" s="1592"/>
      <c r="CQ38" s="1592"/>
      <c r="CR38" s="1594"/>
      <c r="CU38" s="1592"/>
      <c r="DA38" s="1592"/>
      <c r="DB38" s="1594"/>
      <c r="DE38" s="1592"/>
      <c r="DF38" s="1594"/>
      <c r="DI38" s="1592"/>
      <c r="DJ38" s="1602"/>
      <c r="DK38" s="1602"/>
      <c r="DL38" s="1592"/>
      <c r="DM38" s="1602"/>
      <c r="DN38" s="1594"/>
      <c r="DO38" s="1594"/>
      <c r="DP38" s="394"/>
      <c r="DQ38" s="1602"/>
      <c r="DR38" s="1597"/>
      <c r="DS38" s="1597"/>
      <c r="DT38" s="1415"/>
      <c r="DW38" s="1602"/>
      <c r="DX38" s="1597"/>
      <c r="DY38" s="1415"/>
      <c r="EC38" s="1602"/>
      <c r="ED38" s="1415"/>
      <c r="EH38" s="1597"/>
      <c r="EI38" s="1602"/>
      <c r="EJ38" s="1415"/>
      <c r="EN38" s="1597"/>
      <c r="EO38" s="1602"/>
      <c r="EP38" s="1415"/>
      <c r="ET38" s="1597"/>
      <c r="EU38" s="1602"/>
      <c r="EV38" s="1415"/>
      <c r="EZ38" s="1597"/>
      <c r="FA38" s="1602"/>
      <c r="FB38" s="1415"/>
      <c r="FF38" s="1597"/>
      <c r="FG38" s="1602"/>
      <c r="FH38" s="1415"/>
      <c r="FL38" s="1597"/>
      <c r="FM38" s="1602"/>
      <c r="FN38" s="1415"/>
      <c r="FR38" s="1597"/>
      <c r="FS38" s="1602"/>
      <c r="FT38" s="1415"/>
      <c r="FX38" s="1597"/>
      <c r="FY38" s="1602"/>
      <c r="FZ38" s="1415"/>
      <c r="GD38" s="1597"/>
      <c r="GE38" s="1602"/>
      <c r="GG38" s="1415"/>
      <c r="GJ38" s="1597"/>
      <c r="GK38" s="1602"/>
      <c r="GM38" s="1415"/>
      <c r="GO38" s="1415"/>
      <c r="GP38" s="1597"/>
      <c r="GQ38" s="1602"/>
      <c r="GS38" s="1415"/>
      <c r="GT38" s="1415"/>
      <c r="HA38" s="1835">
        <v>0.75</v>
      </c>
    </row>
    <row r="39" spans="1:209" ht="15" hidden="1" outlineLevel="1" collapsed="1" x14ac:dyDescent="0.15">
      <c r="A39" s="916">
        <f>IF(A38=0,0,ROUND(100*A37,0)&amp;"% CPU")</f>
        <v>0</v>
      </c>
      <c r="B39" s="917">
        <f>IF(A38&gt;0,IF(I38=$J$167,K37&amp;": "&amp;F38&amp;"x "&amp;B37&amp;" "&amp;C37&amp;" GB RAM",$K37&amp;": "&amp;$F38&amp;"x VM ("&amp;I37&amp;" core "&amp;C37&amp;" GB RAM) "&amp;Q37&amp;" "&amp;L36&amp;" MHz"),0)</f>
        <v>0</v>
      </c>
      <c r="C39" s="1609" t="str">
        <f>IF(I38=$H$189,I38,I36)</f>
        <v>Physical</v>
      </c>
      <c r="D39" s="918">
        <f>A36</f>
        <v>0</v>
      </c>
      <c r="E39" s="919">
        <f>IF(E38&gt;0,ROUND(E38*60/1000,0)&amp;"K TPH",0)</f>
        <v>0</v>
      </c>
      <c r="F39" s="920">
        <f>+L38</f>
        <v>0</v>
      </c>
      <c r="G39" s="919">
        <f>IF(G38&gt;0,ROUND(G38*60/1000,0)&amp;"K TPH",0)</f>
        <v>0</v>
      </c>
      <c r="H39" s="921" t="str">
        <f>H$23</f>
        <v>Minimum</v>
      </c>
      <c r="I39" s="1736">
        <f>IF(I38=$J$167,0,I36)</f>
        <v>0</v>
      </c>
      <c r="J39" s="2086">
        <f>IF(AND(O36="/"&amp;$N$4,J38=$H$192),IF(F38&gt;0,(F38-1)*A38/(60*$H$194),0),0)</f>
        <v>0</v>
      </c>
      <c r="K39" s="2086">
        <f>IF(E36&gt;0,D38/E36,0)</f>
        <v>0</v>
      </c>
      <c r="L39" s="2080">
        <f>IF($W37=$W$167,2,F38)</f>
        <v>0</v>
      </c>
      <c r="M39" s="3134">
        <f>IF(AND(S39&gt;0,I38=$H$189),1,0)</f>
        <v>0</v>
      </c>
      <c r="N39" s="1618"/>
      <c r="O39" s="1618"/>
      <c r="P39" s="922"/>
      <c r="Q39" s="1737">
        <f>IF($A41&lt;0.9999, $A41/((1+$CJ$2*$A41*($L41-1))*(1-$A41)),200)</f>
        <v>0</v>
      </c>
      <c r="R39" s="1618"/>
      <c r="S39" s="3118">
        <f>IF(LEFT(B37,3)=S37,VLOOKUP(B37,HWRange,10,FALSE),0)</f>
        <v>0</v>
      </c>
      <c r="T39" s="940" t="str">
        <f>U39</f>
        <v>Data</v>
      </c>
      <c r="U39" s="1595" t="s">
        <v>329</v>
      </c>
      <c r="V39" s="1918">
        <f>IF(A37&gt;0,B39&amp;" "&amp;C39&amp;IF(B39="",""," GB RAM"),0)</f>
        <v>0</v>
      </c>
      <c r="W39" s="1819"/>
      <c r="X39" s="1819"/>
      <c r="Y39" s="1819"/>
      <c r="Z39" s="1819"/>
      <c r="AA39" s="1819"/>
      <c r="AB39" s="1819"/>
      <c r="AC39" s="1819"/>
      <c r="AD39" s="1819"/>
      <c r="AE39" s="1919">
        <f>IF(A37&gt;0,F37,0)</f>
        <v>0</v>
      </c>
      <c r="AF39" s="2876">
        <f>IF(A36=0,0,IF(LEFT(B37,3)=S37,VLOOKUP(B37,HWRange,12,FALSE),0)*F38)</f>
        <v>0</v>
      </c>
      <c r="AG39" s="2877" t="str">
        <f>IF(AF39&gt;0,S37&amp;" 3-yr Pricing","")</f>
        <v/>
      </c>
      <c r="AH39" s="2878"/>
      <c r="AI39" s="1591"/>
      <c r="AJ39" s="1591"/>
      <c r="AK39" s="1591"/>
      <c r="AL39" s="1591"/>
      <c r="AM39" s="1591"/>
      <c r="AN39" s="1591"/>
      <c r="AO39" s="1591"/>
      <c r="AP39" s="1591"/>
      <c r="AQ39" s="1591"/>
      <c r="AR39" s="1591"/>
      <c r="AS39" s="1591"/>
      <c r="AT39" s="1591"/>
      <c r="AU39" s="1591"/>
      <c r="AV39" s="1591"/>
      <c r="AX39" s="1601"/>
      <c r="AY39" s="1601"/>
      <c r="BC39" s="1614"/>
      <c r="BF39" s="1592"/>
      <c r="BG39" s="1601"/>
      <c r="BH39" s="1601"/>
      <c r="BI39" s="1601"/>
      <c r="BJ39" s="1601"/>
      <c r="BK39" s="1601"/>
      <c r="BL39" s="1601"/>
      <c r="BM39" s="1601"/>
      <c r="BN39" s="1601"/>
      <c r="BO39" s="1601"/>
      <c r="BP39" s="1619"/>
      <c r="BQ39" s="1619"/>
      <c r="BR39" s="1619"/>
      <c r="BS39" s="1619"/>
      <c r="BT39" s="1619"/>
      <c r="BU39" s="1619"/>
      <c r="BV39" s="1619"/>
      <c r="BW39" s="1619"/>
      <c r="BX39" s="1619"/>
      <c r="BY39" s="1619"/>
      <c r="BZ39" s="1619"/>
      <c r="CA39" s="1619"/>
      <c r="CB39" s="1619"/>
      <c r="CC39" s="1619"/>
      <c r="CD39" s="1619"/>
      <c r="CE39" s="1619"/>
      <c r="CF39" s="1619"/>
      <c r="CG39" s="3403">
        <f>B39</f>
        <v>0</v>
      </c>
      <c r="CH39" s="3404"/>
      <c r="CI39" s="3404"/>
      <c r="CJ39" s="3404"/>
      <c r="CK39" s="2723"/>
      <c r="CL39" s="1592"/>
      <c r="CM39" s="1594"/>
      <c r="CN39" s="1592"/>
      <c r="CQ39" s="1592"/>
      <c r="CR39" s="1594"/>
      <c r="CU39" s="1592"/>
      <c r="DA39" s="1592"/>
      <c r="DB39" s="1594"/>
      <c r="DE39" s="1592"/>
      <c r="DF39" s="1594"/>
      <c r="DI39" s="1592"/>
      <c r="DJ39" s="1614"/>
      <c r="DK39" s="1614"/>
      <c r="DL39" s="1592"/>
      <c r="DM39" s="1614"/>
      <c r="DN39" s="1594"/>
      <c r="DO39" s="1594"/>
      <c r="DP39" s="394"/>
      <c r="DQ39" s="1614"/>
      <c r="DR39" s="1597"/>
      <c r="DS39" s="1597"/>
      <c r="DT39" s="1415"/>
      <c r="DW39" s="1614"/>
      <c r="DX39" s="1597"/>
      <c r="DY39" s="1415"/>
      <c r="EC39" s="1614"/>
      <c r="ED39" s="1415"/>
      <c r="EH39" s="1597"/>
      <c r="EI39" s="1614"/>
      <c r="EJ39" s="1415"/>
      <c r="EN39" s="1597"/>
      <c r="EO39" s="1614"/>
      <c r="EP39" s="1415"/>
      <c r="ET39" s="1597"/>
      <c r="EU39" s="1614"/>
      <c r="EV39" s="1415"/>
      <c r="EZ39" s="1597"/>
      <c r="FA39" s="1614"/>
      <c r="FB39" s="1415"/>
      <c r="FF39" s="1597"/>
      <c r="FG39" s="1614"/>
      <c r="FH39" s="1415"/>
      <c r="FL39" s="1597"/>
      <c r="FM39" s="1614"/>
      <c r="FN39" s="1415"/>
      <c r="FR39" s="1597"/>
      <c r="FS39" s="1614"/>
      <c r="FT39" s="1415"/>
      <c r="FX39" s="1597"/>
      <c r="FY39" s="1614"/>
      <c r="FZ39" s="1415"/>
      <c r="GD39" s="1597"/>
      <c r="GE39" s="1614"/>
      <c r="GG39" s="1415"/>
      <c r="GJ39" s="1597"/>
      <c r="GK39" s="1614"/>
      <c r="GM39" s="1415"/>
      <c r="GO39" s="1415"/>
      <c r="GP39" s="1597"/>
      <c r="GQ39" s="1614"/>
      <c r="GS39" s="1415"/>
      <c r="GT39" s="1415"/>
      <c r="HA39" s="1835">
        <v>5.6000000000000001E-2</v>
      </c>
    </row>
    <row r="40" spans="1:209" ht="17" hidden="1" outlineLevel="2" thickBot="1" x14ac:dyDescent="0.25">
      <c r="A40" s="2823">
        <f>IF(O42&gt;0,A42/O42,0)</f>
        <v>0</v>
      </c>
      <c r="B40" s="552" t="s">
        <v>450</v>
      </c>
      <c r="C40" s="136" t="str">
        <f>VLOOKUP(B41,Hardware!$A$2:$I$632,9,FALSE)</f>
        <v>Intel</v>
      </c>
      <c r="D40" s="137" t="str">
        <f>D36</f>
        <v>Arc18=</v>
      </c>
      <c r="E40" s="138">
        <f>IF(EK$22=0,0,IF(EO$22&gt;0,EO$22/EL$22))</f>
        <v>0</v>
      </c>
      <c r="F40" s="139" t="s">
        <v>328</v>
      </c>
      <c r="G40" s="1585"/>
      <c r="H40" s="1586">
        <v>0.8</v>
      </c>
      <c r="I40" s="1739" t="str">
        <f>I36</f>
        <v>Host01</v>
      </c>
      <c r="J40" s="207">
        <f>IF(K40&gt;0,K40,IF(I42=Calculator!$H$158,1, IF(OR(R40=Calculator!$H$162,R40=Calculator!$H$163), VLOOKUP(I42,VAdjust,2,FALSE),1)))</f>
        <v>1</v>
      </c>
      <c r="K40" s="2456"/>
      <c r="L40" s="722">
        <f>VLOOKUP(B41,HWRange,5,FALSE)</f>
        <v>3500</v>
      </c>
      <c r="M40" s="464" t="str">
        <f>IF(ISERROR(VLOOKUP($K41,$L$5:$L$19,1,FALSE)),"","/"&amp;$L$4)</f>
        <v/>
      </c>
      <c r="N40" s="257" t="str">
        <f>IF(ISERROR(VLOOKUP($K41,$M$5:$M$19,1,FALSE)),IF(ISERROR(VLOOKUP($K41,$M$5:$M$19,1,FALSE)),"","/"&amp;$M$4),"/"&amp;$M$4)</f>
        <v/>
      </c>
      <c r="O40" s="465" t="str">
        <f>IF(ISERROR(VLOOKUP($K41,$N$5:$N$19,1,FALSE)),IF(ISERROR(VLOOKUP($K41,$N$5:$N$19,1,FALSE)),"","/"&amp;$N$4),"/"&amp;$N$4)</f>
        <v/>
      </c>
      <c r="P40" s="1587">
        <f>IF(A41=0,0,IF(P42&gt;0,1000*C41/C42,1000*C41/C42))/2</f>
        <v>0</v>
      </c>
      <c r="Q40" s="1734">
        <f>IF(I42=$J$167,0,VLOOKUP(I40,HostArray,2,FALSE))</f>
        <v>0</v>
      </c>
      <c r="R40" s="1588" t="s">
        <v>412</v>
      </c>
      <c r="S40" s="3071" t="str">
        <f>IF(S41=LEFT(B41,3),_xlfn.NUMBERVALUE(MID(B41,FIND("(",B41,1)+1,FIND(")",B41,1)-FIND("(",B41,1)-3)),"")</f>
        <v/>
      </c>
      <c r="T40" s="135">
        <v>10000</v>
      </c>
      <c r="U40" s="1616">
        <f>IF(E40&gt;0,IF(AND(M42="",N42=""),EM$22/F42,EN$22/F42),0)</f>
        <v>0</v>
      </c>
      <c r="V40" s="1822">
        <f t="shared" ref="V40:AD40" si="20">IF(V42&gt;0,IF($A41&gt;0.5,$A41,""),0)</f>
        <v>0</v>
      </c>
      <c r="W40" s="1823">
        <f>IF(AND($W41=W$167,$H43=I$191),W$168,IF(W42&gt;0,IF($A41&gt;0.5,$A41,""),0))</f>
        <v>0</v>
      </c>
      <c r="X40" s="1823">
        <f t="shared" si="20"/>
        <v>0</v>
      </c>
      <c r="Y40" s="1823">
        <f t="shared" si="20"/>
        <v>0</v>
      </c>
      <c r="Z40" s="1823">
        <f t="shared" si="20"/>
        <v>0</v>
      </c>
      <c r="AA40" s="1823">
        <f t="shared" si="20"/>
        <v>0</v>
      </c>
      <c r="AB40" s="1823">
        <f t="shared" si="20"/>
        <v>0</v>
      </c>
      <c r="AC40" s="1823">
        <f t="shared" si="20"/>
        <v>0</v>
      </c>
      <c r="AD40" s="1824">
        <f t="shared" si="20"/>
        <v>0</v>
      </c>
      <c r="AE40" s="1825">
        <f>L43</f>
        <v>0</v>
      </c>
      <c r="AF40" s="2977" t="str">
        <f>IF(I42=$H$191,$AF$22,"")</f>
        <v/>
      </c>
      <c r="AG40" s="1600"/>
      <c r="AH40" s="1600"/>
      <c r="AI40" s="1600"/>
      <c r="AJ40" s="1600"/>
      <c r="AK40" s="1600"/>
      <c r="AL40" s="1600"/>
      <c r="AM40" s="1600"/>
      <c r="AN40" s="1600"/>
      <c r="AO40" s="1600"/>
      <c r="AP40" s="1600"/>
      <c r="AQ40" s="1600"/>
      <c r="AR40" s="1600"/>
      <c r="AS40" s="1600"/>
      <c r="AT40" s="1600"/>
      <c r="AU40" s="1600"/>
      <c r="AV40" s="1600"/>
      <c r="AX40" s="2"/>
      <c r="AY40" s="2"/>
      <c r="BC40" s="1"/>
      <c r="BF40" s="1592"/>
      <c r="BG40" s="1593"/>
      <c r="BH40" s="1593"/>
      <c r="BI40" s="1593"/>
      <c r="BJ40" s="1593"/>
      <c r="BK40" s="1593"/>
      <c r="BL40" s="1593"/>
      <c r="BM40" s="1593"/>
      <c r="BN40" s="1593"/>
      <c r="BO40" s="1593"/>
      <c r="BP40" s="889"/>
      <c r="BQ40" s="889"/>
      <c r="BR40" s="889"/>
      <c r="BS40" s="889"/>
      <c r="BT40" s="889"/>
      <c r="BU40" s="889"/>
      <c r="BV40" s="1615"/>
      <c r="BW40" s="1615"/>
      <c r="BX40" s="1615"/>
      <c r="BY40" s="1615"/>
      <c r="BZ40" s="1615"/>
      <c r="CA40" s="1615"/>
      <c r="CB40" s="1615"/>
      <c r="CC40" s="1615"/>
      <c r="CD40" s="1615"/>
      <c r="CE40" s="1615"/>
      <c r="CF40" s="1615"/>
      <c r="CG40" s="1689">
        <f t="shared" ref="CG40:CH42" si="21">A40</f>
        <v>0</v>
      </c>
      <c r="CH40" s="1690" t="str">
        <f t="shared" si="21"/>
        <v>Tier05: Platform Tier 05</v>
      </c>
      <c r="CI40" s="1179" t="str">
        <f>F40</f>
        <v>SRint2006</v>
      </c>
      <c r="CJ40" s="2718"/>
      <c r="CK40" s="2724">
        <f>T40</f>
        <v>10000</v>
      </c>
      <c r="CL40" s="1592"/>
      <c r="CM40" s="1594"/>
      <c r="CN40" s="1592"/>
      <c r="CQ40" s="1592"/>
      <c r="CR40" s="1594"/>
      <c r="CU40" s="1592"/>
      <c r="DA40" s="1592"/>
      <c r="DB40" s="1594"/>
      <c r="DE40" s="1592"/>
      <c r="DF40" s="1594"/>
      <c r="DI40" s="1592"/>
      <c r="DJ40" s="1"/>
      <c r="DK40" s="1"/>
      <c r="DL40" s="1592"/>
      <c r="DM40" s="1"/>
      <c r="DN40" s="1594"/>
      <c r="DO40" s="1595"/>
      <c r="DP40" s="394"/>
      <c r="DQ40" s="1"/>
      <c r="DR40" s="1593"/>
      <c r="DS40" s="1593"/>
      <c r="DT40" s="1415"/>
      <c r="DW40" s="1"/>
      <c r="DX40" s="1593"/>
      <c r="DY40" s="1415"/>
      <c r="EC40" s="1"/>
      <c r="ED40" s="1415"/>
      <c r="EH40" s="1593"/>
      <c r="EI40" s="1"/>
      <c r="EJ40" s="1415"/>
      <c r="EN40" s="1593"/>
      <c r="EO40" s="1"/>
      <c r="EP40" s="1415"/>
      <c r="ET40" s="1593"/>
      <c r="EU40" s="1"/>
      <c r="EV40" s="1415"/>
      <c r="EZ40" s="1593"/>
      <c r="FA40" s="1"/>
      <c r="FB40" s="1415"/>
      <c r="FF40" s="1593"/>
      <c r="FG40" s="1"/>
      <c r="FH40" s="1415"/>
      <c r="FL40" s="1593"/>
      <c r="FM40" s="1"/>
      <c r="FN40" s="1415"/>
      <c r="FR40" s="1593"/>
      <c r="FS40" s="1"/>
      <c r="FT40" s="1415"/>
      <c r="FX40" s="1593"/>
      <c r="FY40" s="1"/>
      <c r="FZ40" s="1415"/>
      <c r="GD40" s="1593"/>
      <c r="GE40" s="1"/>
      <c r="GG40" s="1415"/>
      <c r="GJ40" s="1593"/>
      <c r="GK40" s="1"/>
      <c r="GM40" s="1415"/>
      <c r="GO40" s="1415"/>
      <c r="GP40" s="1593"/>
      <c r="GQ40" s="1"/>
      <c r="GS40" s="1415"/>
      <c r="GT40" s="1415"/>
      <c r="HA40" s="1835">
        <v>2.8000000000000001E-2</v>
      </c>
    </row>
    <row r="41" spans="1:209" ht="15" hidden="1" outlineLevel="2" x14ac:dyDescent="0.2">
      <c r="A41" s="2824">
        <f>IF(E40=0,0,A42/G42)</f>
        <v>0</v>
      </c>
      <c r="B41" s="156" t="str">
        <f>B37</f>
        <v>Xeon E5-2637v4 4 core (1 chip) 3500 MHz</v>
      </c>
      <c r="C41" s="206">
        <f>ROUND(IF(P42&gt;0,2*P42*C42/1000, IF(L42=0,0, IF(I42=Calculator!$H$160, Calculator!$J$160*(1+L41), IF(K42=4, 4*H40*G41/13.4,L41*Calculator!$J$151)))),0)</f>
        <v>0</v>
      </c>
      <c r="D41" s="205">
        <f>F42*L41</f>
        <v>0</v>
      </c>
      <c r="E41" s="70">
        <f>IF(I42=J167,F42*VLOOKUP(B41,HWRange,8,FALSE),"Virtual Server")</f>
        <v>0</v>
      </c>
      <c r="F41" s="71">
        <f>IF(I42=$J$167,VLOOKUP(B41,HWRange,7,FALSE),IF(I41&gt;VLOOKUP(B41,HWRange,3,FALSE),VLOOKUP(B41,HWRange,7,FALSE)*VLOOKUP(B41,HWRange,3,FALSE)/I41,VLOOKUP(B41,HWRange,7,FALSE)))</f>
        <v>60</v>
      </c>
      <c r="G41" s="157">
        <f>IF(I42=$J$167,VLOOKUP(B41,HWRange,6,FALSE),VLOOKUP(B41,HWRange,6,FALSE)*I41/VLOOKUP(B41,HWRange,3,FALSE))</f>
        <v>240</v>
      </c>
      <c r="H41" s="161" t="s">
        <v>365</v>
      </c>
      <c r="I41" s="1247">
        <v>2</v>
      </c>
      <c r="J41" s="1881"/>
      <c r="K41" s="756" t="str">
        <f>A173</f>
        <v>Tier05</v>
      </c>
      <c r="L41" s="491">
        <f>IF(I42=$J$167,VLOOKUP(B41,HWRange,3,FALSE),I41)</f>
        <v>4</v>
      </c>
      <c r="M41" s="466" t="str">
        <f>IF(ISERROR(VLOOKUP($K41,$J$5:$J$19,1,FALSE)),IF(ISERROR(VLOOKUP($K41,$J$5:$J$19,1,FALSE)),"","/"&amp;$J$4),"/"&amp;$J$4)</f>
        <v/>
      </c>
      <c r="N41" s="467" t="str">
        <f>IF(ISERROR(VLOOKUP($K41,$K$5:$K$19,1,FALSE)),"","/"&amp;$K$4)</f>
        <v/>
      </c>
      <c r="O41" s="468">
        <f>IF(AND(O40="",M42=""),0,D41)</f>
        <v>0</v>
      </c>
      <c r="P41" s="1596" t="str">
        <f>IF(NOT(M41=""),Calculator!$A$158,IF(NOT(N41=""),Calculator!$B$158,IF(NOT(O40=""), Calculator!$C$158,Calculator!$G$158)))</f>
        <v>WindowsLinuxSolarisAIXHPUX</v>
      </c>
      <c r="Q41" s="1246" t="str">
        <f>VLOOKUP(B41,HWRange,2,FALSE)</f>
        <v>Xeon E5-2637v4</v>
      </c>
      <c r="R41" s="1187">
        <f>F42*VLOOKUP(B41,HWRange,8,FALSE)</f>
        <v>0</v>
      </c>
      <c r="S41" s="3070">
        <f>IF(OR(LEFT(B41,3)="AMI",LEFT(B41,3)="AZI"),LEFT(B41,3),0)</f>
        <v>0</v>
      </c>
      <c r="T41" s="1622" t="s">
        <v>366</v>
      </c>
      <c r="U41" s="1599" t="s">
        <v>307</v>
      </c>
      <c r="V41" s="822">
        <f t="shared" ref="V41:AD41" si="22">IF(V42=0,0,IF($A41&lt;0.5,$A41,"+"))</f>
        <v>0</v>
      </c>
      <c r="W41" s="2063">
        <f>IF(AND($N42="/"&amp;$Q$4,$H43=I$191,$H42=0),W$167,IF(W42=0,0,IF($A41&lt;0.5,$A41,"+")))</f>
        <v>0</v>
      </c>
      <c r="X41" s="318">
        <f t="shared" si="22"/>
        <v>0</v>
      </c>
      <c r="Y41" s="318">
        <f t="shared" si="22"/>
        <v>0</v>
      </c>
      <c r="Z41" s="318">
        <f t="shared" si="22"/>
        <v>0</v>
      </c>
      <c r="AA41" s="318">
        <f t="shared" si="22"/>
        <v>0</v>
      </c>
      <c r="AB41" s="318">
        <f t="shared" si="22"/>
        <v>0</v>
      </c>
      <c r="AC41" s="318">
        <f t="shared" si="22"/>
        <v>0</v>
      </c>
      <c r="AD41" s="823">
        <f t="shared" si="22"/>
        <v>0</v>
      </c>
      <c r="AE41" s="1185">
        <f>D41</f>
        <v>0</v>
      </c>
      <c r="AF41" s="2998">
        <f>AF$23</f>
        <v>24</v>
      </c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X41" s="1601"/>
      <c r="AY41" s="1601"/>
      <c r="BC41" s="1602"/>
      <c r="BF41" s="1592"/>
      <c r="BG41" s="1601"/>
      <c r="BH41" s="1601"/>
      <c r="BI41" s="1601"/>
      <c r="BJ41" s="1601"/>
      <c r="BK41" s="1601"/>
      <c r="BL41" s="1601"/>
      <c r="BM41" s="1601"/>
      <c r="BN41" s="1601"/>
      <c r="BO41" s="1601"/>
      <c r="BP41" s="885">
        <f>IF(A41&gt;0,1,0)</f>
        <v>0</v>
      </c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1691">
        <f t="shared" si="21"/>
        <v>0</v>
      </c>
      <c r="CH41" s="1590" t="str">
        <f t="shared" si="21"/>
        <v>Xeon E5-2637v4 4 core (1 chip) 3500 MHz</v>
      </c>
      <c r="CI41" s="1180">
        <f>F41</f>
        <v>60</v>
      </c>
      <c r="CJ41" s="1180">
        <f>G41</f>
        <v>240</v>
      </c>
      <c r="CK41" s="2723"/>
      <c r="CL41" s="1592"/>
      <c r="CM41" s="1594"/>
      <c r="CN41" s="1592"/>
      <c r="CQ41" s="1592"/>
      <c r="CR41" s="1594"/>
      <c r="CU41" s="1592"/>
      <c r="DA41" s="1592"/>
      <c r="DB41" s="1594"/>
      <c r="DE41" s="1592"/>
      <c r="DF41" s="1594"/>
      <c r="DI41" s="1592"/>
      <c r="DJ41" s="1602"/>
      <c r="DK41" s="1602"/>
      <c r="DL41" s="1592"/>
      <c r="DM41" s="1602"/>
      <c r="DN41" s="1594"/>
      <c r="DO41" s="1594"/>
      <c r="DP41" s="394"/>
      <c r="DQ41" s="1602"/>
      <c r="DR41" s="1594"/>
      <c r="DS41" s="1594"/>
      <c r="DT41" s="1415"/>
      <c r="DW41" s="1602"/>
      <c r="DX41" s="1594"/>
      <c r="DY41" s="1415"/>
      <c r="EC41" s="1602"/>
      <c r="ED41" s="1415"/>
      <c r="EH41" s="1594"/>
      <c r="EI41" s="1602"/>
      <c r="EJ41" s="1415"/>
      <c r="EN41" s="1594"/>
      <c r="EO41" s="1602"/>
      <c r="EP41" s="1415"/>
      <c r="ET41" s="1594"/>
      <c r="EU41" s="1602"/>
      <c r="EV41" s="1415"/>
      <c r="EZ41" s="1594"/>
      <c r="FA41" s="1602"/>
      <c r="FB41" s="1415"/>
      <c r="FF41" s="1594"/>
      <c r="FG41" s="1602"/>
      <c r="FH41" s="1415"/>
      <c r="FL41" s="1594"/>
      <c r="FM41" s="1602"/>
      <c r="FN41" s="1415"/>
      <c r="FR41" s="1594"/>
      <c r="FS41" s="1602"/>
      <c r="FT41" s="1415"/>
      <c r="FX41" s="1594"/>
      <c r="FY41" s="1602"/>
      <c r="FZ41" s="1415"/>
      <c r="GD41" s="1594"/>
      <c r="GE41" s="1602"/>
      <c r="GG41" s="1415"/>
      <c r="GJ41" s="1594"/>
      <c r="GK41" s="1602"/>
      <c r="GM41" s="1415"/>
      <c r="GO41" s="1415"/>
      <c r="GP41" s="1594"/>
      <c r="GQ41" s="1602"/>
      <c r="GS41" s="1415"/>
      <c r="GT41" s="1415"/>
    </row>
    <row r="42" spans="1:209" ht="14" hidden="1" outlineLevel="2" thickBot="1" x14ac:dyDescent="0.2">
      <c r="A42" s="2825">
        <f>IF(E40=0,0,EL$22)</f>
        <v>0</v>
      </c>
      <c r="B42" s="3078" t="str">
        <f>"Install ("&amp;C43&amp;M40&amp;N40&amp;O40&amp;M41&amp;N41&amp;M42&amp;N42&amp;")"</f>
        <v>Install (Physical)</v>
      </c>
      <c r="C42" s="258">
        <f>IF(E40=0,0, IF(I42=Calculator!$H$160,1,E42/O42)*H40)</f>
        <v>0</v>
      </c>
      <c r="D42" s="140">
        <f>IF(J42=$H$192,J43,0)+IF(E40=0,0,J40*E40)*($BO$2/F41)</f>
        <v>0</v>
      </c>
      <c r="E42" s="141">
        <f>IF(E40=0,0,L41*60/D42)</f>
        <v>0</v>
      </c>
      <c r="F42" s="142">
        <f>IF(L42=0,0,IF(H42,H42,IF(I42=Calculator!$H$160,A40,IF(N42="/DBMS",1,IF(H43=$I$191,IF(N41="",IF(L42=1,2,L42),L42+1),L42)))))</f>
        <v>0</v>
      </c>
      <c r="G42" s="158">
        <f>IF(E40=0,0,IF(F42&gt;0,+E42*F42,"Nodes?"))</f>
        <v>0</v>
      </c>
      <c r="H42" s="143"/>
      <c r="I42" s="1248" t="s">
        <v>408</v>
      </c>
      <c r="J42" s="2819" t="str">
        <f>J38</f>
        <v xml:space="preserve">Siloed </v>
      </c>
      <c r="K42" s="1604">
        <f>IF(AND(N42="",N41=""),2,4)</f>
        <v>2</v>
      </c>
      <c r="L42" s="1605">
        <f>IF(H42,H42,IF(E40=0,0,IF(A42&gt;0,+INT(A42/(E42*H40))+1,0)))</f>
        <v>0</v>
      </c>
      <c r="M42" s="469" t="str">
        <f>IF(ISERROR(VLOOKUP($K41,$O$5:$O$19,1,FALSE)),IF(ISERROR(VLOOKUP($K41,$O$5:$O$19,1,FALSE)),"","/"&amp;$O$4),"/"&amp;$O$4)</f>
        <v/>
      </c>
      <c r="N42" s="470" t="str">
        <f>IF(ISERROR(VLOOKUP($K41,$Q$5:$Q$19,1,FALSE)),IF(ISERROR(VLOOKUP($K41,$Q$5:$Q$19,1,FALSE)),"","/"&amp;$Q$4),"/"&amp;$Q$4)</f>
        <v/>
      </c>
      <c r="O42" s="471">
        <f>IF($EK$22&gt;0,$EL$22/$EK$22,0)</f>
        <v>0</v>
      </c>
      <c r="P42" s="886"/>
      <c r="Q42" s="1714">
        <f>D41/VLOOKUP(B41,HWRange,3,FALSE)</f>
        <v>0</v>
      </c>
      <c r="R42" s="1877">
        <f>P173</f>
        <v>0</v>
      </c>
      <c r="S42" s="1982">
        <f>IF(E40=0,0,H40*A40/A41)</f>
        <v>0</v>
      </c>
      <c r="T42" s="135">
        <v>10000</v>
      </c>
      <c r="U42" s="1608">
        <f>IF(E40=0,0,IF(U43=$I$192,U40,EN$22/F42))</f>
        <v>0</v>
      </c>
      <c r="V42" s="1826">
        <f>IF(G42&gt;0,1,0)</f>
        <v>0</v>
      </c>
      <c r="W42" s="1827">
        <f t="shared" ref="W42:AC42" si="23">IF(V42&gt;0,IF($F42&gt;V42,V42+1,0),0)</f>
        <v>0</v>
      </c>
      <c r="X42" s="1827">
        <f t="shared" si="23"/>
        <v>0</v>
      </c>
      <c r="Y42" s="1827">
        <f t="shared" si="23"/>
        <v>0</v>
      </c>
      <c r="Z42" s="1827">
        <f t="shared" si="23"/>
        <v>0</v>
      </c>
      <c r="AA42" s="1827">
        <f t="shared" si="23"/>
        <v>0</v>
      </c>
      <c r="AB42" s="1827">
        <f t="shared" si="23"/>
        <v>0</v>
      </c>
      <c r="AC42" s="1827">
        <f t="shared" si="23"/>
        <v>0</v>
      </c>
      <c r="AD42" s="1828">
        <f>IF(AC42&gt;0,IF($F42&gt;AC42,"…"&amp;$F42,0),0)</f>
        <v>0</v>
      </c>
      <c r="AE42" s="1829">
        <f>A41</f>
        <v>0</v>
      </c>
      <c r="AF42" s="2978">
        <f>IF(AF41="","",IF(H42=0,0,H42/AF41+IF(H43=$I$191,1,0)))</f>
        <v>0</v>
      </c>
      <c r="AG42" s="1591"/>
      <c r="AH42" s="1591"/>
      <c r="AI42" s="1591"/>
      <c r="AJ42" s="1591"/>
      <c r="AK42" s="1591"/>
      <c r="AL42" s="1591"/>
      <c r="AM42" s="1591"/>
      <c r="AN42" s="1591"/>
      <c r="AO42" s="1591"/>
      <c r="AP42" s="1591"/>
      <c r="AQ42" s="1591"/>
      <c r="AR42" s="1591"/>
      <c r="AS42" s="1591"/>
      <c r="AT42" s="1591"/>
      <c r="AU42" s="1591"/>
      <c r="AV42" s="1591"/>
      <c r="BC42" s="1602"/>
      <c r="BF42" s="1592"/>
      <c r="BG42" s="1601"/>
      <c r="BH42" s="1601"/>
      <c r="BI42" s="1601"/>
      <c r="BJ42" s="1601"/>
      <c r="BK42" s="1601"/>
      <c r="BL42" s="1601"/>
      <c r="BM42" s="1601"/>
      <c r="BN42" s="1601"/>
      <c r="BO42" s="1601"/>
      <c r="BP42" s="1606"/>
      <c r="BQ42" s="1606"/>
      <c r="BR42" s="1606"/>
      <c r="BS42" s="1606"/>
      <c r="BT42" s="1606"/>
      <c r="BU42" s="1606"/>
      <c r="BV42" s="1606"/>
      <c r="BW42" s="1606"/>
      <c r="BX42" s="1606"/>
      <c r="BY42" s="1606"/>
      <c r="BZ42" s="1606"/>
      <c r="CA42" s="1606"/>
      <c r="CB42" s="1606"/>
      <c r="CC42" s="1606"/>
      <c r="CD42" s="1606"/>
      <c r="CE42" s="1606"/>
      <c r="CF42" s="1606"/>
      <c r="CG42" s="1692">
        <f t="shared" si="21"/>
        <v>0</v>
      </c>
      <c r="CH42" s="1693" t="str">
        <f t="shared" si="21"/>
        <v>Install (Physical)</v>
      </c>
      <c r="CI42" s="1181">
        <f>F42</f>
        <v>0</v>
      </c>
      <c r="CJ42" s="2719">
        <f>D41</f>
        <v>0</v>
      </c>
      <c r="CK42" s="2724">
        <f>T42</f>
        <v>10000</v>
      </c>
      <c r="CL42" s="1592"/>
      <c r="CM42" s="1594"/>
      <c r="CN42" s="1592"/>
      <c r="CQ42" s="1592"/>
      <c r="CR42" s="1594"/>
      <c r="CU42" s="1592"/>
      <c r="DA42" s="1592"/>
      <c r="DB42" s="1594"/>
      <c r="DE42" s="1592"/>
      <c r="DF42" s="1594"/>
      <c r="DI42" s="1592"/>
      <c r="DJ42" s="1602"/>
      <c r="DK42" s="1602"/>
      <c r="DL42" s="1592"/>
      <c r="DM42" s="1602"/>
      <c r="DN42" s="1594"/>
      <c r="DO42" s="1594"/>
      <c r="DP42" s="394"/>
      <c r="DQ42" s="1602"/>
      <c r="DR42" s="1597"/>
      <c r="DS42" s="1597"/>
      <c r="DT42" s="1415"/>
      <c r="DW42" s="1602"/>
      <c r="DX42" s="1597"/>
      <c r="DY42" s="1415"/>
      <c r="EC42" s="1602"/>
      <c r="ED42" s="1415"/>
      <c r="EH42" s="1597"/>
      <c r="EI42" s="1602"/>
      <c r="EJ42" s="1415"/>
      <c r="EN42" s="1597"/>
      <c r="EO42" s="1602"/>
      <c r="EP42" s="1415"/>
      <c r="ET42" s="1597"/>
      <c r="EU42" s="1602"/>
      <c r="EV42" s="1415"/>
      <c r="EZ42" s="1597"/>
      <c r="FA42" s="1602"/>
      <c r="FB42" s="1415"/>
      <c r="FF42" s="1597"/>
      <c r="FG42" s="1602"/>
      <c r="FH42" s="1415"/>
      <c r="FL42" s="1597"/>
      <c r="FM42" s="1602"/>
      <c r="FN42" s="1415"/>
      <c r="FR42" s="1597"/>
      <c r="FS42" s="1602"/>
      <c r="FT42" s="1415"/>
      <c r="FX42" s="1597"/>
      <c r="FY42" s="1602"/>
      <c r="FZ42" s="1415"/>
      <c r="GD42" s="1597"/>
      <c r="GE42" s="1602"/>
      <c r="GG42" s="1415"/>
      <c r="GJ42" s="1597"/>
      <c r="GK42" s="1602"/>
      <c r="GM42" s="1415"/>
      <c r="GO42" s="1415"/>
      <c r="GP42" s="1597"/>
      <c r="GQ42" s="1602"/>
      <c r="GS42" s="1415"/>
      <c r="GT42" s="1415"/>
    </row>
    <row r="43" spans="1:209" ht="15" hidden="1" outlineLevel="1" collapsed="1" x14ac:dyDescent="0.15">
      <c r="A43" s="916">
        <f>IF(A42=0,0,ROUND(100*A41,0)&amp;"% CPU")</f>
        <v>0</v>
      </c>
      <c r="B43" s="917">
        <f>IF(A42&gt;0,IF(I42=$J$167,K41&amp;": "&amp;F42&amp;"x "&amp;B41&amp;" "&amp;C41&amp;" GB RAM",$K41&amp;": "&amp;$F42&amp;"x VM ("&amp;I41&amp;" core "&amp;C41&amp;" GB RAM) "&amp;Q41&amp;" "&amp;L40&amp;" MHz"),0)</f>
        <v>0</v>
      </c>
      <c r="C43" s="1609" t="str">
        <f>IF(I42=$H$189,I42,I40)</f>
        <v>Physical</v>
      </c>
      <c r="D43" s="918">
        <f>A40</f>
        <v>0</v>
      </c>
      <c r="E43" s="919">
        <f>IF(E42&gt;0,ROUND(E42*60/1000,0)&amp;"K TPH",0)</f>
        <v>0</v>
      </c>
      <c r="F43" s="920">
        <f>+L42</f>
        <v>0</v>
      </c>
      <c r="G43" s="919">
        <f>IF(G42&gt;0,ROUND(G42*60/1000,0)&amp;"K TPH",0)</f>
        <v>0</v>
      </c>
      <c r="H43" s="921" t="str">
        <f>H$23</f>
        <v>Minimum</v>
      </c>
      <c r="I43" s="1736">
        <f>IF(I42=$J$167,0,I40)</f>
        <v>0</v>
      </c>
      <c r="J43" s="2086">
        <f>IF(AND(O40="/"&amp;$N$4,J42=$H$192),IF(F42&gt;0,(F42-1)*A42/(60*$H$194),0),0)</f>
        <v>0</v>
      </c>
      <c r="K43" s="2086">
        <f>IF(E40&gt;0,D42/E40,0)</f>
        <v>0</v>
      </c>
      <c r="L43" s="2080">
        <f>IF($W41=$W$167,2,F42)</f>
        <v>0</v>
      </c>
      <c r="M43" s="3134">
        <f>IF(AND(S43&gt;0,I42=$H$189),1,0)</f>
        <v>0</v>
      </c>
      <c r="N43" s="1618"/>
      <c r="O43" s="1618"/>
      <c r="P43" s="922"/>
      <c r="Q43" s="1737">
        <f>IF($A46&lt;0.9999, $A46/((1+$CJ$2*$A46*($L46-1))*(1-$A46)),200)</f>
        <v>0</v>
      </c>
      <c r="R43" s="1618"/>
      <c r="S43" s="3118">
        <f>IF(LEFT(B41,3)=S41,VLOOKUP(B41,HWRange,10,FALSE),0)</f>
        <v>0</v>
      </c>
      <c r="T43" s="940" t="str">
        <f>U43</f>
        <v>Client</v>
      </c>
      <c r="U43" s="1595" t="s">
        <v>303</v>
      </c>
      <c r="V43" s="1918">
        <f>IF(A41&gt;0,B43&amp;" "&amp;C43&amp;IF(B43="",""," GB RAM"),0)</f>
        <v>0</v>
      </c>
      <c r="W43" s="1819"/>
      <c r="X43" s="1819"/>
      <c r="Y43" s="1819"/>
      <c r="Z43" s="1819"/>
      <c r="AA43" s="1819"/>
      <c r="AB43" s="1819"/>
      <c r="AC43" s="1819"/>
      <c r="AD43" s="1819"/>
      <c r="AE43" s="1919">
        <f>IF(A41&gt;0,F41,0)</f>
        <v>0</v>
      </c>
      <c r="AF43" s="2876">
        <f>IF(A40=0,0,IF(LEFT(B41,3)=S41,VLOOKUP(B41,HWRange,12,FALSE),0)*F42)</f>
        <v>0</v>
      </c>
      <c r="AG43" s="2877" t="str">
        <f>IF(AF43&gt;0,S41&amp;" 3-yr Pricing","")</f>
        <v/>
      </c>
      <c r="AH43" s="2878"/>
      <c r="AI43" s="1591"/>
      <c r="AJ43" s="1591"/>
      <c r="AK43" s="1591"/>
      <c r="AL43" s="1591"/>
      <c r="AM43" s="1591"/>
      <c r="AN43" s="1591"/>
      <c r="AO43" s="1591"/>
      <c r="AP43" s="1591"/>
      <c r="AQ43" s="1591"/>
      <c r="AR43" s="1591"/>
      <c r="AS43" s="1591"/>
      <c r="AT43" s="1591"/>
      <c r="AU43" s="1591"/>
      <c r="AV43" s="1591"/>
      <c r="AX43" s="1601"/>
      <c r="AY43" s="1601"/>
      <c r="BC43" s="1614"/>
      <c r="BF43" s="1592"/>
      <c r="BG43" s="1601"/>
      <c r="BH43" s="1601"/>
      <c r="BI43" s="1601"/>
      <c r="BJ43" s="1601"/>
      <c r="BK43" s="1601"/>
      <c r="BL43" s="1601"/>
      <c r="BM43" s="1601"/>
      <c r="BN43" s="1601"/>
      <c r="BO43" s="1601"/>
      <c r="BP43" s="1619"/>
      <c r="BQ43" s="1619"/>
      <c r="BR43" s="1619"/>
      <c r="BS43" s="1619"/>
      <c r="BT43" s="1619"/>
      <c r="BU43" s="1619"/>
      <c r="BV43" s="1619"/>
      <c r="BW43" s="1619"/>
      <c r="BX43" s="1619"/>
      <c r="BY43" s="1619"/>
      <c r="BZ43" s="1619"/>
      <c r="CA43" s="1619"/>
      <c r="CB43" s="1619"/>
      <c r="CC43" s="1619"/>
      <c r="CD43" s="1619"/>
      <c r="CE43" s="1619"/>
      <c r="CF43" s="1619"/>
      <c r="CG43" s="3403">
        <f>B43</f>
        <v>0</v>
      </c>
      <c r="CH43" s="3404"/>
      <c r="CI43" s="3404"/>
      <c r="CJ43" s="3404"/>
      <c r="CK43" s="2723"/>
      <c r="CL43" s="1592"/>
      <c r="CM43" s="1594"/>
      <c r="CN43" s="1592"/>
      <c r="CQ43" s="1592"/>
      <c r="CR43" s="1594"/>
      <c r="CU43" s="1592"/>
      <c r="DA43" s="1592"/>
      <c r="DB43" s="1594"/>
      <c r="DE43" s="1592"/>
      <c r="DF43" s="1594"/>
      <c r="DI43" s="1592"/>
      <c r="DJ43" s="1614"/>
      <c r="DK43" s="1614"/>
      <c r="DL43" s="1592"/>
      <c r="DM43" s="1614"/>
      <c r="DN43" s="1594"/>
      <c r="DO43" s="1594"/>
      <c r="DP43" s="394"/>
      <c r="DQ43" s="1614"/>
      <c r="DR43" s="1597"/>
      <c r="DS43" s="1597"/>
      <c r="DT43" s="1415"/>
      <c r="DW43" s="1614"/>
      <c r="DX43" s="1597"/>
      <c r="DY43" s="1415"/>
      <c r="EC43" s="1614"/>
      <c r="ED43" s="1415"/>
      <c r="EH43" s="1597"/>
      <c r="EI43" s="1614"/>
      <c r="EJ43" s="1415"/>
      <c r="EN43" s="1597"/>
      <c r="EO43" s="1614"/>
      <c r="EP43" s="1415"/>
      <c r="ET43" s="1597"/>
      <c r="EU43" s="1614"/>
      <c r="EV43" s="1415"/>
      <c r="EZ43" s="1597"/>
      <c r="FA43" s="1614"/>
      <c r="FB43" s="1415"/>
      <c r="FF43" s="1597"/>
      <c r="FG43" s="1614"/>
      <c r="FH43" s="1415"/>
      <c r="FL43" s="1597"/>
      <c r="FM43" s="1614"/>
      <c r="FN43" s="1415"/>
      <c r="FR43" s="1597"/>
      <c r="FS43" s="1614"/>
      <c r="FT43" s="1415"/>
      <c r="FX43" s="1597"/>
      <c r="FY43" s="1614"/>
      <c r="FZ43" s="1415"/>
      <c r="GD43" s="1597"/>
      <c r="GE43" s="1614"/>
      <c r="GG43" s="1415"/>
      <c r="GJ43" s="1597"/>
      <c r="GK43" s="1614"/>
      <c r="GM43" s="1415"/>
      <c r="GO43" s="1415"/>
      <c r="GP43" s="1597"/>
      <c r="GQ43" s="1614"/>
      <c r="GS43" s="1415"/>
      <c r="GT43" s="1415"/>
    </row>
    <row r="44" spans="1:209" s="390" customFormat="1" collapsed="1" x14ac:dyDescent="0.15">
      <c r="A44" s="2805" t="s">
        <v>1461</v>
      </c>
      <c r="B44" s="2814"/>
      <c r="C44" s="2684"/>
      <c r="D44" s="2684"/>
      <c r="E44" s="2684"/>
      <c r="F44" s="2684"/>
      <c r="G44" s="2684"/>
      <c r="H44" s="2685"/>
      <c r="I44" s="2686"/>
      <c r="J44" s="2684"/>
      <c r="K44" s="2684"/>
      <c r="L44" s="2687"/>
      <c r="M44" s="2687"/>
      <c r="N44" s="2687"/>
      <c r="O44" s="2687"/>
      <c r="P44" s="2687"/>
      <c r="Q44" s="2687"/>
      <c r="R44" s="2688"/>
      <c r="S44" s="2689"/>
      <c r="T44" s="2688"/>
      <c r="U44" s="2688"/>
      <c r="V44" s="2688"/>
      <c r="W44" s="2688"/>
      <c r="X44" s="2688"/>
      <c r="Y44" s="2688"/>
      <c r="Z44" s="2688"/>
      <c r="AA44" s="2688"/>
      <c r="AB44" s="2688"/>
      <c r="AC44" s="2688"/>
      <c r="AD44" s="2687"/>
      <c r="AE44" s="2687"/>
      <c r="AF44" s="2855"/>
      <c r="AG44" s="392"/>
      <c r="AH44" s="392"/>
      <c r="AI44" s="392"/>
      <c r="AJ44" s="392"/>
      <c r="AK44" s="392"/>
      <c r="AL44" s="392"/>
      <c r="AM44" s="392"/>
      <c r="AN44" s="392"/>
      <c r="AO44" s="392"/>
      <c r="AP44" s="392"/>
      <c r="AQ44" s="392"/>
      <c r="AR44" s="392"/>
      <c r="AS44" s="392"/>
      <c r="AT44" s="392"/>
      <c r="AU44" s="392"/>
      <c r="AV44" s="392"/>
      <c r="AW44" s="392"/>
      <c r="AX44" s="392"/>
      <c r="AY44" s="392"/>
      <c r="AZ44" s="392"/>
      <c r="BA44" s="392"/>
      <c r="BB44" s="392"/>
      <c r="BC44" s="392"/>
      <c r="BD44" s="392"/>
      <c r="BG44" s="393"/>
      <c r="BH44" s="393"/>
      <c r="BI44" s="393"/>
      <c r="BJ44" s="393"/>
      <c r="BK44" s="393"/>
      <c r="BL44" s="393"/>
      <c r="BM44" s="393"/>
      <c r="BN44" s="393"/>
      <c r="BO44" s="394"/>
      <c r="BP44" s="394"/>
      <c r="BQ44" s="394"/>
      <c r="BR44" s="394"/>
      <c r="BS44" s="394"/>
      <c r="BT44" s="394"/>
      <c r="BU44" s="392"/>
      <c r="BV44" s="392"/>
      <c r="BW44" s="392"/>
      <c r="BX44" s="392"/>
      <c r="BY44" s="392"/>
      <c r="BZ44" s="392"/>
      <c r="CA44" s="392"/>
      <c r="CB44" s="392"/>
      <c r="CC44" s="392"/>
      <c r="CD44" s="392"/>
      <c r="CE44" s="392"/>
      <c r="CK44" s="2725"/>
      <c r="DI44" s="392"/>
      <c r="DJ44" s="392"/>
      <c r="DK44" s="392"/>
      <c r="DL44" s="392"/>
      <c r="DM44" s="392"/>
      <c r="DN44" s="392"/>
      <c r="DO44" s="392"/>
      <c r="DQ44" s="392"/>
      <c r="DS44" s="394"/>
      <c r="DT44" s="394"/>
      <c r="DW44" s="392"/>
      <c r="DX44" s="394"/>
      <c r="DY44" s="394"/>
      <c r="EC44" s="392"/>
      <c r="ED44" s="394"/>
      <c r="EH44" s="394"/>
      <c r="EI44" s="392"/>
      <c r="EJ44" s="394"/>
      <c r="EN44" s="394"/>
      <c r="EO44" s="392"/>
      <c r="EP44" s="394"/>
      <c r="ET44" s="394"/>
      <c r="EU44" s="392"/>
      <c r="EV44" s="394"/>
      <c r="EZ44" s="394"/>
      <c r="FA44" s="392"/>
      <c r="FB44" s="394"/>
      <c r="FF44" s="394"/>
      <c r="FG44" s="392"/>
      <c r="FH44" s="394"/>
      <c r="FL44" s="394"/>
      <c r="FM44" s="392"/>
      <c r="FN44" s="394"/>
      <c r="FR44" s="394"/>
      <c r="FS44" s="392"/>
      <c r="FT44" s="394"/>
      <c r="FX44" s="394"/>
      <c r="FY44" s="392"/>
      <c r="FZ44" s="394"/>
      <c r="GD44" s="394"/>
      <c r="GE44" s="392"/>
      <c r="GF44" s="392"/>
      <c r="GG44" s="394"/>
      <c r="GJ44" s="394"/>
      <c r="GK44" s="392"/>
      <c r="GL44" s="392"/>
      <c r="GM44" s="394"/>
      <c r="GO44" s="394"/>
      <c r="GP44" s="394"/>
      <c r="GQ44" s="392"/>
      <c r="GR44" s="392"/>
      <c r="GS44" s="394"/>
      <c r="GT44" s="394"/>
      <c r="HA44" s="1835">
        <v>6</v>
      </c>
    </row>
    <row r="45" spans="1:209" ht="17" hidden="1" outlineLevel="2" thickBot="1" x14ac:dyDescent="0.25">
      <c r="A45" s="2823">
        <f>IF(O47&gt;0,A47/O47,0)</f>
        <v>0</v>
      </c>
      <c r="B45" s="552" t="s">
        <v>451</v>
      </c>
      <c r="C45" s="136" t="str">
        <f>VLOOKUP(B46,Hardware!$A$2:$I$632,9,FALSE)</f>
        <v>Intel</v>
      </c>
      <c r="D45" s="137" t="str">
        <f>D40</f>
        <v>Arc18=</v>
      </c>
      <c r="E45" s="138">
        <f>IF(EQ$22=0,0,IF(EU$22&gt;0,EU$22/ER$22))</f>
        <v>0</v>
      </c>
      <c r="F45" s="139" t="s">
        <v>328</v>
      </c>
      <c r="G45" s="1585"/>
      <c r="H45" s="1586">
        <v>0.8</v>
      </c>
      <c r="I45" s="1739" t="str">
        <f>I40</f>
        <v>Host01</v>
      </c>
      <c r="J45" s="207">
        <f>IF(K45&gt;0,K45,IF(I47=Calculator!$H$158,1, IF(OR(R45=Calculator!$H$162,R45=Calculator!$H$163), VLOOKUP(I47,VAdjust,2,FALSE),1)))</f>
        <v>1</v>
      </c>
      <c r="K45" s="2456"/>
      <c r="L45" s="722">
        <f>VLOOKUP(B46,HWRange,5,FALSE)</f>
        <v>3500</v>
      </c>
      <c r="M45" s="464" t="str">
        <f>IF(ISERROR(VLOOKUP($K46,$L$5:$L$19,1,FALSE)),"","/"&amp;$L$4)</f>
        <v/>
      </c>
      <c r="N45" s="257" t="str">
        <f>IF(ISERROR(VLOOKUP($K46,$M$5:$M$19,1,FALSE)),IF(ISERROR(VLOOKUP($K46,$M$5:$M$19,1,FALSE)),"","/"&amp;$M$4),"/"&amp;$M$4)</f>
        <v/>
      </c>
      <c r="O45" s="465" t="str">
        <f>IF(ISERROR(VLOOKUP($K46,$N$5:$N$19,1,FALSE)),IF(ISERROR(VLOOKUP($K46,$N$5:$N$19,1,FALSE)),"","/"&amp;$N$4),"/"&amp;$N$4)</f>
        <v/>
      </c>
      <c r="P45" s="1587">
        <f>IF(A46=0,0,IF(P47&gt;0,1000*C46/C47,1000*C46/C47))/2</f>
        <v>0</v>
      </c>
      <c r="Q45" s="1734">
        <f>IF(I47=$J$167,0,VLOOKUP(I45,HostArray,2,FALSE))</f>
        <v>0</v>
      </c>
      <c r="R45" s="1588" t="s">
        <v>412</v>
      </c>
      <c r="S45" s="3071" t="str">
        <f>IF(S46=LEFT(B46,3),_xlfn.NUMBERVALUE(MID(B46,FIND("(",B46,1)+1,FIND(")",B46,1)-FIND("(",B46,1)-3)),"")</f>
        <v/>
      </c>
      <c r="T45" s="135">
        <v>10000</v>
      </c>
      <c r="U45" s="1616">
        <f>IF(E45&gt;0,IF(AND(M47="",N47=""),ES$22/F47,ET$22/F47),0)</f>
        <v>0</v>
      </c>
      <c r="V45" s="1822">
        <f t="shared" ref="V45:AD45" si="24">IF(V47&gt;0,IF($A46&gt;0.5,$A46,""),0)</f>
        <v>0</v>
      </c>
      <c r="W45" s="1823">
        <f>IF(AND($W46=W$167,$H48=I$191),W$168,IF(W47&gt;0,IF($A46&gt;0.5,$A46,""),0))</f>
        <v>0</v>
      </c>
      <c r="X45" s="1823">
        <f t="shared" si="24"/>
        <v>0</v>
      </c>
      <c r="Y45" s="1823">
        <f t="shared" si="24"/>
        <v>0</v>
      </c>
      <c r="Z45" s="1823">
        <f t="shared" si="24"/>
        <v>0</v>
      </c>
      <c r="AA45" s="1823">
        <f t="shared" si="24"/>
        <v>0</v>
      </c>
      <c r="AB45" s="1823">
        <f t="shared" si="24"/>
        <v>0</v>
      </c>
      <c r="AC45" s="1823">
        <f t="shared" si="24"/>
        <v>0</v>
      </c>
      <c r="AD45" s="1824">
        <f t="shared" si="24"/>
        <v>0</v>
      </c>
      <c r="AE45" s="1825">
        <f>L48</f>
        <v>0</v>
      </c>
      <c r="AF45" s="2977" t="str">
        <f>IF(I47=$H$191,$AF$22,"")</f>
        <v/>
      </c>
      <c r="AG45" s="1600"/>
      <c r="AH45" s="1600"/>
      <c r="AI45" s="1600"/>
      <c r="AJ45" s="1600"/>
      <c r="AK45" s="1600"/>
      <c r="AL45" s="1600"/>
      <c r="AM45" s="1600"/>
      <c r="AN45" s="1600"/>
      <c r="AO45" s="1600"/>
      <c r="AP45" s="1600"/>
      <c r="AQ45" s="1600"/>
      <c r="AR45" s="1600"/>
      <c r="AS45" s="1600"/>
      <c r="AT45" s="1600"/>
      <c r="AU45" s="1600"/>
      <c r="AV45" s="1600"/>
      <c r="AX45" s="2"/>
      <c r="AY45" s="2"/>
      <c r="BC45" s="1"/>
      <c r="BF45" s="1592"/>
      <c r="BG45" s="1593"/>
      <c r="BH45" s="1593"/>
      <c r="BI45" s="1593"/>
      <c r="BJ45" s="1593"/>
      <c r="BK45" s="1593"/>
      <c r="BL45" s="1593"/>
      <c r="BM45" s="1593"/>
      <c r="BN45" s="1593"/>
      <c r="BO45" s="1593"/>
      <c r="BP45" s="889"/>
      <c r="BQ45" s="889"/>
      <c r="BR45" s="889"/>
      <c r="BS45" s="889"/>
      <c r="BT45" s="889"/>
      <c r="BU45" s="889"/>
      <c r="BV45" s="1615"/>
      <c r="BW45" s="1615"/>
      <c r="BX45" s="1615"/>
      <c r="BY45" s="1615"/>
      <c r="BZ45" s="1615"/>
      <c r="CA45" s="1615"/>
      <c r="CB45" s="1615"/>
      <c r="CC45" s="1615"/>
      <c r="CD45" s="1615"/>
      <c r="CE45" s="1615"/>
      <c r="CF45" s="1615"/>
      <c r="CG45" s="1689">
        <f t="shared" ref="CG45:CH47" si="25">A45</f>
        <v>0</v>
      </c>
      <c r="CH45" s="1690" t="str">
        <f t="shared" si="25"/>
        <v>Tier06: Platform Tier 06</v>
      </c>
      <c r="CI45" s="1179" t="str">
        <f>F45</f>
        <v>SRint2006</v>
      </c>
      <c r="CJ45" s="2718"/>
      <c r="CK45" s="2724">
        <f>T45</f>
        <v>10000</v>
      </c>
      <c r="CL45" s="1592"/>
      <c r="CM45" s="1594"/>
      <c r="CN45" s="1592"/>
      <c r="CQ45" s="1592"/>
      <c r="CR45" s="1594"/>
      <c r="CU45" s="1592"/>
      <c r="DA45" s="1592"/>
      <c r="DB45" s="1594"/>
      <c r="DE45" s="1592"/>
      <c r="DF45" s="1594"/>
      <c r="DI45" s="1592"/>
      <c r="DJ45" s="1"/>
      <c r="DK45" s="1"/>
      <c r="DL45" s="1592"/>
      <c r="DM45" s="1"/>
      <c r="DN45" s="1594"/>
      <c r="DO45" s="1595"/>
      <c r="DP45" s="394"/>
      <c r="DQ45" s="1"/>
      <c r="DR45" s="1593"/>
      <c r="DS45" s="1593"/>
      <c r="DT45" s="1415"/>
      <c r="DW45" s="1"/>
      <c r="DX45" s="1593"/>
      <c r="DY45" s="1415"/>
      <c r="EC45" s="1"/>
      <c r="ED45" s="1415"/>
      <c r="EH45" s="1593"/>
      <c r="EI45" s="1"/>
      <c r="EJ45" s="1415"/>
      <c r="EN45" s="1593"/>
      <c r="EO45" s="1"/>
      <c r="EP45" s="1415"/>
      <c r="ET45" s="1593"/>
      <c r="EU45" s="1"/>
      <c r="EV45" s="1415"/>
      <c r="EZ45" s="1593"/>
      <c r="FA45" s="1"/>
      <c r="FB45" s="1415"/>
      <c r="FF45" s="1593"/>
      <c r="FG45" s="1"/>
      <c r="FH45" s="1415"/>
      <c r="FL45" s="1593"/>
      <c r="FM45" s="1"/>
      <c r="FN45" s="1415"/>
      <c r="FR45" s="1593"/>
      <c r="FS45" s="1"/>
      <c r="FT45" s="1415"/>
      <c r="FX45" s="1593"/>
      <c r="FY45" s="1"/>
      <c r="FZ45" s="1415"/>
      <c r="GD45" s="1593"/>
      <c r="GE45" s="1"/>
      <c r="GG45" s="1415"/>
      <c r="GJ45" s="1593"/>
      <c r="GK45" s="1"/>
      <c r="GM45" s="1415"/>
      <c r="GO45" s="1415"/>
      <c r="GP45" s="1593"/>
      <c r="GQ45" s="1"/>
      <c r="GS45" s="1415"/>
      <c r="GT45" s="1415"/>
    </row>
    <row r="46" spans="1:209" ht="15" hidden="1" outlineLevel="2" x14ac:dyDescent="0.2">
      <c r="A46" s="2824">
        <f>IF(E45=0,0,A47/G47)</f>
        <v>0</v>
      </c>
      <c r="B46" s="156" t="str">
        <f>B41</f>
        <v>Xeon E5-2637v4 4 core (1 chip) 3500 MHz</v>
      </c>
      <c r="C46" s="206">
        <f>ROUND(IF(P47&gt;0,2*P47*C47/1000, IF(L47=0,0, IF(I47=Calculator!$H$160, Calculator!$J$160*(1+L46), IF(K47=4, 4*H45*G46/13.4,L46*Calculator!$J$151)))),0)</f>
        <v>0</v>
      </c>
      <c r="D46" s="205">
        <f>F47*L46</f>
        <v>0</v>
      </c>
      <c r="E46" s="70">
        <f>IF(I47=J167,F47*VLOOKUP(B46,HWRange,8,FALSE),"Virtual Server")</f>
        <v>0</v>
      </c>
      <c r="F46" s="71">
        <f>IF(I47=$J$167,VLOOKUP(B46,HWRange,7,FALSE),IF(I46&gt;VLOOKUP(B46,HWRange,3,FALSE),VLOOKUP(B46,HWRange,7,FALSE)*VLOOKUP(B46,HWRange,3,FALSE)/I46,VLOOKUP(B46,HWRange,7,FALSE)))</f>
        <v>60</v>
      </c>
      <c r="G46" s="157">
        <f>IF(I47=$J$167,VLOOKUP(B46,HWRange,6,FALSE),VLOOKUP(B46,HWRange,6,FALSE)*I46/VLOOKUP(B46,HWRange,3,FALSE))</f>
        <v>240</v>
      </c>
      <c r="H46" s="161" t="s">
        <v>365</v>
      </c>
      <c r="I46" s="1247">
        <v>2</v>
      </c>
      <c r="J46" s="1881"/>
      <c r="K46" s="756" t="str">
        <f>A174</f>
        <v>Tier06</v>
      </c>
      <c r="L46" s="491">
        <f>IF(I47=$J$167,VLOOKUP(B46,HWRange,3,FALSE),I46)</f>
        <v>4</v>
      </c>
      <c r="M46" s="466" t="str">
        <f>IF(ISERROR(VLOOKUP($K46,$J$5:$J$19,1,FALSE)),IF(ISERROR(VLOOKUP($K46,$J$5:$J$19,1,FALSE)),"","/"&amp;$J$4),"/"&amp;$J$4)</f>
        <v/>
      </c>
      <c r="N46" s="467" t="str">
        <f>IF(ISERROR(VLOOKUP($K46,$K$5:$K$19,1,FALSE)),"","/"&amp;$K$4)</f>
        <v/>
      </c>
      <c r="O46" s="468">
        <f>IF(AND(O45="",M47=""),0,D46)</f>
        <v>0</v>
      </c>
      <c r="P46" s="1596" t="str">
        <f>IF(NOT(M46=""),Calculator!$A$158,IF(NOT(N46=""),Calculator!$B$158,IF(NOT(O45=""), Calculator!$C$158,Calculator!$G$158)))</f>
        <v>WindowsLinuxSolarisAIXHPUX</v>
      </c>
      <c r="Q46" s="1246" t="str">
        <f>VLOOKUP(B46,HWRange,2,FALSE)</f>
        <v>Xeon E5-2637v4</v>
      </c>
      <c r="R46" s="1187">
        <f>F47*VLOOKUP(B46,HWRange,8,FALSE)</f>
        <v>0</v>
      </c>
      <c r="S46" s="3070">
        <f>IF(OR(LEFT(B46,3)="AMI",LEFT(B46,3)="AZI"),LEFT(B46,3),0)</f>
        <v>0</v>
      </c>
      <c r="T46" s="1623" t="s">
        <v>366</v>
      </c>
      <c r="U46" s="1599" t="s">
        <v>307</v>
      </c>
      <c r="V46" s="822">
        <f t="shared" ref="V46:AD46" si="26">IF(V47=0,0,IF($A46&lt;0.5,$A46,"+"))</f>
        <v>0</v>
      </c>
      <c r="W46" s="2063">
        <f>IF(AND($N47="/"&amp;$Q$4,$H48=I$191,$H47=0),W$167,IF(W47=0,0,IF($A46&lt;0.5,$A46,"+")))</f>
        <v>0</v>
      </c>
      <c r="X46" s="318">
        <f t="shared" si="26"/>
        <v>0</v>
      </c>
      <c r="Y46" s="318">
        <f t="shared" si="26"/>
        <v>0</v>
      </c>
      <c r="Z46" s="318">
        <f t="shared" si="26"/>
        <v>0</v>
      </c>
      <c r="AA46" s="318">
        <f t="shared" si="26"/>
        <v>0</v>
      </c>
      <c r="AB46" s="318">
        <f t="shared" si="26"/>
        <v>0</v>
      </c>
      <c r="AC46" s="318">
        <f t="shared" si="26"/>
        <v>0</v>
      </c>
      <c r="AD46" s="823">
        <f t="shared" si="26"/>
        <v>0</v>
      </c>
      <c r="AE46" s="1185">
        <f>D46</f>
        <v>0</v>
      </c>
      <c r="AF46" s="2998">
        <f>AF$23</f>
        <v>24</v>
      </c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X46" s="1601"/>
      <c r="AY46" s="1601"/>
      <c r="BC46" s="1602"/>
      <c r="BF46" s="1592"/>
      <c r="BG46" s="1601"/>
      <c r="BH46" s="1601"/>
      <c r="BI46" s="1601"/>
      <c r="BJ46" s="1601"/>
      <c r="BK46" s="1601"/>
      <c r="BL46" s="1601"/>
      <c r="BM46" s="1601"/>
      <c r="BN46" s="1601"/>
      <c r="BO46" s="1601"/>
      <c r="BP46" s="885">
        <f>IF(A46&gt;0,1,0)</f>
        <v>0</v>
      </c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1691">
        <f t="shared" si="25"/>
        <v>0</v>
      </c>
      <c r="CH46" s="1590" t="str">
        <f t="shared" si="25"/>
        <v>Xeon E5-2637v4 4 core (1 chip) 3500 MHz</v>
      </c>
      <c r="CI46" s="1180">
        <f>F46</f>
        <v>60</v>
      </c>
      <c r="CJ46" s="1180">
        <f>G46</f>
        <v>240</v>
      </c>
      <c r="CK46" s="2723"/>
      <c r="CL46" s="1592"/>
      <c r="CM46" s="1594"/>
      <c r="CN46" s="1592"/>
      <c r="CQ46" s="1592"/>
      <c r="CR46" s="1594"/>
      <c r="CU46" s="1592"/>
      <c r="DA46" s="1592"/>
      <c r="DB46" s="1594"/>
      <c r="DE46" s="1592"/>
      <c r="DF46" s="1594"/>
      <c r="DI46" s="1592"/>
      <c r="DJ46" s="1602"/>
      <c r="DK46" s="1602"/>
      <c r="DL46" s="1592"/>
      <c r="DM46" s="1602"/>
      <c r="DN46" s="1594"/>
      <c r="DO46" s="1594"/>
      <c r="DP46" s="394"/>
      <c r="DQ46" s="1602"/>
      <c r="DR46" s="1594"/>
      <c r="DS46" s="1594"/>
      <c r="DT46" s="1415"/>
      <c r="DW46" s="1602"/>
      <c r="DX46" s="1594"/>
      <c r="DY46" s="1415"/>
      <c r="EC46" s="1602"/>
      <c r="ED46" s="1415"/>
      <c r="EH46" s="1594"/>
      <c r="EI46" s="1602"/>
      <c r="EJ46" s="1415"/>
      <c r="EN46" s="1594"/>
      <c r="EO46" s="1602"/>
      <c r="EP46" s="1415"/>
      <c r="ET46" s="1594"/>
      <c r="EU46" s="1602"/>
      <c r="EV46" s="1415"/>
      <c r="EZ46" s="1594"/>
      <c r="FA46" s="1602"/>
      <c r="FB46" s="1415"/>
      <c r="FF46" s="1594"/>
      <c r="FG46" s="1602"/>
      <c r="FH46" s="1415"/>
      <c r="FL46" s="1594"/>
      <c r="FM46" s="1602"/>
      <c r="FN46" s="1415"/>
      <c r="FR46" s="1594"/>
      <c r="FS46" s="1602"/>
      <c r="FT46" s="1415"/>
      <c r="FX46" s="1594"/>
      <c r="FY46" s="1602"/>
      <c r="FZ46" s="1415"/>
      <c r="GD46" s="1594"/>
      <c r="GE46" s="1602"/>
      <c r="GG46" s="1415"/>
      <c r="GJ46" s="1594"/>
      <c r="GK46" s="1602"/>
      <c r="GM46" s="1415"/>
      <c r="GO46" s="1415"/>
      <c r="GP46" s="1594"/>
      <c r="GQ46" s="1602"/>
      <c r="GS46" s="1415"/>
      <c r="GT46" s="1415"/>
    </row>
    <row r="47" spans="1:209" ht="14" hidden="1" outlineLevel="2" thickBot="1" x14ac:dyDescent="0.2">
      <c r="A47" s="2825">
        <f>IF(E45=0,0,ER$22)</f>
        <v>0</v>
      </c>
      <c r="B47" s="3079" t="str">
        <f>"Install ("&amp;C48&amp;M45&amp;N45&amp;O45&amp;M46&amp;N46&amp;M47&amp;N47&amp;")"</f>
        <v>Install (Physical)</v>
      </c>
      <c r="C47" s="258">
        <f>IF(E45=0,0, IF(I47=Calculator!$H$160,1,E47/O47)*H45)</f>
        <v>0</v>
      </c>
      <c r="D47" s="140">
        <f>IF(J47=$H$192,J48,0)+IF(E45=0,0,J45*E45)*($BO$2/F46)</f>
        <v>0</v>
      </c>
      <c r="E47" s="141">
        <f>IF(E45=0,0,L46*60/D47)</f>
        <v>0</v>
      </c>
      <c r="F47" s="142">
        <f>IF(L47=0,0,IF(H47,H47,IF(I47=Calculator!$H$160,A45,IF(N47="/DBMS",1,IF(H48=$I$191,IF(N46="",IF(L47=1,2,L47),L47+1),L47)))))</f>
        <v>0</v>
      </c>
      <c r="G47" s="158">
        <f>IF(E45=0,0,IF(F47&gt;0,+E47*F47,"Nodes?"))</f>
        <v>0</v>
      </c>
      <c r="H47" s="143"/>
      <c r="I47" s="1248" t="s">
        <v>408</v>
      </c>
      <c r="J47" s="2819" t="str">
        <f>J42</f>
        <v xml:space="preserve">Siloed </v>
      </c>
      <c r="K47" s="1604">
        <f>IF(AND(N47="",N46=""),2,4)</f>
        <v>2</v>
      </c>
      <c r="L47" s="1605">
        <f>IF(H47,H47,IF(E45=0,0,IF(A47&gt;0,+INT(A47/(E47*H45))+1,0)))</f>
        <v>0</v>
      </c>
      <c r="M47" s="469" t="str">
        <f>IF(ISERROR(VLOOKUP($K46,$O$5:$O$19,1,FALSE)),IF(ISERROR(VLOOKUP($K46,$O$5:$O$19,1,FALSE)),"","/"&amp;$O$4),"/"&amp;$O$4)</f>
        <v/>
      </c>
      <c r="N47" s="470" t="str">
        <f>IF(ISERROR(VLOOKUP($K46,$Q$5:$Q$19,1,FALSE)),IF(ISERROR(VLOOKUP($K46,$Q$5:$Q$19,1,FALSE)),"","/"&amp;$Q$4),"/"&amp;$Q$4)</f>
        <v/>
      </c>
      <c r="O47" s="471">
        <f>IF($EQ$22&gt;0,$ER$22/$EQ$22,0)</f>
        <v>0</v>
      </c>
      <c r="P47" s="886"/>
      <c r="Q47" s="1714">
        <f>D46/VLOOKUP(B46,HWRange,3,FALSE)</f>
        <v>0</v>
      </c>
      <c r="R47" s="1877">
        <f>P174</f>
        <v>0</v>
      </c>
      <c r="S47" s="1982">
        <f>IF(E45=0,0,H45*A45/A46)</f>
        <v>0</v>
      </c>
      <c r="T47" s="135">
        <v>10000</v>
      </c>
      <c r="U47" s="1608">
        <f>IF(E45=0,0,IF(U48=$I$192,U45,ET$22/F47))</f>
        <v>0</v>
      </c>
      <c r="V47" s="1826">
        <f>IF(G47&gt;0,1,0)</f>
        <v>0</v>
      </c>
      <c r="W47" s="1827">
        <f t="shared" ref="W47:AC47" si="27">IF(V47&gt;0,IF($F47&gt;V47,V47+1,0),0)</f>
        <v>0</v>
      </c>
      <c r="X47" s="1827">
        <f t="shared" si="27"/>
        <v>0</v>
      </c>
      <c r="Y47" s="1827">
        <f t="shared" si="27"/>
        <v>0</v>
      </c>
      <c r="Z47" s="1827">
        <f t="shared" si="27"/>
        <v>0</v>
      </c>
      <c r="AA47" s="1827">
        <f t="shared" si="27"/>
        <v>0</v>
      </c>
      <c r="AB47" s="1827">
        <f t="shared" si="27"/>
        <v>0</v>
      </c>
      <c r="AC47" s="1827">
        <f t="shared" si="27"/>
        <v>0</v>
      </c>
      <c r="AD47" s="1828">
        <f>IF(AC47&gt;0,IF($F47&gt;AC47,"…"&amp;$F47,0),0)</f>
        <v>0</v>
      </c>
      <c r="AE47" s="1829">
        <f>A46</f>
        <v>0</v>
      </c>
      <c r="AF47" s="2978">
        <f>IF(AF46="","",IF(H47=0,0,H47/AF46+IF(H48=$I$191,1,0)))</f>
        <v>0</v>
      </c>
      <c r="AG47" s="1591"/>
      <c r="AH47" s="1591"/>
      <c r="AI47" s="1591"/>
      <c r="AJ47" s="1591"/>
      <c r="AK47" s="1591"/>
      <c r="AL47" s="1591"/>
      <c r="AM47" s="1591"/>
      <c r="AN47" s="1591"/>
      <c r="AO47" s="1591"/>
      <c r="AP47" s="1591"/>
      <c r="AQ47" s="1591"/>
      <c r="AR47" s="1591"/>
      <c r="AS47" s="1591"/>
      <c r="AT47" s="1591"/>
      <c r="AU47" s="1591"/>
      <c r="AV47" s="1591"/>
      <c r="BC47" s="1602"/>
      <c r="BF47" s="1592"/>
      <c r="BG47" s="1601"/>
      <c r="BH47" s="1601"/>
      <c r="BI47" s="1601"/>
      <c r="BJ47" s="1601"/>
      <c r="BK47" s="1601"/>
      <c r="BL47" s="1601"/>
      <c r="BM47" s="1601"/>
      <c r="BN47" s="1601"/>
      <c r="BO47" s="1601"/>
      <c r="BP47" s="1606"/>
      <c r="BQ47" s="890"/>
      <c r="BR47" s="890"/>
      <c r="BS47" s="890"/>
      <c r="BT47" s="890"/>
      <c r="BU47" s="890"/>
      <c r="BV47" s="890"/>
      <c r="BW47" s="890"/>
      <c r="BX47" s="890"/>
      <c r="BY47" s="890"/>
      <c r="BZ47" s="890"/>
      <c r="CA47" s="890"/>
      <c r="CB47" s="890"/>
      <c r="CC47" s="890"/>
      <c r="CD47" s="890"/>
      <c r="CE47" s="890"/>
      <c r="CF47" s="1606"/>
      <c r="CG47" s="1692">
        <f t="shared" si="25"/>
        <v>0</v>
      </c>
      <c r="CH47" s="1693" t="str">
        <f t="shared" si="25"/>
        <v>Install (Physical)</v>
      </c>
      <c r="CI47" s="1181">
        <f>F47</f>
        <v>0</v>
      </c>
      <c r="CJ47" s="2719">
        <f>D46</f>
        <v>0</v>
      </c>
      <c r="CK47" s="2724">
        <f>T47</f>
        <v>10000</v>
      </c>
      <c r="CL47" s="1592"/>
      <c r="CM47" s="1594"/>
      <c r="CN47" s="1592"/>
      <c r="CQ47" s="1592"/>
      <c r="CR47" s="1594"/>
      <c r="CU47" s="1592"/>
      <c r="DA47" s="1592"/>
      <c r="DB47" s="1594"/>
      <c r="DE47" s="1592"/>
      <c r="DF47" s="1594"/>
      <c r="DI47" s="1592"/>
      <c r="DJ47" s="1602"/>
      <c r="DK47" s="1602"/>
      <c r="DL47" s="1592"/>
      <c r="DM47" s="1602"/>
      <c r="DN47" s="1594"/>
      <c r="DO47" s="1594"/>
      <c r="DP47" s="394"/>
      <c r="DQ47" s="1602"/>
      <c r="DR47" s="1597"/>
      <c r="DS47" s="1597"/>
      <c r="DT47" s="1415"/>
      <c r="DW47" s="1602"/>
      <c r="DX47" s="1597"/>
      <c r="DY47" s="1415"/>
      <c r="EC47" s="1602"/>
      <c r="ED47" s="1415"/>
      <c r="EH47" s="1597"/>
      <c r="EI47" s="1602"/>
      <c r="EJ47" s="1415"/>
      <c r="EN47" s="1597"/>
      <c r="EO47" s="1602"/>
      <c r="EP47" s="1415"/>
      <c r="ET47" s="1597"/>
      <c r="EU47" s="1602"/>
      <c r="EV47" s="1415"/>
      <c r="EZ47" s="1597"/>
      <c r="FA47" s="1602"/>
      <c r="FB47" s="1415"/>
      <c r="FF47" s="1597"/>
      <c r="FG47" s="1602"/>
      <c r="FH47" s="1415"/>
      <c r="FL47" s="1597"/>
      <c r="FM47" s="1602"/>
      <c r="FN47" s="1415"/>
      <c r="FR47" s="1597"/>
      <c r="FS47" s="1602"/>
      <c r="FT47" s="1415"/>
      <c r="FX47" s="1597"/>
      <c r="FY47" s="1602"/>
      <c r="FZ47" s="1415"/>
      <c r="GD47" s="1597"/>
      <c r="GE47" s="1602"/>
      <c r="GG47" s="1415"/>
      <c r="GJ47" s="1597"/>
      <c r="GK47" s="1602"/>
      <c r="GM47" s="1415"/>
      <c r="GO47" s="1415"/>
      <c r="GP47" s="1597"/>
      <c r="GQ47" s="1602"/>
      <c r="GS47" s="1415"/>
      <c r="GT47" s="1415"/>
    </row>
    <row r="48" spans="1:209" ht="15" hidden="1" outlineLevel="1" collapsed="1" x14ac:dyDescent="0.15">
      <c r="A48" s="916">
        <f>IF(A47=0,0,ROUND(100*A46,0)&amp;"% CPU")</f>
        <v>0</v>
      </c>
      <c r="B48" s="917">
        <f>IF(A47&gt;0,IF(I47=$J$167,K46&amp;": "&amp;F47&amp;"x "&amp;B46&amp;" "&amp;C46&amp;" GB RAM",$K46&amp;": "&amp;$F47&amp;"x VM ("&amp;I46&amp;" core "&amp;C46&amp;" GB RAM) "&amp;Q46&amp;" "&amp;L45&amp;" MHz"),0)</f>
        <v>0</v>
      </c>
      <c r="C48" s="1609" t="str">
        <f>IF(I47=$H$189,I47,I45)</f>
        <v>Physical</v>
      </c>
      <c r="D48" s="918">
        <f>A45</f>
        <v>0</v>
      </c>
      <c r="E48" s="919">
        <f>IF(E47&gt;0,ROUND(E47*60/1000,0)&amp;"K TPH",0)</f>
        <v>0</v>
      </c>
      <c r="F48" s="920">
        <f>+L47</f>
        <v>0</v>
      </c>
      <c r="G48" s="919">
        <f>IF(G47&gt;0,ROUND(G47*60/1000,0)&amp;"K TPH",0)</f>
        <v>0</v>
      </c>
      <c r="H48" s="921" t="str">
        <f>H$23</f>
        <v>Minimum</v>
      </c>
      <c r="I48" s="1736">
        <f>IF(I47=$J$167,0,I45)</f>
        <v>0</v>
      </c>
      <c r="J48" s="2086">
        <f>IF(AND(O45="/"&amp;$N$4,J47=$H$192),IF(F47&gt;0,(F47-1)*A47/(60*$H$194),0),0)</f>
        <v>0</v>
      </c>
      <c r="K48" s="2086">
        <f>IF(E45&gt;0,D47/E45,0)</f>
        <v>0</v>
      </c>
      <c r="L48" s="2080">
        <f>IF($W46=$W$167,2,F47)</f>
        <v>0</v>
      </c>
      <c r="M48" s="3134">
        <f>IF(AND(S48&gt;0,I47=$H$189),1,0)</f>
        <v>0</v>
      </c>
      <c r="N48" s="1618"/>
      <c r="O48" s="1618"/>
      <c r="P48" s="922"/>
      <c r="Q48" s="1737">
        <f>IF($A50&lt;0.9999, $A50/((1+$CJ$2*$A50*($L50-1))*(1-$A50)),200)</f>
        <v>0</v>
      </c>
      <c r="R48" s="1618"/>
      <c r="S48" s="3118">
        <f>IF(LEFT(B46,3)=S46,VLOOKUP(B46,HWRange,10,FALSE),0)</f>
        <v>0</v>
      </c>
      <c r="T48" s="940" t="str">
        <f>U48</f>
        <v>Client</v>
      </c>
      <c r="U48" s="1595" t="s">
        <v>303</v>
      </c>
      <c r="V48" s="1918">
        <f>IF(A46&gt;0,B48&amp;" "&amp;C48&amp;IF(B48="",""," GB RAM"),0)</f>
        <v>0</v>
      </c>
      <c r="W48" s="1819"/>
      <c r="X48" s="1819"/>
      <c r="Y48" s="1819"/>
      <c r="Z48" s="1819"/>
      <c r="AA48" s="1819"/>
      <c r="AB48" s="1819"/>
      <c r="AC48" s="1819"/>
      <c r="AD48" s="1819"/>
      <c r="AE48" s="1919">
        <f>IF(A46&gt;0,F46,0)</f>
        <v>0</v>
      </c>
      <c r="AF48" s="2876">
        <f>IF(A45=0,0,IF(LEFT(B46,3)=S46,VLOOKUP(B46,HWRange,12,FALSE),0)*F47)</f>
        <v>0</v>
      </c>
      <c r="AG48" s="2877" t="str">
        <f>IF(AF48&gt;0,S46&amp;" 3-yr Pricing","")</f>
        <v/>
      </c>
      <c r="AH48" s="2878"/>
      <c r="AI48" s="1591"/>
      <c r="AJ48" s="1591"/>
      <c r="AK48" s="1591"/>
      <c r="AL48" s="1591"/>
      <c r="AM48" s="1591"/>
      <c r="AN48" s="1591"/>
      <c r="AO48" s="1591"/>
      <c r="AP48" s="1591"/>
      <c r="AQ48" s="1591"/>
      <c r="AR48" s="1591"/>
      <c r="AS48" s="1591"/>
      <c r="AT48" s="1591"/>
      <c r="AU48" s="1591"/>
      <c r="AV48" s="1591"/>
      <c r="AX48" s="1601"/>
      <c r="AY48" s="1601"/>
      <c r="BB48" s="1415">
        <f>BC47</f>
        <v>0</v>
      </c>
      <c r="BC48" s="1614"/>
      <c r="BF48" s="1592"/>
      <c r="BG48" s="1893"/>
      <c r="BH48" s="1601"/>
      <c r="BI48" s="1601"/>
      <c r="BJ48" s="1601"/>
      <c r="BK48" s="1601"/>
      <c r="BL48" s="1601"/>
      <c r="BM48" s="1601"/>
      <c r="BN48" s="1601"/>
      <c r="BO48" s="1601"/>
      <c r="BP48" s="1619"/>
      <c r="BQ48" s="923"/>
      <c r="BR48" s="923"/>
      <c r="BS48" s="923"/>
      <c r="BT48" s="923"/>
      <c r="BU48" s="923"/>
      <c r="BV48" s="923"/>
      <c r="BW48" s="923"/>
      <c r="BX48" s="923"/>
      <c r="BY48" s="923"/>
      <c r="BZ48" s="923"/>
      <c r="CA48" s="923"/>
      <c r="CB48" s="923"/>
      <c r="CC48" s="923"/>
      <c r="CD48" s="923"/>
      <c r="CE48" s="923"/>
      <c r="CF48" s="1619"/>
      <c r="CG48" s="3403">
        <f>B48</f>
        <v>0</v>
      </c>
      <c r="CH48" s="3404"/>
      <c r="CI48" s="3404"/>
      <c r="CJ48" s="3404"/>
      <c r="CK48" s="2723"/>
      <c r="CL48" s="1592"/>
      <c r="CM48" s="1594"/>
      <c r="CN48" s="1592"/>
      <c r="CQ48" s="1592"/>
      <c r="CR48" s="1594"/>
      <c r="CU48" s="1592"/>
      <c r="DA48" s="1592"/>
      <c r="DB48" s="1594"/>
      <c r="DE48" s="1592"/>
      <c r="DF48" s="1594"/>
      <c r="DI48" s="1592"/>
      <c r="DJ48" s="1614"/>
      <c r="DK48" s="1614"/>
      <c r="DL48" s="1592"/>
      <c r="DM48" s="1614"/>
      <c r="DN48" s="1594"/>
      <c r="DO48" s="1594"/>
      <c r="DP48" s="394"/>
      <c r="DQ48" s="1614"/>
      <c r="DR48" s="1597"/>
      <c r="DS48" s="1597"/>
      <c r="DT48" s="1415"/>
      <c r="DW48" s="1614"/>
      <c r="DX48" s="1597"/>
      <c r="DY48" s="1415"/>
      <c r="EC48" s="1614"/>
      <c r="ED48" s="1415"/>
      <c r="EH48" s="1597"/>
      <c r="EI48" s="1614"/>
      <c r="EJ48" s="1415"/>
      <c r="EN48" s="1597"/>
      <c r="EO48" s="1614"/>
      <c r="EP48" s="1415"/>
      <c r="ET48" s="1597"/>
      <c r="EU48" s="1614"/>
      <c r="EV48" s="1415"/>
      <c r="EZ48" s="1597"/>
      <c r="FA48" s="1614"/>
      <c r="FB48" s="1415"/>
      <c r="FF48" s="1597"/>
      <c r="FG48" s="1614"/>
      <c r="FH48" s="1415"/>
      <c r="FL48" s="1597"/>
      <c r="FM48" s="1614"/>
      <c r="FN48" s="1415"/>
      <c r="FR48" s="1597"/>
      <c r="FS48" s="1614"/>
      <c r="FT48" s="1415"/>
      <c r="FX48" s="1597"/>
      <c r="FY48" s="1614"/>
      <c r="FZ48" s="1415"/>
      <c r="GD48" s="1597"/>
      <c r="GE48" s="1614"/>
      <c r="GG48" s="1415"/>
      <c r="GJ48" s="1597"/>
      <c r="GK48" s="1614"/>
      <c r="GM48" s="1415"/>
      <c r="GO48" s="1415"/>
      <c r="GP48" s="1597"/>
      <c r="GQ48" s="1614"/>
      <c r="GS48" s="1415"/>
      <c r="GT48" s="1415"/>
    </row>
    <row r="49" spans="1:209" ht="17" hidden="1" outlineLevel="2" thickBot="1" x14ac:dyDescent="0.25">
      <c r="A49" s="2823">
        <f>IF(O51&gt;0,A51/O51,0)</f>
        <v>0</v>
      </c>
      <c r="B49" s="552" t="s">
        <v>1457</v>
      </c>
      <c r="C49" s="136" t="str">
        <f>VLOOKUP(B50,Hardware!$A$2:$I$632,9,FALSE)</f>
        <v>Intel</v>
      </c>
      <c r="D49" s="137" t="str">
        <f>D45</f>
        <v>Arc18=</v>
      </c>
      <c r="E49" s="138">
        <f>IF(EW$22=0,0,IF(FA$22&gt;0,FA$22/EX$22))</f>
        <v>0</v>
      </c>
      <c r="F49" s="139" t="s">
        <v>328</v>
      </c>
      <c r="G49" s="1585"/>
      <c r="H49" s="1586">
        <v>0.8</v>
      </c>
      <c r="I49" s="1739" t="str">
        <f>I45</f>
        <v>Host01</v>
      </c>
      <c r="J49" s="207">
        <f>IF(K49&gt;0,K49,IF(I51=Calculator!$H$158,1, IF(OR(R49=Calculator!$H$162,R49=Calculator!$H$163), VLOOKUP(I51,VAdjust,2,FALSE),1)))</f>
        <v>1</v>
      </c>
      <c r="K49" s="2456"/>
      <c r="L49" s="722">
        <f>VLOOKUP(B50,HWRange,5,FALSE)</f>
        <v>3500</v>
      </c>
      <c r="M49" s="464" t="str">
        <f>IF(ISERROR(VLOOKUP($K50,$L$5:$L$19,1,FALSE)),"","/"&amp;$L$4)</f>
        <v/>
      </c>
      <c r="N49" s="257" t="str">
        <f>IF(ISERROR(VLOOKUP($K50,$M$5:$M$19,1,FALSE)),IF(ISERROR(VLOOKUP($K50,$M$5:$M$19,1,FALSE)),"","/"&amp;$M$4),"/"&amp;$M$4)</f>
        <v/>
      </c>
      <c r="O49" s="465" t="str">
        <f>IF(ISERROR(VLOOKUP($K50,$N$5:$N$19,1,FALSE)),IF(ISERROR(VLOOKUP($K50,$N$5:$N$19,1,FALSE)),"","/"&amp;$N$4),"/"&amp;$N$4)</f>
        <v/>
      </c>
      <c r="P49" s="1587">
        <f>IF(A50=0,0,IF(P51&gt;0,1000*C50/C51,1000*C50/C51))/2</f>
        <v>0</v>
      </c>
      <c r="Q49" s="1734">
        <f>IF(I51=$J$167,0,VLOOKUP(I49,HostArray,2,FALSE))</f>
        <v>0</v>
      </c>
      <c r="R49" s="1588" t="s">
        <v>412</v>
      </c>
      <c r="S49" s="3071" t="str">
        <f>IF(S50=LEFT(B50,3),_xlfn.NUMBERVALUE(MID(B50,FIND("(",B50,1)+1,FIND(")",B50,1)-FIND("(",B50,1)-3)),"")</f>
        <v/>
      </c>
      <c r="T49" s="135">
        <v>10000</v>
      </c>
      <c r="U49" s="1616">
        <f>IF(E49&gt;0,IF(AND(M51="",N51=""),ES$22/F51,ET$22/F51),0)</f>
        <v>0</v>
      </c>
      <c r="V49" s="1822">
        <f>IF(V51&gt;0,IF($A50&gt;0.5,$A50,""),0)</f>
        <v>0</v>
      </c>
      <c r="W49" s="1823">
        <f>IF(AND($W50=W$167,$H52=I$191),W$168,IF(W51&gt;0,IF($A50&gt;0.5,$A50,""),0))</f>
        <v>0</v>
      </c>
      <c r="X49" s="1823">
        <f t="shared" ref="X49:AD49" si="28">IF(X51&gt;0,IF($A50&gt;0.5,$A50,""),0)</f>
        <v>0</v>
      </c>
      <c r="Y49" s="1823">
        <f t="shared" si="28"/>
        <v>0</v>
      </c>
      <c r="Z49" s="1823">
        <f t="shared" si="28"/>
        <v>0</v>
      </c>
      <c r="AA49" s="1823">
        <f t="shared" si="28"/>
        <v>0</v>
      </c>
      <c r="AB49" s="1823">
        <f t="shared" si="28"/>
        <v>0</v>
      </c>
      <c r="AC49" s="1823">
        <f t="shared" si="28"/>
        <v>0</v>
      </c>
      <c r="AD49" s="1824">
        <f t="shared" si="28"/>
        <v>0</v>
      </c>
      <c r="AE49" s="1825">
        <f>L52</f>
        <v>0</v>
      </c>
      <c r="AF49" s="2977" t="str">
        <f>IF(I51=$H$191,$AF$22,"")</f>
        <v/>
      </c>
      <c r="AG49" s="1600"/>
      <c r="AH49" s="1600"/>
      <c r="AI49" s="1600"/>
      <c r="AJ49" s="1600"/>
      <c r="AK49" s="1600"/>
      <c r="AL49" s="1600"/>
      <c r="AM49" s="1600"/>
      <c r="AN49" s="1600"/>
      <c r="AO49" s="1600"/>
      <c r="AP49" s="1600"/>
      <c r="AQ49" s="1600"/>
      <c r="AR49" s="1600"/>
      <c r="AS49" s="1600"/>
      <c r="AT49" s="1600"/>
      <c r="AU49" s="1600"/>
      <c r="AV49" s="1600"/>
      <c r="AX49" s="2"/>
      <c r="AY49" s="2"/>
      <c r="BC49" s="1"/>
      <c r="BF49" s="1592"/>
      <c r="BG49" s="1593"/>
      <c r="BH49" s="1593"/>
      <c r="BI49" s="1593"/>
      <c r="BJ49" s="1593"/>
      <c r="BK49" s="1593"/>
      <c r="BL49" s="1593"/>
      <c r="BM49" s="1593"/>
      <c r="BN49" s="1593"/>
      <c r="BO49" s="1593"/>
      <c r="BP49" s="889"/>
      <c r="BQ49" s="889"/>
      <c r="BR49" s="889"/>
      <c r="BS49" s="889"/>
      <c r="BT49" s="889"/>
      <c r="BU49" s="889"/>
      <c r="BV49" s="1615"/>
      <c r="BW49" s="1615"/>
      <c r="BX49" s="1615"/>
      <c r="BY49" s="1615"/>
      <c r="BZ49" s="1615"/>
      <c r="CA49" s="1615"/>
      <c r="CB49" s="1615"/>
      <c r="CC49" s="1615"/>
      <c r="CD49" s="1615"/>
      <c r="CE49" s="1615"/>
      <c r="CF49" s="1615"/>
      <c r="CG49" s="1689">
        <f t="shared" ref="CG49:CH51" si="29">A49</f>
        <v>0</v>
      </c>
      <c r="CH49" s="1690" t="str">
        <f t="shared" si="29"/>
        <v>Tier07: Platform Tier 07</v>
      </c>
      <c r="CI49" s="1179" t="str">
        <f>F49</f>
        <v>SRint2006</v>
      </c>
      <c r="CJ49" s="2718"/>
      <c r="CK49" s="2724">
        <f>T49</f>
        <v>10000</v>
      </c>
      <c r="CL49" s="1592"/>
      <c r="CM49" s="1594"/>
      <c r="CN49" s="1592"/>
      <c r="CQ49" s="1592"/>
      <c r="CR49" s="1594"/>
      <c r="CU49" s="1592"/>
      <c r="DA49" s="1592"/>
      <c r="DB49" s="1594"/>
      <c r="DE49" s="1592"/>
      <c r="DF49" s="1594"/>
      <c r="DI49" s="1592"/>
      <c r="DJ49" s="1"/>
      <c r="DK49" s="1"/>
      <c r="DL49" s="1592"/>
      <c r="DM49" s="1"/>
      <c r="DN49" s="1594"/>
      <c r="DO49" s="1595"/>
      <c r="DP49" s="394"/>
      <c r="DQ49" s="1"/>
      <c r="DR49" s="1593"/>
      <c r="DS49" s="1593"/>
      <c r="DT49" s="1415"/>
      <c r="DW49" s="1"/>
      <c r="DX49" s="1593"/>
      <c r="DY49" s="1415"/>
      <c r="EC49" s="1"/>
      <c r="ED49" s="1415"/>
      <c r="EH49" s="1593"/>
      <c r="EI49" s="1"/>
      <c r="EJ49" s="1415"/>
      <c r="EN49" s="1593"/>
      <c r="EO49" s="1"/>
      <c r="EP49" s="1415"/>
      <c r="ET49" s="1593"/>
      <c r="EU49" s="1"/>
      <c r="EV49" s="1415"/>
      <c r="EZ49" s="1593"/>
      <c r="FA49" s="1"/>
      <c r="FB49" s="1415"/>
      <c r="FF49" s="1593"/>
      <c r="FG49" s="1"/>
      <c r="FH49" s="1415"/>
      <c r="FL49" s="1593"/>
      <c r="FM49" s="1"/>
      <c r="FN49" s="1415"/>
      <c r="FR49" s="1593"/>
      <c r="FS49" s="1"/>
      <c r="FT49" s="1415"/>
      <c r="FX49" s="1593"/>
      <c r="FY49" s="1"/>
      <c r="FZ49" s="1415"/>
      <c r="GD49" s="1593"/>
      <c r="GE49" s="1"/>
      <c r="GG49" s="1415"/>
      <c r="GJ49" s="1593"/>
      <c r="GK49" s="1"/>
      <c r="GM49" s="1415"/>
      <c r="GO49" s="1415"/>
      <c r="GP49" s="1593"/>
      <c r="GQ49" s="1"/>
      <c r="GS49" s="1415"/>
      <c r="GT49" s="1415"/>
    </row>
    <row r="50" spans="1:209" ht="15" hidden="1" outlineLevel="2" x14ac:dyDescent="0.2">
      <c r="A50" s="2824">
        <f>IF(E49=0,0,A51/G51)</f>
        <v>0</v>
      </c>
      <c r="B50" s="156" t="str">
        <f>B41</f>
        <v>Xeon E5-2637v4 4 core (1 chip) 3500 MHz</v>
      </c>
      <c r="C50" s="206">
        <f>ROUND(IF(P51&gt;0,2*P51*C51/1000, IF(L51=0,0, IF(I51=Calculator!$H$160, Calculator!$J$160*(1+L50), IF(K51=4, 4*H49*G50/13.4,L50*Calculator!$J$151)))),0)</f>
        <v>0</v>
      </c>
      <c r="D50" s="205">
        <f>F51*L50</f>
        <v>0</v>
      </c>
      <c r="E50" s="70" t="str">
        <f>IF(I51=J171,F51*VLOOKUP(B50,HWRange,8,FALSE),"Virtual Server")</f>
        <v>Virtual Server</v>
      </c>
      <c r="F50" s="71">
        <f>IF(I51=$J$167,VLOOKUP(B50,HWRange,7,FALSE),IF(I50&gt;VLOOKUP(B50,HWRange,3,FALSE),VLOOKUP(B50,HWRange,7,FALSE)*VLOOKUP(B50,HWRange,3,FALSE)/I50,VLOOKUP(B50,HWRange,7,FALSE)))</f>
        <v>60</v>
      </c>
      <c r="G50" s="157">
        <f>IF(I51=$J$167,VLOOKUP(B50,HWRange,6,FALSE),VLOOKUP(B50,HWRange,6,FALSE)*I50/VLOOKUP(B50,HWRange,3,FALSE))</f>
        <v>240</v>
      </c>
      <c r="H50" s="161" t="s">
        <v>365</v>
      </c>
      <c r="I50" s="1247">
        <v>2</v>
      </c>
      <c r="J50" s="1881"/>
      <c r="K50" s="756" t="str">
        <f>A175</f>
        <v>Tier07</v>
      </c>
      <c r="L50" s="491">
        <f>IF(I51=$J$167,VLOOKUP(B50,HWRange,3,FALSE),I50)</f>
        <v>4</v>
      </c>
      <c r="M50" s="466" t="str">
        <f>IF(ISERROR(VLOOKUP($K50,$J$5:$J$19,1,FALSE)),IF(ISERROR(VLOOKUP($K50,$J$5:$J$19,1,FALSE)),"","/"&amp;$J$4),"/"&amp;$J$4)</f>
        <v/>
      </c>
      <c r="N50" s="467" t="str">
        <f>IF(ISERROR(VLOOKUP($K50,$K$5:$K$19,1,FALSE)),"","/"&amp;$K$4)</f>
        <v/>
      </c>
      <c r="O50" s="468">
        <f>IF(AND(O49="",M51=""),0,D50)</f>
        <v>0</v>
      </c>
      <c r="P50" s="1596" t="str">
        <f>IF(NOT(M50=""),Calculator!$A$158,IF(NOT(N50=""),Calculator!$B$158,IF(NOT(O49=""), Calculator!$C$158,Calculator!$G$158)))</f>
        <v>WindowsLinuxSolarisAIXHPUX</v>
      </c>
      <c r="Q50" s="1246" t="str">
        <f>VLOOKUP(B50,HWRange,2,FALSE)</f>
        <v>Xeon E5-2637v4</v>
      </c>
      <c r="R50" s="1187">
        <f>F51*VLOOKUP(B50,HWRange,8,FALSE)</f>
        <v>0</v>
      </c>
      <c r="S50" s="3070">
        <f>IF(OR(LEFT(B50,3)="AMI",LEFT(B50,3)="AZI"),LEFT(B50,3),0)</f>
        <v>0</v>
      </c>
      <c r="T50" s="1623" t="s">
        <v>366</v>
      </c>
      <c r="U50" s="1599" t="s">
        <v>307</v>
      </c>
      <c r="V50" s="822">
        <f t="shared" ref="V50:AD50" si="30">IF(V51=0,0,IF($A50&lt;0.5,$A50,"+"))</f>
        <v>0</v>
      </c>
      <c r="W50" s="2063">
        <f>IF(AND($N51="/"&amp;$Q$4,$H52=I$191,$H51=0),W$167,IF(W51=0,0,IF($A50&lt;0.5,$A50,"+")))</f>
        <v>0</v>
      </c>
      <c r="X50" s="318">
        <f t="shared" si="30"/>
        <v>0</v>
      </c>
      <c r="Y50" s="318">
        <f t="shared" si="30"/>
        <v>0</v>
      </c>
      <c r="Z50" s="318">
        <f t="shared" si="30"/>
        <v>0</v>
      </c>
      <c r="AA50" s="318">
        <f t="shared" si="30"/>
        <v>0</v>
      </c>
      <c r="AB50" s="318">
        <f t="shared" si="30"/>
        <v>0</v>
      </c>
      <c r="AC50" s="318">
        <f t="shared" si="30"/>
        <v>0</v>
      </c>
      <c r="AD50" s="823">
        <f t="shared" si="30"/>
        <v>0</v>
      </c>
      <c r="AE50" s="1185">
        <f>D50</f>
        <v>0</v>
      </c>
      <c r="AF50" s="2998">
        <f>AF$23</f>
        <v>24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X50" s="1601"/>
      <c r="AY50" s="1601"/>
      <c r="BC50" s="1602"/>
      <c r="BF50" s="1592"/>
      <c r="BG50" s="1601"/>
      <c r="BH50" s="1601"/>
      <c r="BI50" s="1601"/>
      <c r="BJ50" s="1601"/>
      <c r="BK50" s="1601"/>
      <c r="BL50" s="1601"/>
      <c r="BM50" s="1601"/>
      <c r="BN50" s="1601"/>
      <c r="BO50" s="1601"/>
      <c r="BP50" s="885">
        <f>IF(A50&gt;0,1,0)</f>
        <v>0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1691">
        <f t="shared" si="29"/>
        <v>0</v>
      </c>
      <c r="CH50" s="1590" t="str">
        <f t="shared" si="29"/>
        <v>Xeon E5-2637v4 4 core (1 chip) 3500 MHz</v>
      </c>
      <c r="CI50" s="1180">
        <f>F50</f>
        <v>60</v>
      </c>
      <c r="CJ50" s="1180">
        <f>G50</f>
        <v>240</v>
      </c>
      <c r="CK50" s="2723"/>
      <c r="CL50" s="1592"/>
      <c r="CM50" s="1594"/>
      <c r="CN50" s="1592"/>
      <c r="CQ50" s="1592"/>
      <c r="CR50" s="1594"/>
      <c r="CU50" s="1592"/>
      <c r="DA50" s="1592"/>
      <c r="DB50" s="1594"/>
      <c r="DE50" s="1592"/>
      <c r="DF50" s="1594"/>
      <c r="DI50" s="1592"/>
      <c r="DJ50" s="1602"/>
      <c r="DK50" s="1602"/>
      <c r="DL50" s="1592"/>
      <c r="DM50" s="1602"/>
      <c r="DN50" s="1594"/>
      <c r="DO50" s="1594"/>
      <c r="DP50" s="394"/>
      <c r="DQ50" s="1602"/>
      <c r="DR50" s="1594"/>
      <c r="DS50" s="1594"/>
      <c r="DT50" s="1415"/>
      <c r="DW50" s="1602"/>
      <c r="DX50" s="1594"/>
      <c r="DY50" s="1415"/>
      <c r="EC50" s="1602"/>
      <c r="ED50" s="1415"/>
      <c r="EH50" s="1594"/>
      <c r="EI50" s="1602"/>
      <c r="EJ50" s="1415"/>
      <c r="EN50" s="1594"/>
      <c r="EO50" s="1602"/>
      <c r="EP50" s="1415"/>
      <c r="ET50" s="1594"/>
      <c r="EU50" s="1602"/>
      <c r="EV50" s="1415"/>
      <c r="EZ50" s="1594"/>
      <c r="FA50" s="1602"/>
      <c r="FB50" s="1415"/>
      <c r="FF50" s="1594"/>
      <c r="FG50" s="1602"/>
      <c r="FH50" s="1415"/>
      <c r="FL50" s="1594"/>
      <c r="FM50" s="1602"/>
      <c r="FN50" s="1415"/>
      <c r="FR50" s="1594"/>
      <c r="FS50" s="1602"/>
      <c r="FT50" s="1415"/>
      <c r="FX50" s="1594"/>
      <c r="FY50" s="1602"/>
      <c r="FZ50" s="1415"/>
      <c r="GD50" s="1594"/>
      <c r="GE50" s="1602"/>
      <c r="GG50" s="1415"/>
      <c r="GJ50" s="1594"/>
      <c r="GK50" s="1602"/>
      <c r="GM50" s="1415"/>
      <c r="GO50" s="1415"/>
      <c r="GP50" s="1594"/>
      <c r="GQ50" s="1602"/>
      <c r="GS50" s="1415"/>
      <c r="GT50" s="1415"/>
    </row>
    <row r="51" spans="1:209" ht="14" hidden="1" outlineLevel="2" thickBot="1" x14ac:dyDescent="0.2">
      <c r="A51" s="2825">
        <f>IF(E49=0,0,EX$22)</f>
        <v>0</v>
      </c>
      <c r="B51" s="3080" t="str">
        <f>"Install ("&amp;C52&amp;M49&amp;N49&amp;O49&amp;M50&amp;N50&amp;M51&amp;N51&amp;")"</f>
        <v>Install (Physical)</v>
      </c>
      <c r="C51" s="258">
        <f>IF(E49=0,0, IF(I51=Calculator!$H$160,1,E51/O51)*H49)</f>
        <v>0</v>
      </c>
      <c r="D51" s="140">
        <f>IF(J51=$H$192,J52,0)+IF(E49=0,0,J49*E49)*($BO$2/F50)</f>
        <v>0</v>
      </c>
      <c r="E51" s="141">
        <f>IF(E49=0,0,L50*60/D51)</f>
        <v>0</v>
      </c>
      <c r="F51" s="142">
        <f>IF(L51=0,0,IF(H51,H51,IF(I51=Calculator!$H$160,A49,IF(N51="/DBMS",1,IF(H52=$I$191,IF(N50="",IF(L51=1,2,L51),L51+1),L51)))))</f>
        <v>0</v>
      </c>
      <c r="G51" s="158">
        <f>IF(E49=0,0,IF(F51&gt;0,+E51*F51,"Nodes?"))</f>
        <v>0</v>
      </c>
      <c r="H51" s="143"/>
      <c r="I51" s="1248" t="s">
        <v>408</v>
      </c>
      <c r="J51" s="2819" t="str">
        <f>J47</f>
        <v xml:space="preserve">Siloed </v>
      </c>
      <c r="K51" s="1604">
        <f>IF(AND(N51="",N50=""),2,4)</f>
        <v>2</v>
      </c>
      <c r="L51" s="1605">
        <f>IF(H51,H51,IF(E49=0,0,IF(A51&gt;0,+INT(A51/(E51*H49))+1,0)))</f>
        <v>0</v>
      </c>
      <c r="M51" s="469" t="str">
        <f>IF(ISERROR(VLOOKUP($K50,$O$5:$O$19,1,FALSE)),IF(ISERROR(VLOOKUP($K50,$O$5:$O$19,1,FALSE)),"","/"&amp;$O$4),"/"&amp;$O$4)</f>
        <v/>
      </c>
      <c r="N51" s="470" t="str">
        <f>IF(ISERROR(VLOOKUP($K50,$Q$5:$Q$19,1,FALSE)),IF(ISERROR(VLOOKUP($K50,$Q$5:$Q$19,1,FALSE)),"","/"&amp;$Q$4),"/"&amp;$Q$4)</f>
        <v/>
      </c>
      <c r="O51" s="471">
        <f>IF($EW$22&gt;0,$EX$22/$EW$22,0)</f>
        <v>0</v>
      </c>
      <c r="P51" s="886"/>
      <c r="Q51" s="1714">
        <f>D50/VLOOKUP(B50,HWRange,3,FALSE)</f>
        <v>0</v>
      </c>
      <c r="R51" s="1877">
        <f>P175</f>
        <v>0</v>
      </c>
      <c r="S51" s="1982">
        <f>IF(E49=0,0,H49*A49/A50)</f>
        <v>0</v>
      </c>
      <c r="T51" s="135">
        <v>10000</v>
      </c>
      <c r="U51" s="1608">
        <f>IF(E49=0,0,IF(U52=$I$192,U49,ET$22/F51))</f>
        <v>0</v>
      </c>
      <c r="V51" s="1826">
        <f>IF(G51&gt;0,1,0)</f>
        <v>0</v>
      </c>
      <c r="W51" s="1827">
        <f t="shared" ref="W51:AC51" si="31">IF(V51&gt;0,IF($F51&gt;V51,V51+1,0),0)</f>
        <v>0</v>
      </c>
      <c r="X51" s="1827">
        <f t="shared" si="31"/>
        <v>0</v>
      </c>
      <c r="Y51" s="1827">
        <f t="shared" si="31"/>
        <v>0</v>
      </c>
      <c r="Z51" s="1827">
        <f t="shared" si="31"/>
        <v>0</v>
      </c>
      <c r="AA51" s="1827">
        <f t="shared" si="31"/>
        <v>0</v>
      </c>
      <c r="AB51" s="1827">
        <f t="shared" si="31"/>
        <v>0</v>
      </c>
      <c r="AC51" s="1827">
        <f t="shared" si="31"/>
        <v>0</v>
      </c>
      <c r="AD51" s="1828">
        <f>IF(AC51&gt;0,IF($F51&gt;AC51,"…"&amp;$F51,0),0)</f>
        <v>0</v>
      </c>
      <c r="AE51" s="1829">
        <f>A50</f>
        <v>0</v>
      </c>
      <c r="AF51" s="2978">
        <f>IF(AF50="","",IF(H51=0,0,H51/AF50+IF(H52=$I$191,1,0)))</f>
        <v>0</v>
      </c>
      <c r="AG51" s="1591"/>
      <c r="AH51" s="1591"/>
      <c r="AI51" s="1591"/>
      <c r="AJ51" s="1591"/>
      <c r="AK51" s="1591"/>
      <c r="AL51" s="1591"/>
      <c r="AM51" s="1591"/>
      <c r="AN51" s="1591"/>
      <c r="AO51" s="1591"/>
      <c r="AP51" s="1591"/>
      <c r="AQ51" s="1591"/>
      <c r="AR51" s="1591"/>
      <c r="AS51" s="1591"/>
      <c r="AT51" s="1591"/>
      <c r="AU51" s="1591"/>
      <c r="AV51" s="1591"/>
      <c r="BC51" s="1602"/>
      <c r="BF51" s="1592"/>
      <c r="BG51" s="1601"/>
      <c r="BH51" s="1601"/>
      <c r="BI51" s="1601"/>
      <c r="BJ51" s="1601"/>
      <c r="BK51" s="1601"/>
      <c r="BL51" s="1601"/>
      <c r="BM51" s="1601"/>
      <c r="BN51" s="1601"/>
      <c r="BO51" s="1601"/>
      <c r="BP51" s="1606"/>
      <c r="BQ51" s="890"/>
      <c r="BR51" s="890"/>
      <c r="BS51" s="890"/>
      <c r="BT51" s="890"/>
      <c r="BU51" s="890"/>
      <c r="BV51" s="890"/>
      <c r="BW51" s="890"/>
      <c r="BX51" s="890"/>
      <c r="BY51" s="890"/>
      <c r="BZ51" s="890"/>
      <c r="CA51" s="890"/>
      <c r="CB51" s="890"/>
      <c r="CC51" s="890"/>
      <c r="CD51" s="890"/>
      <c r="CE51" s="890"/>
      <c r="CF51" s="1606"/>
      <c r="CG51" s="1692">
        <f t="shared" si="29"/>
        <v>0</v>
      </c>
      <c r="CH51" s="1693" t="str">
        <f t="shared" si="29"/>
        <v>Install (Physical)</v>
      </c>
      <c r="CI51" s="1181">
        <f>F51</f>
        <v>0</v>
      </c>
      <c r="CJ51" s="2719">
        <f>D50</f>
        <v>0</v>
      </c>
      <c r="CK51" s="2724">
        <f>T51</f>
        <v>10000</v>
      </c>
      <c r="CL51" s="1592"/>
      <c r="CM51" s="1594"/>
      <c r="CN51" s="1592"/>
      <c r="CQ51" s="1592"/>
      <c r="CR51" s="1594"/>
      <c r="CU51" s="1592"/>
      <c r="DA51" s="1592"/>
      <c r="DB51" s="1594"/>
      <c r="DE51" s="1592"/>
      <c r="DF51" s="1594"/>
      <c r="DI51" s="1592"/>
      <c r="DJ51" s="1602"/>
      <c r="DK51" s="1602"/>
      <c r="DL51" s="1592"/>
      <c r="DM51" s="1602"/>
      <c r="DN51" s="1594"/>
      <c r="DO51" s="1594"/>
      <c r="DP51" s="394"/>
      <c r="DQ51" s="1602"/>
      <c r="DR51" s="1597"/>
      <c r="DS51" s="1597"/>
      <c r="DT51" s="1415"/>
      <c r="DW51" s="1602"/>
      <c r="DX51" s="1597"/>
      <c r="DY51" s="1415"/>
      <c r="EC51" s="1602"/>
      <c r="ED51" s="1415"/>
      <c r="EH51" s="1597"/>
      <c r="EI51" s="1602"/>
      <c r="EJ51" s="1415"/>
      <c r="EN51" s="1597"/>
      <c r="EO51" s="1602"/>
      <c r="EP51" s="1415"/>
      <c r="ET51" s="1597"/>
      <c r="EU51" s="1602"/>
      <c r="EV51" s="1415"/>
      <c r="EZ51" s="1597"/>
      <c r="FA51" s="1602"/>
      <c r="FB51" s="1415"/>
      <c r="FF51" s="1597"/>
      <c r="FG51" s="1602"/>
      <c r="FH51" s="1415"/>
      <c r="FL51" s="1597"/>
      <c r="FM51" s="1602"/>
      <c r="FN51" s="1415"/>
      <c r="FR51" s="1597"/>
      <c r="FS51" s="1602"/>
      <c r="FT51" s="1415"/>
      <c r="FX51" s="1597"/>
      <c r="FY51" s="1602"/>
      <c r="FZ51" s="1415"/>
      <c r="GD51" s="1597"/>
      <c r="GE51" s="1602"/>
      <c r="GG51" s="1415"/>
      <c r="GJ51" s="1597"/>
      <c r="GK51" s="1602"/>
      <c r="GM51" s="1415"/>
      <c r="GO51" s="1415"/>
      <c r="GP51" s="1597"/>
      <c r="GQ51" s="1602"/>
      <c r="GS51" s="1415"/>
      <c r="GT51" s="1415"/>
    </row>
    <row r="52" spans="1:209" ht="15" hidden="1" outlineLevel="1" collapsed="1" x14ac:dyDescent="0.15">
      <c r="A52" s="916">
        <f>IF(A51=0,0,ROUND(100*A50,0)&amp;"% CPU")</f>
        <v>0</v>
      </c>
      <c r="B52" s="917">
        <f>IF(A51&gt;0,IF(I51=$J$167,K50&amp;": "&amp;F51&amp;"x "&amp;B50&amp;" "&amp;C50&amp;" GB RAM",$K50&amp;": "&amp;$F51&amp;"x VM ("&amp;I50&amp;" core "&amp;C50&amp;" GB RAM) "&amp;Q50&amp;" "&amp;L49&amp;" MHz"),0)</f>
        <v>0</v>
      </c>
      <c r="C52" s="1609" t="str">
        <f>IF(I51=$H$189,I51,I49)</f>
        <v>Physical</v>
      </c>
      <c r="D52" s="918">
        <f>A49</f>
        <v>0</v>
      </c>
      <c r="E52" s="919">
        <f>IF(E51&gt;0,ROUND(E51*60/1000,0)&amp;"K TPH",0)</f>
        <v>0</v>
      </c>
      <c r="F52" s="920">
        <f>+L51</f>
        <v>0</v>
      </c>
      <c r="G52" s="919">
        <f>IF(G51&gt;0,ROUND(G51*60/1000,0)&amp;"K TPH",0)</f>
        <v>0</v>
      </c>
      <c r="H52" s="921" t="str">
        <f>H$23</f>
        <v>Minimum</v>
      </c>
      <c r="I52" s="1736">
        <f>IF(I51=$J$167,0,I49)</f>
        <v>0</v>
      </c>
      <c r="J52" s="2086">
        <f>IF(AND(O49="/"&amp;$N$4,J51=$H$192),IF(F51&gt;0,(F51-1)*A51/(60*$H$194),0),0)</f>
        <v>0</v>
      </c>
      <c r="K52" s="2086">
        <f>IF(E49&gt;0,D51/E49,0)</f>
        <v>0</v>
      </c>
      <c r="L52" s="2080">
        <f>IF($W50=$W$167,2,F51)</f>
        <v>0</v>
      </c>
      <c r="M52" s="3134">
        <f>IF(AND(S52&gt;0,I51=$H$189),1,0)</f>
        <v>0</v>
      </c>
      <c r="N52" s="1618"/>
      <c r="O52" s="1618"/>
      <c r="P52" s="922"/>
      <c r="Q52" s="1737">
        <f>IF($A54&lt;0.9999, $A54/((1+$CJ$2*$A54*($L54-1))*(1-$A54)),200)</f>
        <v>0</v>
      </c>
      <c r="R52" s="1618"/>
      <c r="S52" s="3118">
        <f>IF(LEFT(B50,3)=S50,VLOOKUP(B50,HWRange,10,FALSE),0)</f>
        <v>0</v>
      </c>
      <c r="T52" s="940" t="str">
        <f>U52</f>
        <v>Client</v>
      </c>
      <c r="U52" s="1595" t="s">
        <v>303</v>
      </c>
      <c r="V52" s="1918">
        <f>IF(A50&gt;0,B52&amp;" "&amp;C52&amp;IF(B52="",""," GB RAM"),0)</f>
        <v>0</v>
      </c>
      <c r="W52" s="1819"/>
      <c r="X52" s="1819"/>
      <c r="Y52" s="1819"/>
      <c r="Z52" s="1819"/>
      <c r="AA52" s="1819"/>
      <c r="AB52" s="1819"/>
      <c r="AC52" s="1819"/>
      <c r="AD52" s="1819"/>
      <c r="AE52" s="1919">
        <f>IF(A50&gt;0,F50,0)</f>
        <v>0</v>
      </c>
      <c r="AF52" s="2876">
        <f>IF(A49=0,0,IF(LEFT(B50,3)=S50,VLOOKUP(B50,HWRange,12,FALSE),0)*F51)</f>
        <v>0</v>
      </c>
      <c r="AG52" s="2877" t="str">
        <f>IF(AF52&gt;0,S50&amp;" 3-yr Pricing","")</f>
        <v/>
      </c>
      <c r="AH52" s="2878"/>
      <c r="AI52" s="1591"/>
      <c r="AJ52" s="1591"/>
      <c r="AK52" s="1591"/>
      <c r="AL52" s="1591"/>
      <c r="AM52" s="1591"/>
      <c r="AN52" s="1591"/>
      <c r="AO52" s="1591"/>
      <c r="AP52" s="1591"/>
      <c r="AQ52" s="1591"/>
      <c r="AR52" s="1591"/>
      <c r="AS52" s="1591"/>
      <c r="AT52" s="1591"/>
      <c r="AU52" s="1591"/>
      <c r="AV52" s="1591"/>
      <c r="AX52" s="1601"/>
      <c r="AY52" s="1601"/>
      <c r="BB52" s="1415">
        <f>BC51</f>
        <v>0</v>
      </c>
      <c r="BC52" s="1614"/>
      <c r="BF52" s="1592"/>
      <c r="BG52" s="1893"/>
      <c r="BH52" s="1601"/>
      <c r="BI52" s="1601"/>
      <c r="BJ52" s="1601"/>
      <c r="BK52" s="1601"/>
      <c r="BL52" s="1601"/>
      <c r="BM52" s="1601"/>
      <c r="BN52" s="1601"/>
      <c r="BO52" s="1601"/>
      <c r="BP52" s="1619"/>
      <c r="BQ52" s="923"/>
      <c r="BR52" s="923"/>
      <c r="BS52" s="923"/>
      <c r="BT52" s="923"/>
      <c r="BU52" s="923"/>
      <c r="BV52" s="923"/>
      <c r="BW52" s="923"/>
      <c r="BX52" s="923"/>
      <c r="BY52" s="923"/>
      <c r="BZ52" s="923"/>
      <c r="CA52" s="923"/>
      <c r="CB52" s="923"/>
      <c r="CC52" s="923"/>
      <c r="CD52" s="923"/>
      <c r="CE52" s="923"/>
      <c r="CF52" s="1619"/>
      <c r="CG52" s="3403">
        <f>B52</f>
        <v>0</v>
      </c>
      <c r="CH52" s="3404"/>
      <c r="CI52" s="3404"/>
      <c r="CJ52" s="3404"/>
      <c r="CK52" s="2723"/>
      <c r="CL52" s="1592"/>
      <c r="CM52" s="1594"/>
      <c r="CN52" s="1592"/>
      <c r="CQ52" s="1592"/>
      <c r="CR52" s="1594"/>
      <c r="CU52" s="1592"/>
      <c r="DA52" s="1592"/>
      <c r="DB52" s="1594"/>
      <c r="DE52" s="1592"/>
      <c r="DF52" s="1594"/>
      <c r="DI52" s="1592"/>
      <c r="DJ52" s="1614"/>
      <c r="DK52" s="1614"/>
      <c r="DL52" s="1592"/>
      <c r="DM52" s="1614"/>
      <c r="DN52" s="1594"/>
      <c r="DO52" s="1594"/>
      <c r="DP52" s="394"/>
      <c r="DQ52" s="1614"/>
      <c r="DR52" s="1597"/>
      <c r="DS52" s="1597"/>
      <c r="DT52" s="1415"/>
      <c r="DW52" s="1614"/>
      <c r="DX52" s="1597"/>
      <c r="DY52" s="1415"/>
      <c r="EC52" s="1614"/>
      <c r="ED52" s="1415"/>
      <c r="EH52" s="1597"/>
      <c r="EI52" s="1614"/>
      <c r="EJ52" s="1415"/>
      <c r="EN52" s="1597"/>
      <c r="EO52" s="1614"/>
      <c r="EP52" s="1415"/>
      <c r="ET52" s="1597"/>
      <c r="EU52" s="1614"/>
      <c r="EV52" s="1415"/>
      <c r="EZ52" s="1597"/>
      <c r="FA52" s="1614"/>
      <c r="FB52" s="1415"/>
      <c r="FF52" s="1597"/>
      <c r="FG52" s="1614"/>
      <c r="FH52" s="1415"/>
      <c r="FL52" s="1597"/>
      <c r="FM52" s="1614"/>
      <c r="FN52" s="1415"/>
      <c r="FR52" s="1597"/>
      <c r="FS52" s="1614"/>
      <c r="FT52" s="1415"/>
      <c r="FX52" s="1597"/>
      <c r="FY52" s="1614"/>
      <c r="FZ52" s="1415"/>
      <c r="GD52" s="1597"/>
      <c r="GE52" s="1614"/>
      <c r="GG52" s="1415"/>
      <c r="GJ52" s="1597"/>
      <c r="GK52" s="1614"/>
      <c r="GM52" s="1415"/>
      <c r="GO52" s="1415"/>
      <c r="GP52" s="1597"/>
      <c r="GQ52" s="1614"/>
      <c r="GS52" s="1415"/>
      <c r="GT52" s="1415"/>
      <c r="HA52" s="390"/>
    </row>
    <row r="53" spans="1:209" ht="17" hidden="1" outlineLevel="2" thickBot="1" x14ac:dyDescent="0.25">
      <c r="A53" s="2823">
        <f>IF(O55&gt;0,A55/O55,0)</f>
        <v>0</v>
      </c>
      <c r="B53" s="552" t="s">
        <v>1462</v>
      </c>
      <c r="C53" s="136" t="str">
        <f>VLOOKUP(B54,Hardware!$A$2:$I$632,9,FALSE)</f>
        <v>Intel</v>
      </c>
      <c r="D53" s="137" t="str">
        <f>D49</f>
        <v>Arc18=</v>
      </c>
      <c r="E53" s="138">
        <f>IF(FC$22=0,0,IF(FG$22&gt;0,FG$22/FD$22))</f>
        <v>0</v>
      </c>
      <c r="F53" s="139" t="s">
        <v>328</v>
      </c>
      <c r="G53" s="1585"/>
      <c r="H53" s="1586">
        <v>0.8</v>
      </c>
      <c r="I53" s="1739" t="str">
        <f>I49</f>
        <v>Host01</v>
      </c>
      <c r="J53" s="207">
        <f>IF(K53&gt;0,K53,IF(I55=Calculator!$H$158,1, IF(OR(R53=Calculator!$H$162,R53=Calculator!$H$163), VLOOKUP(I55,VAdjust,2,FALSE),1)))</f>
        <v>1</v>
      </c>
      <c r="K53" s="2456"/>
      <c r="L53" s="722">
        <f>VLOOKUP(B54,HWRange,5,FALSE)</f>
        <v>3500</v>
      </c>
      <c r="M53" s="464" t="str">
        <f>IF(ISERROR(VLOOKUP($K54,$L$5:$L$19,1,FALSE)),"","/"&amp;$L$4)</f>
        <v/>
      </c>
      <c r="N53" s="257" t="str">
        <f>IF(ISERROR(VLOOKUP($K54,$M$5:$M$19,1,FALSE)),IF(ISERROR(VLOOKUP($K54,$M$5:$M$19,1,FALSE)),"","/"&amp;$M$4),"/"&amp;$M$4)</f>
        <v/>
      </c>
      <c r="O53" s="465" t="str">
        <f>IF(ISERROR(VLOOKUP($K54,$N$5:$N$19,1,FALSE)),IF(ISERROR(VLOOKUP($K54,$N$5:$N$19,1,FALSE)),"","/"&amp;$N$4),"/"&amp;$N$4)</f>
        <v/>
      </c>
      <c r="P53" s="1587">
        <f>IF(A54=0,0,IF(P55&gt;0,1000*C54/C55,1000*C54/C55))/2</f>
        <v>0</v>
      </c>
      <c r="Q53" s="1734">
        <f>IF(I55=$J$167,0,VLOOKUP(I53,HostArray,2,FALSE))</f>
        <v>0</v>
      </c>
      <c r="R53" s="1588" t="s">
        <v>412</v>
      </c>
      <c r="S53" s="3071" t="str">
        <f>IF(S54=LEFT(B54,3),_xlfn.NUMBERVALUE(MID(B54,FIND("(",B54,1)+1,FIND(")",B54,1)-FIND("(",B54,1)-3)),"")</f>
        <v/>
      </c>
      <c r="T53" s="135">
        <v>10000</v>
      </c>
      <c r="U53" s="1616">
        <f>IF(E53&gt;0,IF(AND(M55="",N55=""),ES$22/F55,ET$22/F55),0)</f>
        <v>0</v>
      </c>
      <c r="V53" s="1822">
        <f>IF(V55&gt;0,IF($A54&gt;0.5,$A54,""),0)</f>
        <v>0</v>
      </c>
      <c r="W53" s="1823">
        <f>IF(AND($W54=W$167,$H56=I$191),W$168,IF(W55&gt;0,IF($A54&gt;0.5,$A54,""),0))</f>
        <v>0</v>
      </c>
      <c r="X53" s="1823">
        <f t="shared" ref="X53:AD53" si="32">IF(X55&gt;0,IF($A54&gt;0.5,$A54,""),0)</f>
        <v>0</v>
      </c>
      <c r="Y53" s="1823">
        <f t="shared" si="32"/>
        <v>0</v>
      </c>
      <c r="Z53" s="1823">
        <f t="shared" si="32"/>
        <v>0</v>
      </c>
      <c r="AA53" s="1823">
        <f t="shared" si="32"/>
        <v>0</v>
      </c>
      <c r="AB53" s="1823">
        <f t="shared" si="32"/>
        <v>0</v>
      </c>
      <c r="AC53" s="1823">
        <f t="shared" si="32"/>
        <v>0</v>
      </c>
      <c r="AD53" s="1824">
        <f t="shared" si="32"/>
        <v>0</v>
      </c>
      <c r="AE53" s="1825">
        <f>L56</f>
        <v>0</v>
      </c>
      <c r="AF53" s="2977" t="str">
        <f>IF(I55=$H$191,$AF$22,"")</f>
        <v/>
      </c>
      <c r="AG53" s="1600"/>
      <c r="AH53" s="1600"/>
      <c r="AI53" s="1600"/>
      <c r="AJ53" s="1600"/>
      <c r="AK53" s="1600"/>
      <c r="AL53" s="1600"/>
      <c r="AM53" s="1600"/>
      <c r="AN53" s="1600"/>
      <c r="AO53" s="1600"/>
      <c r="AP53" s="1600"/>
      <c r="AQ53" s="1600"/>
      <c r="AR53" s="1600"/>
      <c r="AS53" s="1600"/>
      <c r="AT53" s="1600"/>
      <c r="AU53" s="1600"/>
      <c r="AV53" s="1600"/>
      <c r="AX53" s="2"/>
      <c r="AY53" s="2"/>
      <c r="BC53" s="1"/>
      <c r="BF53" s="1592"/>
      <c r="BG53" s="1593"/>
      <c r="BH53" s="1593"/>
      <c r="BI53" s="1593"/>
      <c r="BJ53" s="1593"/>
      <c r="BK53" s="1593"/>
      <c r="BL53" s="1593"/>
      <c r="BM53" s="1593"/>
      <c r="BN53" s="1593"/>
      <c r="BO53" s="1593"/>
      <c r="BP53" s="889"/>
      <c r="BQ53" s="889"/>
      <c r="BR53" s="889"/>
      <c r="BS53" s="889"/>
      <c r="BT53" s="889"/>
      <c r="BU53" s="889"/>
      <c r="BV53" s="1615"/>
      <c r="BW53" s="1615"/>
      <c r="BX53" s="1615"/>
      <c r="BY53" s="1615"/>
      <c r="BZ53" s="1615"/>
      <c r="CA53" s="1615"/>
      <c r="CB53" s="1615"/>
      <c r="CC53" s="1615"/>
      <c r="CD53" s="1615"/>
      <c r="CE53" s="1615"/>
      <c r="CF53" s="1615"/>
      <c r="CG53" s="1689">
        <f t="shared" ref="CG53:CH55" si="33">A53</f>
        <v>0</v>
      </c>
      <c r="CH53" s="1690" t="str">
        <f t="shared" si="33"/>
        <v>Tier08: Platform Tier 08</v>
      </c>
      <c r="CI53" s="1179" t="str">
        <f>F53</f>
        <v>SRint2006</v>
      </c>
      <c r="CJ53" s="2718"/>
      <c r="CK53" s="2724">
        <f>T53</f>
        <v>10000</v>
      </c>
      <c r="CL53" s="1592"/>
      <c r="CM53" s="1594"/>
      <c r="CN53" s="1592"/>
      <c r="CQ53" s="1592"/>
      <c r="CR53" s="1594"/>
      <c r="CU53" s="1592"/>
      <c r="DA53" s="1592"/>
      <c r="DB53" s="1594"/>
      <c r="DE53" s="1592"/>
      <c r="DF53" s="1594"/>
      <c r="DI53" s="1592"/>
      <c r="DJ53" s="1"/>
      <c r="DK53" s="1"/>
      <c r="DL53" s="1592"/>
      <c r="DM53" s="1"/>
      <c r="DN53" s="1594"/>
      <c r="DO53" s="1595"/>
      <c r="DP53" s="394"/>
      <c r="DQ53" s="1"/>
      <c r="DR53" s="1593"/>
      <c r="DS53" s="1593"/>
      <c r="DT53" s="1415"/>
      <c r="DW53" s="1"/>
      <c r="DX53" s="1593"/>
      <c r="DY53" s="1415"/>
      <c r="EC53" s="1"/>
      <c r="ED53" s="1415"/>
      <c r="EH53" s="1593"/>
      <c r="EI53" s="1"/>
      <c r="EJ53" s="1415"/>
      <c r="EN53" s="1593"/>
      <c r="EO53" s="1"/>
      <c r="EP53" s="1415"/>
      <c r="ET53" s="1593"/>
      <c r="EU53" s="1"/>
      <c r="EV53" s="1415"/>
      <c r="EZ53" s="1593"/>
      <c r="FA53" s="1"/>
      <c r="FB53" s="1415"/>
      <c r="FF53" s="1593"/>
      <c r="FG53" s="1"/>
      <c r="FH53" s="1415"/>
      <c r="FL53" s="1593"/>
      <c r="FM53" s="1"/>
      <c r="FN53" s="1415"/>
      <c r="FR53" s="1593"/>
      <c r="FS53" s="1"/>
      <c r="FT53" s="1415"/>
      <c r="FX53" s="1593"/>
      <c r="FY53" s="1"/>
      <c r="FZ53" s="1415"/>
      <c r="GD53" s="1593"/>
      <c r="GE53" s="1"/>
      <c r="GG53" s="1415"/>
      <c r="GJ53" s="1593"/>
      <c r="GK53" s="1"/>
      <c r="GM53" s="1415"/>
      <c r="GO53" s="1415"/>
      <c r="GP53" s="1593"/>
      <c r="GQ53" s="1"/>
      <c r="GS53" s="1415"/>
      <c r="GT53" s="1415"/>
    </row>
    <row r="54" spans="1:209" ht="15" hidden="1" outlineLevel="2" x14ac:dyDescent="0.2">
      <c r="A54" s="2824">
        <f>IF(E53=0,0,A55/G55)</f>
        <v>0</v>
      </c>
      <c r="B54" s="156" t="str">
        <f>B50</f>
        <v>Xeon E5-2637v4 4 core (1 chip) 3500 MHz</v>
      </c>
      <c r="C54" s="206">
        <f>ROUND(IF(P55&gt;0,2*P55*C55/1000, IF(L55=0,0, IF(I55=Calculator!$H$160, Calculator!$J$160*(1+L54), IF(K55=4, 4*H53*G54/13.4,L54*Calculator!$J$151)))),0)</f>
        <v>0</v>
      </c>
      <c r="D54" s="205">
        <f>F55*L54</f>
        <v>0</v>
      </c>
      <c r="E54" s="70" t="str">
        <f>IF(I55=J177,F55*VLOOKUP(B54,HWRange,8,FALSE),"Virtual Server")</f>
        <v>Virtual Server</v>
      </c>
      <c r="F54" s="71">
        <f>IF(I55=$J$167,VLOOKUP(B54,HWRange,7,FALSE),IF(I54&gt;VLOOKUP(B54,HWRange,3,FALSE),VLOOKUP(B54,HWRange,7,FALSE)*VLOOKUP(B54,HWRange,3,FALSE)/I54,VLOOKUP(B54,HWRange,7,FALSE)))</f>
        <v>60</v>
      </c>
      <c r="G54" s="157">
        <f>IF(I55=$J$167,VLOOKUP(B54,HWRange,6,FALSE),VLOOKUP(B54,HWRange,6,FALSE)*I54/VLOOKUP(B54,HWRange,3,FALSE))</f>
        <v>240</v>
      </c>
      <c r="H54" s="161" t="s">
        <v>365</v>
      </c>
      <c r="I54" s="1247">
        <v>2</v>
      </c>
      <c r="J54" s="1881"/>
      <c r="K54" s="756" t="str">
        <f>A176</f>
        <v>Tier08</v>
      </c>
      <c r="L54" s="491">
        <f>IF(I55=$J$167,VLOOKUP(B54,HWRange,3,FALSE),I54)</f>
        <v>4</v>
      </c>
      <c r="M54" s="466" t="str">
        <f>IF(ISERROR(VLOOKUP($K54,$J$5:$J$19,1,FALSE)),IF(ISERROR(VLOOKUP($K54,$J$5:$J$19,1,FALSE)),"","/"&amp;$J$4),"/"&amp;$J$4)</f>
        <v/>
      </c>
      <c r="N54" s="467" t="str">
        <f>IF(ISERROR(VLOOKUP($K54,$K$5:$K$19,1,FALSE)),"","/"&amp;$K$4)</f>
        <v/>
      </c>
      <c r="O54" s="468">
        <f>IF(AND(O53="",M55=""),0,D54)</f>
        <v>0</v>
      </c>
      <c r="P54" s="1596" t="str">
        <f>IF(NOT(M54=""),Calculator!$A$158,IF(NOT(N54=""),Calculator!$B$158,IF(NOT(O53=""), Calculator!$C$158,Calculator!$G$158)))</f>
        <v>WindowsLinuxSolarisAIXHPUX</v>
      </c>
      <c r="Q54" s="1246" t="str">
        <f>VLOOKUP(B54,HWRange,2,FALSE)</f>
        <v>Xeon E5-2637v4</v>
      </c>
      <c r="R54" s="1187">
        <f>F55*VLOOKUP(B54,HWRange,8,FALSE)</f>
        <v>0</v>
      </c>
      <c r="S54" s="3070">
        <f>IF(OR(LEFT(B54,3)="AMI",LEFT(B54,3)="AZI"),LEFT(B54,3),0)</f>
        <v>0</v>
      </c>
      <c r="T54" s="1623" t="s">
        <v>366</v>
      </c>
      <c r="U54" s="1599" t="s">
        <v>307</v>
      </c>
      <c r="V54" s="822">
        <f t="shared" ref="V54:AD54" si="34">IF(V55=0,0,IF($A54&lt;0.5,$A54,"+"))</f>
        <v>0</v>
      </c>
      <c r="W54" s="2063">
        <f>IF(AND($N55="/"&amp;$Q$4,$H56=I$191,$H55=0),W$167,IF(W55=0,0,IF($A54&lt;0.5,$A54,"+")))</f>
        <v>0</v>
      </c>
      <c r="X54" s="318">
        <f t="shared" si="34"/>
        <v>0</v>
      </c>
      <c r="Y54" s="318">
        <f t="shared" si="34"/>
        <v>0</v>
      </c>
      <c r="Z54" s="318">
        <f t="shared" si="34"/>
        <v>0</v>
      </c>
      <c r="AA54" s="318">
        <f t="shared" si="34"/>
        <v>0</v>
      </c>
      <c r="AB54" s="318">
        <f t="shared" si="34"/>
        <v>0</v>
      </c>
      <c r="AC54" s="318">
        <f t="shared" si="34"/>
        <v>0</v>
      </c>
      <c r="AD54" s="823">
        <f t="shared" si="34"/>
        <v>0</v>
      </c>
      <c r="AE54" s="1185">
        <f>D54</f>
        <v>0</v>
      </c>
      <c r="AF54" s="2998">
        <f>AF$23</f>
        <v>24</v>
      </c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X54" s="1601"/>
      <c r="AY54" s="1601"/>
      <c r="BC54" s="1602"/>
      <c r="BF54" s="1592"/>
      <c r="BG54" s="1601"/>
      <c r="BH54" s="1601"/>
      <c r="BI54" s="1601"/>
      <c r="BJ54" s="1601"/>
      <c r="BK54" s="1601"/>
      <c r="BL54" s="1601"/>
      <c r="BM54" s="1601"/>
      <c r="BN54" s="1601"/>
      <c r="BO54" s="1601"/>
      <c r="BP54" s="885">
        <f>IF(A54&gt;0,1,0)</f>
        <v>0</v>
      </c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1691">
        <f t="shared" si="33"/>
        <v>0</v>
      </c>
      <c r="CH54" s="1590" t="str">
        <f t="shared" si="33"/>
        <v>Xeon E5-2637v4 4 core (1 chip) 3500 MHz</v>
      </c>
      <c r="CI54" s="1180">
        <f>F54</f>
        <v>60</v>
      </c>
      <c r="CJ54" s="1180">
        <f>G54</f>
        <v>240</v>
      </c>
      <c r="CK54" s="2723"/>
      <c r="CL54" s="1592"/>
      <c r="CM54" s="1594"/>
      <c r="CN54" s="1592"/>
      <c r="CQ54" s="1592"/>
      <c r="CR54" s="1594"/>
      <c r="CU54" s="1592"/>
      <c r="DA54" s="1592"/>
      <c r="DB54" s="1594"/>
      <c r="DE54" s="1592"/>
      <c r="DF54" s="1594"/>
      <c r="DI54" s="1592"/>
      <c r="DJ54" s="1602"/>
      <c r="DK54" s="1602"/>
      <c r="DL54" s="1592"/>
      <c r="DM54" s="1602"/>
      <c r="DN54" s="1594"/>
      <c r="DO54" s="1594"/>
      <c r="DP54" s="394"/>
      <c r="DQ54" s="1602"/>
      <c r="DR54" s="1594"/>
      <c r="DS54" s="1594"/>
      <c r="DT54" s="1415"/>
      <c r="DW54" s="1602"/>
      <c r="DX54" s="1594"/>
      <c r="DY54" s="1415"/>
      <c r="EC54" s="1602"/>
      <c r="ED54" s="1415"/>
      <c r="EH54" s="1594"/>
      <c r="EI54" s="1602"/>
      <c r="EJ54" s="1415"/>
      <c r="EN54" s="1594"/>
      <c r="EO54" s="1602"/>
      <c r="EP54" s="1415"/>
      <c r="ET54" s="1594"/>
      <c r="EU54" s="1602"/>
      <c r="EV54" s="1415"/>
      <c r="EZ54" s="1594"/>
      <c r="FA54" s="1602"/>
      <c r="FB54" s="1415"/>
      <c r="FF54" s="1594"/>
      <c r="FG54" s="1602"/>
      <c r="FH54" s="1415"/>
      <c r="FL54" s="1594"/>
      <c r="FM54" s="1602"/>
      <c r="FN54" s="1415"/>
      <c r="FR54" s="1594"/>
      <c r="FS54" s="1602"/>
      <c r="FT54" s="1415"/>
      <c r="FX54" s="1594"/>
      <c r="FY54" s="1602"/>
      <c r="FZ54" s="1415"/>
      <c r="GD54" s="1594"/>
      <c r="GE54" s="1602"/>
      <c r="GG54" s="1415"/>
      <c r="GJ54" s="1594"/>
      <c r="GK54" s="1602"/>
      <c r="GM54" s="1415"/>
      <c r="GO54" s="1415"/>
      <c r="GP54" s="1594"/>
      <c r="GQ54" s="1602"/>
      <c r="GS54" s="1415"/>
      <c r="GT54" s="1415"/>
    </row>
    <row r="55" spans="1:209" ht="14" hidden="1" outlineLevel="2" thickBot="1" x14ac:dyDescent="0.2">
      <c r="A55" s="2825">
        <f>IF(E53=0,0,FD$22)</f>
        <v>0</v>
      </c>
      <c r="B55" s="3081" t="str">
        <f>"Install ("&amp;C56&amp;M53&amp;N53&amp;O53&amp;M54&amp;N54&amp;M55&amp;N55&amp;")"</f>
        <v>Install (Physical)</v>
      </c>
      <c r="C55" s="258">
        <f>IF(E53=0,0, IF(I55=Calculator!$H$160,1,E55/O55)*H53)</f>
        <v>0</v>
      </c>
      <c r="D55" s="140">
        <f>IF(J55=$H$192,J56,0)+IF(E53=0,0,J53*E53)*($BO$2/F54)</f>
        <v>0</v>
      </c>
      <c r="E55" s="141">
        <f>IF(E53=0,0,L54*60/D55)</f>
        <v>0</v>
      </c>
      <c r="F55" s="142">
        <f>IF(L55=0,0,IF(H55,H55,IF(I55=Calculator!$H$160,A53,IF(N55="/DBMS",1,IF(H56=$I$191,IF(N54="",IF(L55=1,2,L55),L55+1),L55)))))</f>
        <v>0</v>
      </c>
      <c r="G55" s="158">
        <f>IF(E53=0,0,IF(F55&gt;0,+E55*F55,"Nodes?"))</f>
        <v>0</v>
      </c>
      <c r="H55" s="143"/>
      <c r="I55" s="1248" t="s">
        <v>408</v>
      </c>
      <c r="J55" s="2819" t="str">
        <f>J51</f>
        <v xml:space="preserve">Siloed </v>
      </c>
      <c r="K55" s="1604">
        <f>IF(AND(N55="",N54=""),2,4)</f>
        <v>2</v>
      </c>
      <c r="L55" s="1605">
        <f>IF(H55,H55,IF(E53=0,0,IF(A55&gt;0,+INT(A55/(E55*H53))+1,0)))</f>
        <v>0</v>
      </c>
      <c r="M55" s="469" t="str">
        <f>IF(ISERROR(VLOOKUP($K54,$O$5:$O$19,1,FALSE)),IF(ISERROR(VLOOKUP($K54,$O$5:$O$19,1,FALSE)),"","/"&amp;$O$4),"/"&amp;$O$4)</f>
        <v/>
      </c>
      <c r="N55" s="470" t="str">
        <f>IF(ISERROR(VLOOKUP($K54,$Q$5:$Q$19,1,FALSE)),IF(ISERROR(VLOOKUP($K54,$Q$5:$Q$19,1,FALSE)),"","/"&amp;$Q$4),"/"&amp;$Q$4)</f>
        <v/>
      </c>
      <c r="O55" s="471">
        <f>IF($FC$22&gt;0,$FD$22/$FC$22,0)</f>
        <v>0</v>
      </c>
      <c r="P55" s="886"/>
      <c r="Q55" s="1714">
        <f>D54/VLOOKUP(B54,HWRange,3,FALSE)</f>
        <v>0</v>
      </c>
      <c r="R55" s="1877">
        <f>P176</f>
        <v>0</v>
      </c>
      <c r="S55" s="1982">
        <f>IF(E53=0,0,H53*A53/A54)</f>
        <v>0</v>
      </c>
      <c r="T55" s="135">
        <v>10000</v>
      </c>
      <c r="U55" s="1608">
        <f>IF(E53=0,0,IF(U56=$I$192,U53,ET$22/F55))</f>
        <v>0</v>
      </c>
      <c r="V55" s="1826">
        <f>IF(G55&gt;0,1,0)</f>
        <v>0</v>
      </c>
      <c r="W55" s="1827">
        <f t="shared" ref="W55:AC55" si="35">IF(V55&gt;0,IF($F55&gt;V55,V55+1,0),0)</f>
        <v>0</v>
      </c>
      <c r="X55" s="1827">
        <f t="shared" si="35"/>
        <v>0</v>
      </c>
      <c r="Y55" s="1827">
        <f t="shared" si="35"/>
        <v>0</v>
      </c>
      <c r="Z55" s="1827">
        <f t="shared" si="35"/>
        <v>0</v>
      </c>
      <c r="AA55" s="1827">
        <f t="shared" si="35"/>
        <v>0</v>
      </c>
      <c r="AB55" s="1827">
        <f t="shared" si="35"/>
        <v>0</v>
      </c>
      <c r="AC55" s="1827">
        <f t="shared" si="35"/>
        <v>0</v>
      </c>
      <c r="AD55" s="1828">
        <f>IF(AC55&gt;0,IF($F55&gt;AC55,"…"&amp;$F55,0),0)</f>
        <v>0</v>
      </c>
      <c r="AE55" s="1829">
        <f>A54</f>
        <v>0</v>
      </c>
      <c r="AF55" s="2978">
        <f>IF(AF54="","",IF(H55=0,0,H55/AF54+IF(H56=$I$191,1,0)))</f>
        <v>0</v>
      </c>
      <c r="AG55" s="1591"/>
      <c r="AH55" s="1591"/>
      <c r="AI55" s="1591"/>
      <c r="AJ55" s="1591"/>
      <c r="AK55" s="1591"/>
      <c r="AL55" s="1591"/>
      <c r="AM55" s="1591"/>
      <c r="AN55" s="1591"/>
      <c r="AO55" s="1591"/>
      <c r="AP55" s="1591"/>
      <c r="AQ55" s="1591"/>
      <c r="AR55" s="1591"/>
      <c r="AS55" s="1591"/>
      <c r="AT55" s="1591"/>
      <c r="AU55" s="1591"/>
      <c r="AV55" s="1591"/>
      <c r="BC55" s="1602"/>
      <c r="BF55" s="1592"/>
      <c r="BG55" s="1601"/>
      <c r="BH55" s="1601"/>
      <c r="BI55" s="1601"/>
      <c r="BJ55" s="1601"/>
      <c r="BK55" s="1601"/>
      <c r="BL55" s="1601"/>
      <c r="BM55" s="1601"/>
      <c r="BN55" s="1601"/>
      <c r="BO55" s="1601"/>
      <c r="BP55" s="1606"/>
      <c r="BQ55" s="890"/>
      <c r="BR55" s="890"/>
      <c r="BS55" s="890"/>
      <c r="BT55" s="890"/>
      <c r="BU55" s="890"/>
      <c r="BV55" s="890"/>
      <c r="BW55" s="890"/>
      <c r="BX55" s="890"/>
      <c r="BY55" s="890"/>
      <c r="BZ55" s="890"/>
      <c r="CA55" s="890"/>
      <c r="CB55" s="890"/>
      <c r="CC55" s="890"/>
      <c r="CD55" s="890"/>
      <c r="CE55" s="890"/>
      <c r="CF55" s="1606"/>
      <c r="CG55" s="1692">
        <f t="shared" si="33"/>
        <v>0</v>
      </c>
      <c r="CH55" s="1693" t="str">
        <f t="shared" si="33"/>
        <v>Install (Physical)</v>
      </c>
      <c r="CI55" s="1181">
        <f>F55</f>
        <v>0</v>
      </c>
      <c r="CJ55" s="2719">
        <f>D54</f>
        <v>0</v>
      </c>
      <c r="CK55" s="2724">
        <f>T55</f>
        <v>10000</v>
      </c>
      <c r="CL55" s="1592"/>
      <c r="CM55" s="1594"/>
      <c r="CN55" s="1592"/>
      <c r="CQ55" s="1592"/>
      <c r="CR55" s="1594"/>
      <c r="CU55" s="1592"/>
      <c r="DA55" s="1592"/>
      <c r="DB55" s="1594"/>
      <c r="DE55" s="1592"/>
      <c r="DF55" s="1594"/>
      <c r="DI55" s="1592"/>
      <c r="DJ55" s="1602"/>
      <c r="DK55" s="1602"/>
      <c r="DL55" s="1592"/>
      <c r="DM55" s="1602"/>
      <c r="DN55" s="1594"/>
      <c r="DO55" s="1594"/>
      <c r="DP55" s="394"/>
      <c r="DQ55" s="1602"/>
      <c r="DR55" s="1597"/>
      <c r="DS55" s="1597"/>
      <c r="DT55" s="1415"/>
      <c r="DW55" s="1602"/>
      <c r="DX55" s="1597"/>
      <c r="DY55" s="1415"/>
      <c r="EC55" s="1602"/>
      <c r="ED55" s="1415"/>
      <c r="EH55" s="1597"/>
      <c r="EI55" s="1602"/>
      <c r="EJ55" s="1415"/>
      <c r="EN55" s="1597"/>
      <c r="EO55" s="1602"/>
      <c r="EP55" s="1415"/>
      <c r="ET55" s="1597"/>
      <c r="EU55" s="1602"/>
      <c r="EV55" s="1415"/>
      <c r="EZ55" s="1597"/>
      <c r="FA55" s="1602"/>
      <c r="FB55" s="1415"/>
      <c r="FF55" s="1597"/>
      <c r="FG55" s="1602"/>
      <c r="FH55" s="1415"/>
      <c r="FL55" s="1597"/>
      <c r="FM55" s="1602"/>
      <c r="FN55" s="1415"/>
      <c r="FR55" s="1597"/>
      <c r="FS55" s="1602"/>
      <c r="FT55" s="1415"/>
      <c r="FX55" s="1597"/>
      <c r="FY55" s="1602"/>
      <c r="FZ55" s="1415"/>
      <c r="GD55" s="1597"/>
      <c r="GE55" s="1602"/>
      <c r="GG55" s="1415"/>
      <c r="GJ55" s="1597"/>
      <c r="GK55" s="1602"/>
      <c r="GM55" s="1415"/>
      <c r="GO55" s="1415"/>
      <c r="GP55" s="1597"/>
      <c r="GQ55" s="1602"/>
      <c r="GS55" s="1415"/>
      <c r="GT55" s="1415"/>
    </row>
    <row r="56" spans="1:209" ht="15" hidden="1" outlineLevel="1" collapsed="1" x14ac:dyDescent="0.15">
      <c r="A56" s="916">
        <f>IF(A55=0,0,ROUND(100*A54,0)&amp;"% CPU")</f>
        <v>0</v>
      </c>
      <c r="B56" s="917">
        <f>IF(A55&gt;0,IF(I55=$J$167,K54&amp;": "&amp;F55&amp;"x "&amp;B54&amp;" "&amp;C54&amp;" GB RAM",$K54&amp;": "&amp;$F55&amp;"x VM ("&amp;I54&amp;" core "&amp;C54&amp;" GB RAM) "&amp;Q54&amp;" "&amp;L53&amp;" MHz"),0)</f>
        <v>0</v>
      </c>
      <c r="C56" s="1609" t="str">
        <f>IF(I55=$H$189,I55,I53)</f>
        <v>Physical</v>
      </c>
      <c r="D56" s="918">
        <f>A53</f>
        <v>0</v>
      </c>
      <c r="E56" s="919">
        <f>IF(E55&gt;0,ROUND(E55*60/1000,0)&amp;"K TPH",0)</f>
        <v>0</v>
      </c>
      <c r="F56" s="920">
        <f>+L55</f>
        <v>0</v>
      </c>
      <c r="G56" s="919">
        <f>IF(G55&gt;0,ROUND(G55*60/1000,0)&amp;"K TPH",0)</f>
        <v>0</v>
      </c>
      <c r="H56" s="921" t="str">
        <f>H$23</f>
        <v>Minimum</v>
      </c>
      <c r="I56" s="1736">
        <f>IF(I55=$J$167,0,I53)</f>
        <v>0</v>
      </c>
      <c r="J56" s="2086">
        <f>IF(AND(O53="/"&amp;$N$4,J55=$H$192),IF(F55&gt;0,(F55-1)*A55/(60*$H$194),0),0)</f>
        <v>0</v>
      </c>
      <c r="K56" s="2086">
        <f>IF(E53&gt;0,D55/E53,0)</f>
        <v>0</v>
      </c>
      <c r="L56" s="2080">
        <f>IF($W54=$W$167,2,F55)</f>
        <v>0</v>
      </c>
      <c r="M56" s="3134">
        <f>IF(AND(S56&gt;0,I55=$H$189),1,0)</f>
        <v>0</v>
      </c>
      <c r="N56" s="1618"/>
      <c r="O56" s="1618"/>
      <c r="P56" s="922"/>
      <c r="Q56" s="1737">
        <f>IF($A58&lt;0.9999, $A58/((1+$CJ$2*$A58*($L58-1))*(1-$A58)),200)</f>
        <v>0</v>
      </c>
      <c r="R56" s="1618"/>
      <c r="S56" s="3118">
        <f>IF(LEFT(B54,3)=S54,VLOOKUP(B54,HWRange,10,FALSE),0)</f>
        <v>0</v>
      </c>
      <c r="T56" s="940" t="str">
        <f>U56</f>
        <v>Client</v>
      </c>
      <c r="U56" s="1595" t="s">
        <v>303</v>
      </c>
      <c r="V56" s="1918">
        <f>IF(A54&gt;0,B56&amp;" "&amp;C56&amp;IF(B56="",""," GB RAM"),0)</f>
        <v>0</v>
      </c>
      <c r="W56" s="1819"/>
      <c r="X56" s="1819"/>
      <c r="Y56" s="1819"/>
      <c r="Z56" s="1819"/>
      <c r="AA56" s="1819"/>
      <c r="AB56" s="1819"/>
      <c r="AC56" s="1819"/>
      <c r="AD56" s="1819"/>
      <c r="AE56" s="1919">
        <f>IF(A54&gt;0,F54,0)</f>
        <v>0</v>
      </c>
      <c r="AF56" s="2876">
        <f>IF(A53=0,0,IF(LEFT(B54,3)=S54,VLOOKUP(B54,HWRange,12,FALSE),0)*F55)</f>
        <v>0</v>
      </c>
      <c r="AG56" s="2877" t="str">
        <f>IF(AF56&gt;0,S54&amp;" 3-yr Pricing","")</f>
        <v/>
      </c>
      <c r="AH56" s="2878"/>
      <c r="AI56" s="1591"/>
      <c r="AJ56" s="1591"/>
      <c r="AK56" s="1591"/>
      <c r="AL56" s="1591"/>
      <c r="AM56" s="1591"/>
      <c r="AN56" s="1591"/>
      <c r="AO56" s="1591"/>
      <c r="AP56" s="1591"/>
      <c r="AQ56" s="1591"/>
      <c r="AR56" s="1591"/>
      <c r="AS56" s="1591"/>
      <c r="AT56" s="1591"/>
      <c r="AU56" s="1591"/>
      <c r="AV56" s="1591"/>
      <c r="AX56" s="1601"/>
      <c r="AY56" s="1601"/>
      <c r="BB56" s="1415">
        <f>BC55</f>
        <v>0</v>
      </c>
      <c r="BC56" s="1614"/>
      <c r="BF56" s="1592"/>
      <c r="BG56" s="1893"/>
      <c r="BH56" s="1601"/>
      <c r="BI56" s="1601"/>
      <c r="BJ56" s="1601"/>
      <c r="BK56" s="1601"/>
      <c r="BL56" s="1601"/>
      <c r="BM56" s="1601"/>
      <c r="BN56" s="1601"/>
      <c r="BO56" s="1601"/>
      <c r="BP56" s="1619"/>
      <c r="BQ56" s="923"/>
      <c r="BR56" s="923"/>
      <c r="BS56" s="923"/>
      <c r="BT56" s="923"/>
      <c r="BU56" s="923"/>
      <c r="BV56" s="923"/>
      <c r="BW56" s="923"/>
      <c r="BX56" s="923"/>
      <c r="BY56" s="923"/>
      <c r="BZ56" s="923"/>
      <c r="CA56" s="923"/>
      <c r="CB56" s="923"/>
      <c r="CC56" s="923"/>
      <c r="CD56" s="923"/>
      <c r="CE56" s="923"/>
      <c r="CF56" s="1619"/>
      <c r="CG56" s="3403">
        <f>B56</f>
        <v>0</v>
      </c>
      <c r="CH56" s="3404"/>
      <c r="CI56" s="3404"/>
      <c r="CJ56" s="3404"/>
      <c r="CK56" s="2723"/>
      <c r="CL56" s="1592"/>
      <c r="CM56" s="1594"/>
      <c r="CN56" s="1592"/>
      <c r="CQ56" s="1592"/>
      <c r="CR56" s="1594"/>
      <c r="CU56" s="1592"/>
      <c r="DA56" s="1592"/>
      <c r="DB56" s="1594"/>
      <c r="DE56" s="1592"/>
      <c r="DF56" s="1594"/>
      <c r="DI56" s="1592"/>
      <c r="DJ56" s="1614"/>
      <c r="DK56" s="1614"/>
      <c r="DL56" s="1592"/>
      <c r="DM56" s="1614"/>
      <c r="DN56" s="1594"/>
      <c r="DO56" s="1594"/>
      <c r="DP56" s="394"/>
      <c r="DQ56" s="1614"/>
      <c r="DR56" s="1597"/>
      <c r="DS56" s="1597"/>
      <c r="DT56" s="1415"/>
      <c r="DW56" s="1614"/>
      <c r="DX56" s="1597"/>
      <c r="DY56" s="1415"/>
      <c r="EC56" s="1614"/>
      <c r="ED56" s="1415"/>
      <c r="EH56" s="1597"/>
      <c r="EI56" s="1614"/>
      <c r="EJ56" s="1415"/>
      <c r="EN56" s="1597"/>
      <c r="EO56" s="1614"/>
      <c r="EP56" s="1415"/>
      <c r="ET56" s="1597"/>
      <c r="EU56" s="1614"/>
      <c r="EV56" s="1415"/>
      <c r="EZ56" s="1597"/>
      <c r="FA56" s="1614"/>
      <c r="FB56" s="1415"/>
      <c r="FF56" s="1597"/>
      <c r="FG56" s="1614"/>
      <c r="FH56" s="1415"/>
      <c r="FL56" s="1597"/>
      <c r="FM56" s="1614"/>
      <c r="FN56" s="1415"/>
      <c r="FR56" s="1597"/>
      <c r="FS56" s="1614"/>
      <c r="FT56" s="1415"/>
      <c r="FX56" s="1597"/>
      <c r="FY56" s="1614"/>
      <c r="FZ56" s="1415"/>
      <c r="GD56" s="1597"/>
      <c r="GE56" s="1614"/>
      <c r="GG56" s="1415"/>
      <c r="GJ56" s="1597"/>
      <c r="GK56" s="1614"/>
      <c r="GM56" s="1415"/>
      <c r="GO56" s="1415"/>
      <c r="GP56" s="1597"/>
      <c r="GQ56" s="1614"/>
      <c r="GS56" s="1415"/>
      <c r="GT56" s="1415"/>
    </row>
    <row r="57" spans="1:209" ht="17" hidden="1" outlineLevel="2" thickBot="1" x14ac:dyDescent="0.25">
      <c r="A57" s="2823">
        <f>IF(O59&gt;0,A59/O59,0)</f>
        <v>0</v>
      </c>
      <c r="B57" s="552" t="s">
        <v>1463</v>
      </c>
      <c r="C57" s="136" t="str">
        <f>VLOOKUP(B58,Hardware!$A$2:$I$632,9,FALSE)</f>
        <v>Intel</v>
      </c>
      <c r="D57" s="137" t="str">
        <f>D53</f>
        <v>Arc18=</v>
      </c>
      <c r="E57" s="138">
        <f>IF(FI$22=0,0,IF(FM$22&gt;0,FM$22/FJ$22))</f>
        <v>0</v>
      </c>
      <c r="F57" s="139" t="s">
        <v>328</v>
      </c>
      <c r="G57" s="1585"/>
      <c r="H57" s="1586">
        <v>0.8</v>
      </c>
      <c r="I57" s="1739" t="str">
        <f>I53</f>
        <v>Host01</v>
      </c>
      <c r="J57" s="207">
        <f>IF(K57&gt;0,K57,IF(I59=Calculator!$H$158,1, IF(OR(R57=Calculator!$H$162,R57=Calculator!$H$163), VLOOKUP(I59,VAdjust,2,FALSE),1)))</f>
        <v>1</v>
      </c>
      <c r="K57" s="2456"/>
      <c r="L57" s="722">
        <f>VLOOKUP(B58,HWRange,5,FALSE)</f>
        <v>3500</v>
      </c>
      <c r="M57" s="464" t="str">
        <f>IF(ISERROR(VLOOKUP($K58,$L$5:$L$19,1,FALSE)),"","/"&amp;$L$4)</f>
        <v/>
      </c>
      <c r="N57" s="257" t="str">
        <f>IF(ISERROR(VLOOKUP($K58,$M$5:$M$19,1,FALSE)),IF(ISERROR(VLOOKUP($K58,$M$5:$M$19,1,FALSE)),"","/"&amp;$M$4),"/"&amp;$M$4)</f>
        <v/>
      </c>
      <c r="O57" s="465" t="str">
        <f>IF(ISERROR(VLOOKUP($K58,$N$5:$N$19,1,FALSE)),IF(ISERROR(VLOOKUP($K58,$N$5:$N$19,1,FALSE)),"","/"&amp;$N$4),"/"&amp;$N$4)</f>
        <v/>
      </c>
      <c r="P57" s="1587">
        <f>IF(A58=0,0,IF(P59&gt;0,1000*C58/C59,1000*C58/C59))/2</f>
        <v>0</v>
      </c>
      <c r="Q57" s="1734">
        <f>IF(I59=$J$167,0,VLOOKUP(I57,HostArray,2,FALSE))</f>
        <v>0</v>
      </c>
      <c r="R57" s="1588" t="s">
        <v>412</v>
      </c>
      <c r="S57" s="3071" t="str">
        <f>IF(S58=LEFT(B58,3),_xlfn.NUMBERVALUE(MID(B58,FIND("(",B58,1)+1,FIND(")",B58,1)-FIND("(",B58,1)-3)),"")</f>
        <v/>
      </c>
      <c r="T57" s="135">
        <v>10000</v>
      </c>
      <c r="U57" s="1616">
        <f>IF(E57&gt;0,IF(AND(M59="",N59=""),ES$22/F59,ET$22/F59),0)</f>
        <v>0</v>
      </c>
      <c r="V57" s="1822">
        <f>IF(V59&gt;0,IF($A58&gt;0.5,$A58,""),0)</f>
        <v>0</v>
      </c>
      <c r="W57" s="1823">
        <f>IF(AND($W58=W$167,$H60=I$191),W$168,IF(W59&gt;0,IF($A58&gt;0.5,$A58,""),0))</f>
        <v>0</v>
      </c>
      <c r="X57" s="1823">
        <f t="shared" ref="X57:AD57" si="36">IF(X59&gt;0,IF($A58&gt;0.5,$A58,""),0)</f>
        <v>0</v>
      </c>
      <c r="Y57" s="1823">
        <f t="shared" si="36"/>
        <v>0</v>
      </c>
      <c r="Z57" s="1823">
        <f t="shared" si="36"/>
        <v>0</v>
      </c>
      <c r="AA57" s="1823">
        <f t="shared" si="36"/>
        <v>0</v>
      </c>
      <c r="AB57" s="1823">
        <f t="shared" si="36"/>
        <v>0</v>
      </c>
      <c r="AC57" s="1823">
        <f t="shared" si="36"/>
        <v>0</v>
      </c>
      <c r="AD57" s="1824">
        <f t="shared" si="36"/>
        <v>0</v>
      </c>
      <c r="AE57" s="1825">
        <f>L60</f>
        <v>0</v>
      </c>
      <c r="AF57" s="2977" t="str">
        <f>IF(I59=$H$191,$AF$22,"")</f>
        <v/>
      </c>
      <c r="AG57" s="1600"/>
      <c r="AH57" s="1600"/>
      <c r="AI57" s="1600"/>
      <c r="AJ57" s="1600"/>
      <c r="AK57" s="1600"/>
      <c r="AL57" s="1600"/>
      <c r="AM57" s="1600"/>
      <c r="AN57" s="1600"/>
      <c r="AO57" s="1600"/>
      <c r="AP57" s="1600"/>
      <c r="AQ57" s="1600"/>
      <c r="AR57" s="1600"/>
      <c r="AS57" s="1600"/>
      <c r="AT57" s="1600"/>
      <c r="AU57" s="1600"/>
      <c r="AV57" s="1600"/>
      <c r="AX57" s="2"/>
      <c r="AY57" s="2"/>
      <c r="BC57" s="1"/>
      <c r="BF57" s="1592"/>
      <c r="BG57" s="1593"/>
      <c r="BH57" s="1593"/>
      <c r="BI57" s="1593"/>
      <c r="BJ57" s="1593"/>
      <c r="BK57" s="1593"/>
      <c r="BL57" s="1593"/>
      <c r="BM57" s="1593"/>
      <c r="BN57" s="1593"/>
      <c r="BO57" s="1593"/>
      <c r="BP57" s="889"/>
      <c r="BQ57" s="889"/>
      <c r="BR57" s="889"/>
      <c r="BS57" s="889"/>
      <c r="BT57" s="889"/>
      <c r="BU57" s="889"/>
      <c r="BV57" s="1615"/>
      <c r="BW57" s="1615"/>
      <c r="BX57" s="1615"/>
      <c r="BY57" s="1615"/>
      <c r="BZ57" s="1615"/>
      <c r="CA57" s="1615"/>
      <c r="CB57" s="1615"/>
      <c r="CC57" s="1615"/>
      <c r="CD57" s="1615"/>
      <c r="CE57" s="1615"/>
      <c r="CF57" s="1615"/>
      <c r="CG57" s="1689">
        <f t="shared" ref="CG57:CH59" si="37">A57</f>
        <v>0</v>
      </c>
      <c r="CH57" s="1690" t="str">
        <f t="shared" si="37"/>
        <v>Tier09: Platform Tier 09</v>
      </c>
      <c r="CI57" s="1179" t="str">
        <f>F57</f>
        <v>SRint2006</v>
      </c>
      <c r="CJ57" s="2718"/>
      <c r="CK57" s="2724">
        <f>T57</f>
        <v>10000</v>
      </c>
      <c r="CL57" s="1592"/>
      <c r="CM57" s="1594"/>
      <c r="CN57" s="1592"/>
      <c r="CQ57" s="1592"/>
      <c r="CR57" s="1594"/>
      <c r="CU57" s="1592"/>
      <c r="DA57" s="1592"/>
      <c r="DB57" s="1594"/>
      <c r="DE57" s="1592"/>
      <c r="DF57" s="1594"/>
      <c r="DI57" s="1592"/>
      <c r="DJ57" s="1"/>
      <c r="DK57" s="1"/>
      <c r="DL57" s="1592"/>
      <c r="DM57" s="1"/>
      <c r="DN57" s="1594"/>
      <c r="DO57" s="1595"/>
      <c r="DP57" s="394"/>
      <c r="DQ57" s="1"/>
      <c r="DR57" s="1593"/>
      <c r="DS57" s="1593"/>
      <c r="DT57" s="1415"/>
      <c r="DW57" s="1"/>
      <c r="DX57" s="1593"/>
      <c r="DY57" s="1415"/>
      <c r="EC57" s="1"/>
      <c r="ED57" s="1415"/>
      <c r="EH57" s="1593"/>
      <c r="EI57" s="1"/>
      <c r="EJ57" s="1415"/>
      <c r="EN57" s="1593"/>
      <c r="EO57" s="1"/>
      <c r="EP57" s="1415"/>
      <c r="ET57" s="1593"/>
      <c r="EU57" s="1"/>
      <c r="EV57" s="1415"/>
      <c r="EZ57" s="1593"/>
      <c r="FA57" s="1"/>
      <c r="FB57" s="1415"/>
      <c r="FF57" s="1593"/>
      <c r="FG57" s="1"/>
      <c r="FH57" s="1415"/>
      <c r="FL57" s="1593"/>
      <c r="FM57" s="1"/>
      <c r="FN57" s="1415"/>
      <c r="FR57" s="1593"/>
      <c r="FS57" s="1"/>
      <c r="FT57" s="1415"/>
      <c r="FX57" s="1593"/>
      <c r="FY57" s="1"/>
      <c r="FZ57" s="1415"/>
      <c r="GD57" s="1593"/>
      <c r="GE57" s="1"/>
      <c r="GG57" s="1415"/>
      <c r="GJ57" s="1593"/>
      <c r="GK57" s="1"/>
      <c r="GM57" s="1415"/>
      <c r="GO57" s="1415"/>
      <c r="GP57" s="1593"/>
      <c r="GQ57" s="1"/>
      <c r="GS57" s="1415"/>
      <c r="GT57" s="1415"/>
    </row>
    <row r="58" spans="1:209" ht="15" hidden="1" outlineLevel="2" x14ac:dyDescent="0.2">
      <c r="A58" s="2824">
        <f>IF(E57=0,0,A59/G59)</f>
        <v>0</v>
      </c>
      <c r="B58" s="156" t="str">
        <f>B54</f>
        <v>Xeon E5-2637v4 4 core (1 chip) 3500 MHz</v>
      </c>
      <c r="C58" s="206">
        <f>ROUND(IF(P59&gt;0,2*P59*C59/1000, IF(L59=0,0, IF(I59=Calculator!$H$160, Calculator!$J$160*(1+L58), IF(K59=4, 4*H57*G58/13.4,L58*Calculator!$J$151)))),0)</f>
        <v>0</v>
      </c>
      <c r="D58" s="205">
        <f>F59*L58</f>
        <v>0</v>
      </c>
      <c r="E58" s="70" t="str">
        <f>IF(I59=J179,F59*VLOOKUP(B58,HWRange,8,FALSE),"Virtual Server")</f>
        <v>Virtual Server</v>
      </c>
      <c r="F58" s="71">
        <f>IF(I59=$J$167,VLOOKUP(B58,HWRange,7,FALSE),IF(I58&gt;VLOOKUP(B58,HWRange,3,FALSE),VLOOKUP(B58,HWRange,7,FALSE)*VLOOKUP(B58,HWRange,3,FALSE)/I58,VLOOKUP(B58,HWRange,7,FALSE)))</f>
        <v>60</v>
      </c>
      <c r="G58" s="157">
        <f>IF(I59=$J$167,VLOOKUP(B58,HWRange,6,FALSE),VLOOKUP(B58,HWRange,6,FALSE)*I58/VLOOKUP(B58,HWRange,3,FALSE))</f>
        <v>240</v>
      </c>
      <c r="H58" s="161" t="s">
        <v>365</v>
      </c>
      <c r="I58" s="1247">
        <v>2</v>
      </c>
      <c r="J58" s="1881"/>
      <c r="K58" s="756" t="str">
        <f>A177</f>
        <v>Tier09</v>
      </c>
      <c r="L58" s="491">
        <f>IF(I59=$J$167,VLOOKUP(B58,HWRange,3,FALSE),I58)</f>
        <v>4</v>
      </c>
      <c r="M58" s="466" t="str">
        <f>IF(ISERROR(VLOOKUP($K58,$J$5:$J$19,1,FALSE)),IF(ISERROR(VLOOKUP($K58,$J$5:$J$19,1,FALSE)),"","/"&amp;$J$4),"/"&amp;$J$4)</f>
        <v/>
      </c>
      <c r="N58" s="467" t="str">
        <f>IF(ISERROR(VLOOKUP($K58,$K$5:$K$19,1,FALSE)),"","/"&amp;$K$4)</f>
        <v/>
      </c>
      <c r="O58" s="468">
        <f>IF(AND(O57="",M59=""),0,D58)</f>
        <v>0</v>
      </c>
      <c r="P58" s="1596" t="str">
        <f>IF(NOT(M58=""),Calculator!$A$158,IF(NOT(N58=""),Calculator!$B$158,IF(NOT(O57=""), Calculator!$C$158,Calculator!$G$158)))</f>
        <v>WindowsLinuxSolarisAIXHPUX</v>
      </c>
      <c r="Q58" s="1246" t="str">
        <f>VLOOKUP(B58,HWRange,2,FALSE)</f>
        <v>Xeon E5-2637v4</v>
      </c>
      <c r="R58" s="1187">
        <f>F59*VLOOKUP(B58,HWRange,8,FALSE)</f>
        <v>0</v>
      </c>
      <c r="S58" s="3070">
        <f>IF(OR(LEFT(B58,3)="AMI",LEFT(B58,3)="AZI"),LEFT(B58,3),0)</f>
        <v>0</v>
      </c>
      <c r="T58" s="1623" t="s">
        <v>366</v>
      </c>
      <c r="U58" s="1599" t="s">
        <v>307</v>
      </c>
      <c r="V58" s="822">
        <f t="shared" ref="V58:AD58" si="38">IF(V59=0,0,IF($A58&lt;0.5,$A58,"+"))</f>
        <v>0</v>
      </c>
      <c r="W58" s="2063">
        <f>IF(AND($N59="/"&amp;$Q$4,$H60=I$191,$H59=0),W$167,IF(W59=0,0,IF($A58&lt;0.5,$A58,"+")))</f>
        <v>0</v>
      </c>
      <c r="X58" s="318">
        <f t="shared" si="38"/>
        <v>0</v>
      </c>
      <c r="Y58" s="318">
        <f t="shared" si="38"/>
        <v>0</v>
      </c>
      <c r="Z58" s="318">
        <f t="shared" si="38"/>
        <v>0</v>
      </c>
      <c r="AA58" s="318">
        <f t="shared" si="38"/>
        <v>0</v>
      </c>
      <c r="AB58" s="318">
        <f t="shared" si="38"/>
        <v>0</v>
      </c>
      <c r="AC58" s="318">
        <f t="shared" si="38"/>
        <v>0</v>
      </c>
      <c r="AD58" s="823">
        <f t="shared" si="38"/>
        <v>0</v>
      </c>
      <c r="AE58" s="1185">
        <f>D58</f>
        <v>0</v>
      </c>
      <c r="AF58" s="2998">
        <f>AF$23</f>
        <v>24</v>
      </c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X58" s="1601"/>
      <c r="AY58" s="1601"/>
      <c r="BC58" s="1602"/>
      <c r="BF58" s="1592"/>
      <c r="BG58" s="1601"/>
      <c r="BH58" s="1601"/>
      <c r="BI58" s="1601"/>
      <c r="BJ58" s="1601"/>
      <c r="BK58" s="1601"/>
      <c r="BL58" s="1601"/>
      <c r="BM58" s="1601"/>
      <c r="BN58" s="1601"/>
      <c r="BO58" s="1601"/>
      <c r="BP58" s="885">
        <f>IF(A58&gt;0,1,0)</f>
        <v>0</v>
      </c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1691">
        <f t="shared" si="37"/>
        <v>0</v>
      </c>
      <c r="CH58" s="1590" t="str">
        <f t="shared" si="37"/>
        <v>Xeon E5-2637v4 4 core (1 chip) 3500 MHz</v>
      </c>
      <c r="CI58" s="1180">
        <f>F58</f>
        <v>60</v>
      </c>
      <c r="CJ58" s="1180">
        <f>G58</f>
        <v>240</v>
      </c>
      <c r="CK58" s="2723"/>
      <c r="CL58" s="1592"/>
      <c r="CM58" s="1594"/>
      <c r="CN58" s="1592"/>
      <c r="CQ58" s="1592"/>
      <c r="CR58" s="1594"/>
      <c r="CU58" s="1592"/>
      <c r="DA58" s="1592"/>
      <c r="DB58" s="1594"/>
      <c r="DE58" s="1592"/>
      <c r="DF58" s="1594"/>
      <c r="DI58" s="1592"/>
      <c r="DJ58" s="1602"/>
      <c r="DK58" s="1602"/>
      <c r="DL58" s="1592"/>
      <c r="DM58" s="1602"/>
      <c r="DN58" s="1594"/>
      <c r="DO58" s="1594"/>
      <c r="DP58" s="394"/>
      <c r="DQ58" s="1602"/>
      <c r="DR58" s="1594"/>
      <c r="DS58" s="1594"/>
      <c r="DT58" s="1415"/>
      <c r="DW58" s="1602"/>
      <c r="DX58" s="1594"/>
      <c r="DY58" s="1415"/>
      <c r="EC58" s="1602"/>
      <c r="ED58" s="1415"/>
      <c r="EH58" s="1594"/>
      <c r="EI58" s="1602"/>
      <c r="EJ58" s="1415"/>
      <c r="EN58" s="1594"/>
      <c r="EO58" s="1602"/>
      <c r="EP58" s="1415"/>
      <c r="ET58" s="1594"/>
      <c r="EU58" s="1602"/>
      <c r="EV58" s="1415"/>
      <c r="EZ58" s="1594"/>
      <c r="FA58" s="1602"/>
      <c r="FB58" s="1415"/>
      <c r="FF58" s="1594"/>
      <c r="FG58" s="1602"/>
      <c r="FH58" s="1415"/>
      <c r="FL58" s="1594"/>
      <c r="FM58" s="1602"/>
      <c r="FN58" s="1415"/>
      <c r="FR58" s="1594"/>
      <c r="FS58" s="1602"/>
      <c r="FT58" s="1415"/>
      <c r="FX58" s="1594"/>
      <c r="FY58" s="1602"/>
      <c r="FZ58" s="1415"/>
      <c r="GD58" s="1594"/>
      <c r="GE58" s="1602"/>
      <c r="GG58" s="1415"/>
      <c r="GJ58" s="1594"/>
      <c r="GK58" s="1602"/>
      <c r="GM58" s="1415"/>
      <c r="GO58" s="1415"/>
      <c r="GP58" s="1594"/>
      <c r="GQ58" s="1602"/>
      <c r="GS58" s="1415"/>
      <c r="GT58" s="1415"/>
    </row>
    <row r="59" spans="1:209" ht="14" hidden="1" outlineLevel="2" thickBot="1" x14ac:dyDescent="0.2">
      <c r="A59" s="2825">
        <f>IF(E57=0,0,FJ$22)</f>
        <v>0</v>
      </c>
      <c r="B59" s="3082" t="str">
        <f>"Install ("&amp;C60&amp;M57&amp;N57&amp;O57&amp;M58&amp;N58&amp;M59&amp;N59&amp;")"</f>
        <v>Install (Physical)</v>
      </c>
      <c r="C59" s="258">
        <f>IF(E57=0,0, IF(I59=Calculator!$H$160,1,E59/O59)*H57)</f>
        <v>0</v>
      </c>
      <c r="D59" s="140">
        <f>IF(J59=$H$192,J60,0)+IF(E57=0,0,J57*E57)*($BO$2/F58)</f>
        <v>0</v>
      </c>
      <c r="E59" s="141">
        <f>IF(E57=0,0,L58*60/D59)</f>
        <v>0</v>
      </c>
      <c r="F59" s="142">
        <f>IF(L59=0,0,IF(H59,H59,IF(I59=Calculator!$H$160,A57,IF(N59="/DBMS",1,IF(H60=$I$191,IF(N58="",IF(L59=1,2,L59),L59+1),L59)))))</f>
        <v>0</v>
      </c>
      <c r="G59" s="158">
        <f>IF(E57=0,0,IF(F59&gt;0,+E59*F59,"Nodes?"))</f>
        <v>0</v>
      </c>
      <c r="H59" s="143"/>
      <c r="I59" s="1248" t="s">
        <v>408</v>
      </c>
      <c r="J59" s="2819" t="str">
        <f>J55</f>
        <v xml:space="preserve">Siloed </v>
      </c>
      <c r="K59" s="1604">
        <f>IF(AND(N59="",N58=""),2,4)</f>
        <v>2</v>
      </c>
      <c r="L59" s="1605">
        <f>IF(H59,H59,IF(E57=0,0,IF(A59&gt;0,+INT(A59/(E59*H57))+1,0)))</f>
        <v>0</v>
      </c>
      <c r="M59" s="469" t="str">
        <f>IF(ISERROR(VLOOKUP($K58,$O$5:$O$19,1,FALSE)),IF(ISERROR(VLOOKUP($K58,$O$5:$O$19,1,FALSE)),"","/"&amp;$O$4),"/"&amp;$O$4)</f>
        <v/>
      </c>
      <c r="N59" s="470" t="str">
        <f>IF(ISERROR(VLOOKUP($K58,$Q$5:$Q$19,1,FALSE)),IF(ISERROR(VLOOKUP($K58,$Q$5:$Q$19,1,FALSE)),"","/"&amp;$Q$4),"/"&amp;$Q$4)</f>
        <v/>
      </c>
      <c r="O59" s="471">
        <f>IF($FI$22&gt;0,$FJ$22/$FI$22,0)</f>
        <v>0</v>
      </c>
      <c r="P59" s="886"/>
      <c r="Q59" s="1714">
        <f>D58/VLOOKUP(B58,HWRange,3,FALSE)</f>
        <v>0</v>
      </c>
      <c r="R59" s="1877">
        <f>P177</f>
        <v>0</v>
      </c>
      <c r="S59" s="1982">
        <f>IF(E57=0,0,H57*A57/A58)</f>
        <v>0</v>
      </c>
      <c r="T59" s="135">
        <v>10000</v>
      </c>
      <c r="U59" s="1608">
        <f>IF(E57=0,0,IF(U60=$I$192,U57,ET$22/F59))</f>
        <v>0</v>
      </c>
      <c r="V59" s="1826">
        <f>IF(G59&gt;0,1,0)</f>
        <v>0</v>
      </c>
      <c r="W59" s="1827">
        <f t="shared" ref="W59:AC59" si="39">IF(V59&gt;0,IF($F59&gt;V59,V59+1,0),0)</f>
        <v>0</v>
      </c>
      <c r="X59" s="1827">
        <f t="shared" si="39"/>
        <v>0</v>
      </c>
      <c r="Y59" s="1827">
        <f t="shared" si="39"/>
        <v>0</v>
      </c>
      <c r="Z59" s="1827">
        <f t="shared" si="39"/>
        <v>0</v>
      </c>
      <c r="AA59" s="1827">
        <f t="shared" si="39"/>
        <v>0</v>
      </c>
      <c r="AB59" s="1827">
        <f t="shared" si="39"/>
        <v>0</v>
      </c>
      <c r="AC59" s="1827">
        <f t="shared" si="39"/>
        <v>0</v>
      </c>
      <c r="AD59" s="1828">
        <f>IF(AC59&gt;0,IF($F59&gt;AC59,"…"&amp;$F59,0),0)</f>
        <v>0</v>
      </c>
      <c r="AE59" s="1829">
        <f>A58</f>
        <v>0</v>
      </c>
      <c r="AF59" s="2978">
        <f>IF(AF58="","",IF(H59=0,0,H59/AF58+IF(H60=$I$191,1,0)))</f>
        <v>0</v>
      </c>
      <c r="AG59" s="1591"/>
      <c r="AH59" s="1591"/>
      <c r="AI59" s="1591"/>
      <c r="AJ59" s="1591"/>
      <c r="AK59" s="1591"/>
      <c r="AL59" s="1591"/>
      <c r="AM59" s="1591"/>
      <c r="AN59" s="1591"/>
      <c r="AO59" s="1591"/>
      <c r="AP59" s="1591"/>
      <c r="AQ59" s="1591"/>
      <c r="AR59" s="1591"/>
      <c r="AS59" s="1591"/>
      <c r="AT59" s="1591"/>
      <c r="AU59" s="1591"/>
      <c r="AV59" s="1591"/>
      <c r="BC59" s="1602"/>
      <c r="BF59" s="1592"/>
      <c r="BG59" s="1601"/>
      <c r="BH59" s="1601"/>
      <c r="BI59" s="1601"/>
      <c r="BJ59" s="1601"/>
      <c r="BK59" s="1601"/>
      <c r="BL59" s="1601"/>
      <c r="BM59" s="1601"/>
      <c r="BN59" s="1601"/>
      <c r="BO59" s="1601"/>
      <c r="BP59" s="1606"/>
      <c r="BQ59" s="890"/>
      <c r="BR59" s="890"/>
      <c r="BS59" s="890"/>
      <c r="BT59" s="890"/>
      <c r="BU59" s="890"/>
      <c r="BV59" s="890"/>
      <c r="BW59" s="890"/>
      <c r="BX59" s="890"/>
      <c r="BY59" s="890"/>
      <c r="BZ59" s="890"/>
      <c r="CA59" s="890"/>
      <c r="CB59" s="890"/>
      <c r="CC59" s="890"/>
      <c r="CD59" s="890"/>
      <c r="CE59" s="890"/>
      <c r="CF59" s="1606"/>
      <c r="CG59" s="1692">
        <f t="shared" si="37"/>
        <v>0</v>
      </c>
      <c r="CH59" s="1693" t="str">
        <f t="shared" si="37"/>
        <v>Install (Physical)</v>
      </c>
      <c r="CI59" s="1181">
        <f>F59</f>
        <v>0</v>
      </c>
      <c r="CJ59" s="2719">
        <f>D58</f>
        <v>0</v>
      </c>
      <c r="CK59" s="2724">
        <f>T59</f>
        <v>10000</v>
      </c>
      <c r="CL59" s="1592"/>
      <c r="CM59" s="1594"/>
      <c r="CN59" s="1592"/>
      <c r="CQ59" s="1592"/>
      <c r="CR59" s="1594"/>
      <c r="CU59" s="1592"/>
      <c r="DA59" s="1592"/>
      <c r="DB59" s="1594"/>
      <c r="DE59" s="1592"/>
      <c r="DF59" s="1594"/>
      <c r="DI59" s="1592"/>
      <c r="DJ59" s="1602"/>
      <c r="DK59" s="1602"/>
      <c r="DL59" s="1592"/>
      <c r="DM59" s="1602"/>
      <c r="DN59" s="1594"/>
      <c r="DO59" s="1594"/>
      <c r="DP59" s="394"/>
      <c r="DQ59" s="1602"/>
      <c r="DR59" s="1597"/>
      <c r="DS59" s="1597"/>
      <c r="DT59" s="1415"/>
      <c r="DW59" s="1602"/>
      <c r="DX59" s="1597"/>
      <c r="DY59" s="1415"/>
      <c r="EC59" s="1602"/>
      <c r="ED59" s="1415"/>
      <c r="EH59" s="1597"/>
      <c r="EI59" s="1602"/>
      <c r="EJ59" s="1415"/>
      <c r="EN59" s="1597"/>
      <c r="EO59" s="1602"/>
      <c r="EP59" s="1415"/>
      <c r="ET59" s="1597"/>
      <c r="EU59" s="1602"/>
      <c r="EV59" s="1415"/>
      <c r="EZ59" s="1597"/>
      <c r="FA59" s="1602"/>
      <c r="FB59" s="1415"/>
      <c r="FF59" s="1597"/>
      <c r="FG59" s="1602"/>
      <c r="FH59" s="1415"/>
      <c r="FL59" s="1597"/>
      <c r="FM59" s="1602"/>
      <c r="FN59" s="1415"/>
      <c r="FR59" s="1597"/>
      <c r="FS59" s="1602"/>
      <c r="FT59" s="1415"/>
      <c r="FX59" s="1597"/>
      <c r="FY59" s="1602"/>
      <c r="FZ59" s="1415"/>
      <c r="GD59" s="1597"/>
      <c r="GE59" s="1602"/>
      <c r="GG59" s="1415"/>
      <c r="GJ59" s="1597"/>
      <c r="GK59" s="1602"/>
      <c r="GM59" s="1415"/>
      <c r="GO59" s="1415"/>
      <c r="GP59" s="1597"/>
      <c r="GQ59" s="1602"/>
      <c r="GS59" s="1415"/>
      <c r="GT59" s="1415"/>
    </row>
    <row r="60" spans="1:209" ht="15" hidden="1" outlineLevel="1" collapsed="1" x14ac:dyDescent="0.15">
      <c r="A60" s="916">
        <f>IF(A59=0,0,ROUND(100*A58,0)&amp;"% CPU")</f>
        <v>0</v>
      </c>
      <c r="B60" s="917">
        <f>IF(A59&gt;0,IF(I59=$J$167,K58&amp;": "&amp;F59&amp;"x "&amp;B58&amp;" "&amp;C58&amp;" GB RAM",$K58&amp;": "&amp;$F59&amp;"x VM ("&amp;I58&amp;" core "&amp;C58&amp;" GB RAM) "&amp;Q58&amp;" "&amp;L57&amp;" MHz"),0)</f>
        <v>0</v>
      </c>
      <c r="C60" s="1609" t="str">
        <f>IF(I59=$H$189,I59,I57)</f>
        <v>Physical</v>
      </c>
      <c r="D60" s="918">
        <f>A57</f>
        <v>0</v>
      </c>
      <c r="E60" s="919">
        <f>IF(E59&gt;0,ROUND(E59*60/1000,0)&amp;"K TPH",0)</f>
        <v>0</v>
      </c>
      <c r="F60" s="920">
        <f>+L59</f>
        <v>0</v>
      </c>
      <c r="G60" s="919">
        <f>IF(G59&gt;0,ROUND(G59*60/1000,0)&amp;"K TPH",0)</f>
        <v>0</v>
      </c>
      <c r="H60" s="921" t="str">
        <f>H$23</f>
        <v>Minimum</v>
      </c>
      <c r="I60" s="1736">
        <f>IF(I59=$J$167,0,I57)</f>
        <v>0</v>
      </c>
      <c r="J60" s="2086">
        <f>IF(AND(O57="/"&amp;$N$4,J59=$H$192),IF(F59&gt;0,(F59-1)*A59/(60*$H$194),0),0)</f>
        <v>0</v>
      </c>
      <c r="K60" s="2086">
        <f>IF(E57&gt;0,D59/E57,0)</f>
        <v>0</v>
      </c>
      <c r="L60" s="2080">
        <f>IF($W58=$W$167,2,F59)</f>
        <v>0</v>
      </c>
      <c r="M60" s="3134">
        <f>IF(AND(S60&gt;0,I59=$H$189),1,0)</f>
        <v>0</v>
      </c>
      <c r="N60" s="1618"/>
      <c r="O60" s="1618"/>
      <c r="P60" s="922"/>
      <c r="Q60" s="1737">
        <f>IF($A62&lt;0.9999, $A62/((1+$CJ$2*$A62*($L62-1))*(1-$A62)),200)</f>
        <v>0</v>
      </c>
      <c r="R60" s="1618"/>
      <c r="S60" s="3118">
        <f>IF(LEFT(B58,3)=S58,VLOOKUP(B58,HWRange,10,FALSE),0)</f>
        <v>0</v>
      </c>
      <c r="T60" s="940" t="str">
        <f>U60</f>
        <v>Client</v>
      </c>
      <c r="U60" s="1595" t="s">
        <v>303</v>
      </c>
      <c r="V60" s="1918">
        <f>IF(A58&gt;0,B60&amp;" "&amp;C60&amp;IF(B60="",""," GB RAM"),0)</f>
        <v>0</v>
      </c>
      <c r="W60" s="1819"/>
      <c r="X60" s="1819"/>
      <c r="Y60" s="1819"/>
      <c r="Z60" s="1819"/>
      <c r="AA60" s="1819"/>
      <c r="AB60" s="1819"/>
      <c r="AC60" s="1819"/>
      <c r="AD60" s="1819"/>
      <c r="AE60" s="1919">
        <f>IF(A58&gt;0,F58,0)</f>
        <v>0</v>
      </c>
      <c r="AF60" s="2876">
        <f>IF(A57=0,0,IF(LEFT(B58,3)=S58,VLOOKUP(B58,HWRange,12,FALSE),0)*F59)</f>
        <v>0</v>
      </c>
      <c r="AG60" s="2877" t="str">
        <f>IF(AF60&gt;0,S58&amp;" 3-yr Pricing","")</f>
        <v/>
      </c>
      <c r="AH60" s="2878"/>
      <c r="AI60" s="1591"/>
      <c r="AJ60" s="1591"/>
      <c r="AK60" s="1591"/>
      <c r="AL60" s="1591"/>
      <c r="AM60" s="1591"/>
      <c r="AN60" s="1591"/>
      <c r="AO60" s="1591"/>
      <c r="AP60" s="1591"/>
      <c r="AQ60" s="1591"/>
      <c r="AR60" s="1591"/>
      <c r="AS60" s="1591"/>
      <c r="AT60" s="1591"/>
      <c r="AU60" s="1591"/>
      <c r="AV60" s="1591"/>
      <c r="AX60" s="1601"/>
      <c r="AY60" s="1601"/>
      <c r="BB60" s="1415">
        <f>BC59</f>
        <v>0</v>
      </c>
      <c r="BC60" s="1614"/>
      <c r="BF60" s="1592"/>
      <c r="BG60" s="1893"/>
      <c r="BH60" s="1601"/>
      <c r="BI60" s="1601"/>
      <c r="BJ60" s="1601"/>
      <c r="BK60" s="1601"/>
      <c r="BL60" s="1601"/>
      <c r="BM60" s="1601"/>
      <c r="BN60" s="1601"/>
      <c r="BO60" s="1601"/>
      <c r="BP60" s="1619"/>
      <c r="BQ60" s="923"/>
      <c r="BR60" s="923"/>
      <c r="BS60" s="923"/>
      <c r="BT60" s="923"/>
      <c r="BU60" s="923"/>
      <c r="BV60" s="923"/>
      <c r="BW60" s="923"/>
      <c r="BX60" s="923"/>
      <c r="BY60" s="923"/>
      <c r="BZ60" s="923"/>
      <c r="CA60" s="923"/>
      <c r="CB60" s="923"/>
      <c r="CC60" s="923"/>
      <c r="CD60" s="923"/>
      <c r="CE60" s="923"/>
      <c r="CF60" s="1619"/>
      <c r="CG60" s="3403">
        <f>B60</f>
        <v>0</v>
      </c>
      <c r="CH60" s="3404"/>
      <c r="CI60" s="3404"/>
      <c r="CJ60" s="3404"/>
      <c r="CK60" s="2723"/>
      <c r="CL60" s="1592"/>
      <c r="CM60" s="1594"/>
      <c r="CN60" s="1592"/>
      <c r="CQ60" s="1592"/>
      <c r="CR60" s="1594"/>
      <c r="CU60" s="1592"/>
      <c r="DA60" s="1592"/>
      <c r="DB60" s="1594"/>
      <c r="DE60" s="1592"/>
      <c r="DF60" s="1594"/>
      <c r="DI60" s="1592"/>
      <c r="DJ60" s="1614"/>
      <c r="DK60" s="1614"/>
      <c r="DL60" s="1592"/>
      <c r="DM60" s="1614"/>
      <c r="DN60" s="1594"/>
      <c r="DO60" s="1594"/>
      <c r="DP60" s="394"/>
      <c r="DQ60" s="1614"/>
      <c r="DR60" s="1597"/>
      <c r="DS60" s="1597"/>
      <c r="DT60" s="1415"/>
      <c r="DW60" s="1614"/>
      <c r="DX60" s="1597"/>
      <c r="DY60" s="1415"/>
      <c r="EC60" s="1614"/>
      <c r="ED60" s="1415"/>
      <c r="EH60" s="1597"/>
      <c r="EI60" s="1614"/>
      <c r="EJ60" s="1415"/>
      <c r="EN60" s="1597"/>
      <c r="EO60" s="1614"/>
      <c r="EP60" s="1415"/>
      <c r="ET60" s="1597"/>
      <c r="EU60" s="1614"/>
      <c r="EV60" s="1415"/>
      <c r="EZ60" s="1597"/>
      <c r="FA60" s="1614"/>
      <c r="FB60" s="1415"/>
      <c r="FF60" s="1597"/>
      <c r="FG60" s="1614"/>
      <c r="FH60" s="1415"/>
      <c r="FL60" s="1597"/>
      <c r="FM60" s="1614"/>
      <c r="FN60" s="1415"/>
      <c r="FR60" s="1597"/>
      <c r="FS60" s="1614"/>
      <c r="FT60" s="1415"/>
      <c r="FX60" s="1597"/>
      <c r="FY60" s="1614"/>
      <c r="FZ60" s="1415"/>
      <c r="GD60" s="1597"/>
      <c r="GE60" s="1614"/>
      <c r="GG60" s="1415"/>
      <c r="GJ60" s="1597"/>
      <c r="GK60" s="1614"/>
      <c r="GM60" s="1415"/>
      <c r="GO60" s="1415"/>
      <c r="GP60" s="1597"/>
      <c r="GQ60" s="1614"/>
      <c r="GS60" s="1415"/>
      <c r="GT60" s="1415"/>
    </row>
    <row r="61" spans="1:209" ht="17" hidden="1" outlineLevel="2" thickBot="1" x14ac:dyDescent="0.25">
      <c r="A61" s="2823">
        <f>IF(O63&gt;0,A63/O63,0)</f>
        <v>0</v>
      </c>
      <c r="B61" s="552" t="s">
        <v>1464</v>
      </c>
      <c r="C61" s="136" t="str">
        <f>VLOOKUP(B62,Hardware!$A$2:$I$632,9,FALSE)</f>
        <v>Intel</v>
      </c>
      <c r="D61" s="137" t="str">
        <f>D57</f>
        <v>Arc18=</v>
      </c>
      <c r="E61" s="138">
        <f>IF(FO$22=0,0,IF(FS$22&gt;0,FS$22/FP$22))</f>
        <v>0</v>
      </c>
      <c r="F61" s="139" t="s">
        <v>328</v>
      </c>
      <c r="G61" s="1585"/>
      <c r="H61" s="1586">
        <v>0.8</v>
      </c>
      <c r="I61" s="1739" t="str">
        <f>I57</f>
        <v>Host01</v>
      </c>
      <c r="J61" s="207">
        <f>IF(K61&gt;0,K61,IF(I63=Calculator!$H$158,1, IF(OR(R61=Calculator!$H$162,R61=Calculator!$H$163), VLOOKUP(I63,VAdjust,2,FALSE),1)))</f>
        <v>1</v>
      </c>
      <c r="K61" s="2456"/>
      <c r="L61" s="722">
        <f>VLOOKUP(B62,HWRange,5,FALSE)</f>
        <v>3500</v>
      </c>
      <c r="M61" s="464" t="str">
        <f>IF(ISERROR(VLOOKUP($K62,$L$5:$L$19,1,FALSE)),"","/"&amp;$L$4)</f>
        <v/>
      </c>
      <c r="N61" s="257" t="str">
        <f>IF(ISERROR(VLOOKUP($K62,$M$5:$M$19,1,FALSE)),IF(ISERROR(VLOOKUP($K62,$M$5:$M$19,1,FALSE)),"","/"&amp;$M$4),"/"&amp;$M$4)</f>
        <v/>
      </c>
      <c r="O61" s="465" t="str">
        <f>IF(ISERROR(VLOOKUP($K62,$N$5:$N$19,1,FALSE)),IF(ISERROR(VLOOKUP($K62,$N$5:$N$19,1,FALSE)),"","/"&amp;$N$4),"/"&amp;$N$4)</f>
        <v/>
      </c>
      <c r="P61" s="1587">
        <f>IF(A62=0,0,IF(P63&gt;0,1000*C62/C63,1000*C62/C63))/2</f>
        <v>0</v>
      </c>
      <c r="Q61" s="1734">
        <f>IF(I63=$J$167,0,VLOOKUP(I61,HostArray,2,FALSE))</f>
        <v>0</v>
      </c>
      <c r="R61" s="1588" t="s">
        <v>412</v>
      </c>
      <c r="S61" s="3071" t="str">
        <f>IF(S62=LEFT(B62,3),_xlfn.NUMBERVALUE(MID(B62,FIND("(",B62,1)+1,FIND(")",B62,1)-FIND("(",B62,1)-3)),"")</f>
        <v/>
      </c>
      <c r="T61" s="135">
        <v>10000</v>
      </c>
      <c r="U61" s="1616">
        <f>IF(E61&gt;0,IF(AND(M63="",N63=""),ES$22/F63,ET$22/F63),0)</f>
        <v>0</v>
      </c>
      <c r="V61" s="1822">
        <f>IF(V63&gt;0,IF($A62&gt;0.5,$A62,""),0)</f>
        <v>0</v>
      </c>
      <c r="W61" s="1823">
        <f>IF(AND($W62=W$167,$H64=I$191),W$168,IF(W63&gt;0,IF($A62&gt;0.5,$A62,""),0))</f>
        <v>0</v>
      </c>
      <c r="X61" s="1823">
        <f t="shared" ref="X61:AD61" si="40">IF(X63&gt;0,IF($A62&gt;0.5,$A62,""),0)</f>
        <v>0</v>
      </c>
      <c r="Y61" s="1823">
        <f t="shared" si="40"/>
        <v>0</v>
      </c>
      <c r="Z61" s="1823">
        <f t="shared" si="40"/>
        <v>0</v>
      </c>
      <c r="AA61" s="1823">
        <f t="shared" si="40"/>
        <v>0</v>
      </c>
      <c r="AB61" s="1823">
        <f t="shared" si="40"/>
        <v>0</v>
      </c>
      <c r="AC61" s="1823">
        <f t="shared" si="40"/>
        <v>0</v>
      </c>
      <c r="AD61" s="1824">
        <f t="shared" si="40"/>
        <v>0</v>
      </c>
      <c r="AE61" s="1825">
        <f>L64</f>
        <v>0</v>
      </c>
      <c r="AF61" s="2977" t="str">
        <f>IF(I63=$H$191,$AF$22,"")</f>
        <v/>
      </c>
      <c r="AG61" s="1600"/>
      <c r="AH61" s="1600"/>
      <c r="AI61" s="1600"/>
      <c r="AJ61" s="1600"/>
      <c r="AK61" s="1600"/>
      <c r="AL61" s="1600"/>
      <c r="AM61" s="1600"/>
      <c r="AN61" s="1600"/>
      <c r="AO61" s="1600"/>
      <c r="AP61" s="1600"/>
      <c r="AQ61" s="1600"/>
      <c r="AR61" s="1600"/>
      <c r="AS61" s="1600"/>
      <c r="AT61" s="1600"/>
      <c r="AU61" s="1600"/>
      <c r="AV61" s="1600"/>
      <c r="AX61" s="2"/>
      <c r="AY61" s="2"/>
      <c r="BC61" s="1"/>
      <c r="BF61" s="1592"/>
      <c r="BG61" s="1593"/>
      <c r="BH61" s="1593"/>
      <c r="BI61" s="1593"/>
      <c r="BJ61" s="1593"/>
      <c r="BK61" s="1593"/>
      <c r="BL61" s="1593"/>
      <c r="BM61" s="1593"/>
      <c r="BN61" s="1593"/>
      <c r="BO61" s="1593"/>
      <c r="BP61" s="889"/>
      <c r="BQ61" s="889"/>
      <c r="BR61" s="889"/>
      <c r="BS61" s="889"/>
      <c r="BT61" s="889"/>
      <c r="BU61" s="889"/>
      <c r="BV61" s="1615"/>
      <c r="BW61" s="1615"/>
      <c r="BX61" s="1615"/>
      <c r="BY61" s="1615"/>
      <c r="BZ61" s="1615"/>
      <c r="CA61" s="1615"/>
      <c r="CB61" s="1615"/>
      <c r="CC61" s="1615"/>
      <c r="CD61" s="1615"/>
      <c r="CE61" s="1615"/>
      <c r="CF61" s="1615"/>
      <c r="CG61" s="1689">
        <f t="shared" ref="CG61:CH63" si="41">A61</f>
        <v>0</v>
      </c>
      <c r="CH61" s="1690" t="str">
        <f t="shared" si="41"/>
        <v>Tier10: Platform Tier 10</v>
      </c>
      <c r="CI61" s="1179" t="str">
        <f>F61</f>
        <v>SRint2006</v>
      </c>
      <c r="CJ61" s="2718"/>
      <c r="CK61" s="2724">
        <f>T61</f>
        <v>10000</v>
      </c>
      <c r="CL61" s="1592"/>
      <c r="CM61" s="1594"/>
      <c r="CN61" s="1592"/>
      <c r="CQ61" s="1592"/>
      <c r="CR61" s="1594"/>
      <c r="CU61" s="1592"/>
      <c r="DA61" s="1592"/>
      <c r="DB61" s="1594"/>
      <c r="DE61" s="1592"/>
      <c r="DF61" s="1594"/>
      <c r="DI61" s="1592"/>
      <c r="DJ61" s="1"/>
      <c r="DK61" s="1"/>
      <c r="DL61" s="1592"/>
      <c r="DM61" s="1"/>
      <c r="DN61" s="1594"/>
      <c r="DO61" s="1595"/>
      <c r="DP61" s="394"/>
      <c r="DQ61" s="1"/>
      <c r="DR61" s="1593"/>
      <c r="DS61" s="1593"/>
      <c r="DT61" s="1415"/>
      <c r="DW61" s="1"/>
      <c r="DX61" s="1593"/>
      <c r="DY61" s="1415"/>
      <c r="EC61" s="1"/>
      <c r="ED61" s="1415"/>
      <c r="EH61" s="1593"/>
      <c r="EI61" s="1"/>
      <c r="EJ61" s="1415"/>
      <c r="EN61" s="1593"/>
      <c r="EO61" s="1"/>
      <c r="EP61" s="1415"/>
      <c r="ET61" s="1593"/>
      <c r="EU61" s="1"/>
      <c r="EV61" s="1415"/>
      <c r="EZ61" s="1593"/>
      <c r="FA61" s="1"/>
      <c r="FB61" s="1415"/>
      <c r="FF61" s="1593"/>
      <c r="FG61" s="1"/>
      <c r="FH61" s="1415"/>
      <c r="FL61" s="1593"/>
      <c r="FM61" s="1"/>
      <c r="FN61" s="1415"/>
      <c r="FR61" s="1593"/>
      <c r="FS61" s="1"/>
      <c r="FT61" s="1415"/>
      <c r="FX61" s="1593"/>
      <c r="FY61" s="1"/>
      <c r="FZ61" s="1415"/>
      <c r="GD61" s="1593"/>
      <c r="GE61" s="1"/>
      <c r="GG61" s="1415"/>
      <c r="GJ61" s="1593"/>
      <c r="GK61" s="1"/>
      <c r="GM61" s="1415"/>
      <c r="GO61" s="1415"/>
      <c r="GP61" s="1593"/>
      <c r="GQ61" s="1"/>
      <c r="GS61" s="1415"/>
      <c r="GT61" s="1415"/>
    </row>
    <row r="62" spans="1:209" ht="15" hidden="1" outlineLevel="2" x14ac:dyDescent="0.2">
      <c r="A62" s="2824">
        <f>IF(E61=0,0,A63/G63)</f>
        <v>0</v>
      </c>
      <c r="B62" s="156" t="str">
        <f>B58</f>
        <v>Xeon E5-2637v4 4 core (1 chip) 3500 MHz</v>
      </c>
      <c r="C62" s="206">
        <f>ROUND(IF(P63&gt;0,2*P63*C63/1000, IF(L63=0,0, IF(I63=Calculator!$H$160, Calculator!$J$160*(1+L62), IF(K63=4, 4*H61*G62/13.4,L62*Calculator!$J$151)))),0)</f>
        <v>0</v>
      </c>
      <c r="D62" s="205">
        <f>F63*L62</f>
        <v>0</v>
      </c>
      <c r="E62" s="70" t="str">
        <f>IF(I63=J183,F63*VLOOKUP(B62,HWRange,8,FALSE),"Virtual Server")</f>
        <v>Virtual Server</v>
      </c>
      <c r="F62" s="71">
        <f>IF(I63=$J$167,VLOOKUP(B62,HWRange,7,FALSE),IF(I62&gt;VLOOKUP(B62,HWRange,3,FALSE),VLOOKUP(B62,HWRange,7,FALSE)*VLOOKUP(B62,HWRange,3,FALSE)/I62,VLOOKUP(B62,HWRange,7,FALSE)))</f>
        <v>60</v>
      </c>
      <c r="G62" s="157">
        <f>IF(I63=$J$167,VLOOKUP(B62,HWRange,6,FALSE),VLOOKUP(B62,HWRange,6,FALSE)*I62/VLOOKUP(B62,HWRange,3,FALSE))</f>
        <v>240</v>
      </c>
      <c r="H62" s="161" t="s">
        <v>365</v>
      </c>
      <c r="I62" s="1247">
        <v>2</v>
      </c>
      <c r="J62" s="1881"/>
      <c r="K62" s="2768" t="str">
        <f>A178</f>
        <v>Tier10</v>
      </c>
      <c r="L62" s="491">
        <f>IF(I63=$J$167,VLOOKUP(B62,HWRange,3,FALSE),I62)</f>
        <v>4</v>
      </c>
      <c r="M62" s="466" t="str">
        <f>IF(ISERROR(VLOOKUP($K62,$J$5:$J$19,1,FALSE)),IF(ISERROR(VLOOKUP($K62,$J$5:$J$19,1,FALSE)),"","/"&amp;$J$4),"/"&amp;$J$4)</f>
        <v/>
      </c>
      <c r="N62" s="467" t="str">
        <f>IF(ISERROR(VLOOKUP($K62,$K$5:$K$19,1,FALSE)),"","/"&amp;$K$4)</f>
        <v/>
      </c>
      <c r="O62" s="468">
        <f>IF(AND(O61="",M63=""),0,D62)</f>
        <v>0</v>
      </c>
      <c r="P62" s="1596" t="str">
        <f>IF(NOT(M62=""),Calculator!$A$158,IF(NOT(N62=""),Calculator!$B$158,IF(NOT(O61=""), Calculator!$C$158,Calculator!$G$158)))</f>
        <v>WindowsLinuxSolarisAIXHPUX</v>
      </c>
      <c r="Q62" s="1246" t="str">
        <f>VLOOKUP(B62,HWRange,2,FALSE)</f>
        <v>Xeon E5-2637v4</v>
      </c>
      <c r="R62" s="1187">
        <f>F63*VLOOKUP(B62,HWRange,8,FALSE)</f>
        <v>0</v>
      </c>
      <c r="S62" s="3070">
        <f>IF(OR(LEFT(B62,3)="AMI",LEFT(B62,3)="AZI"),LEFT(B62,3),0)</f>
        <v>0</v>
      </c>
      <c r="T62" s="1623" t="s">
        <v>366</v>
      </c>
      <c r="U62" s="1599" t="s">
        <v>307</v>
      </c>
      <c r="V62" s="822">
        <f t="shared" ref="V62:AD62" si="42">IF(V63=0,0,IF($A62&lt;0.5,$A62,"+"))</f>
        <v>0</v>
      </c>
      <c r="W62" s="2063">
        <f>IF(AND($N63="/"&amp;$Q$4,$H64=I$191,$H63=0),W$167,IF(W63=0,0,IF($A62&lt;0.5,$A62,"+")))</f>
        <v>0</v>
      </c>
      <c r="X62" s="318">
        <f t="shared" si="42"/>
        <v>0</v>
      </c>
      <c r="Y62" s="318">
        <f t="shared" si="42"/>
        <v>0</v>
      </c>
      <c r="Z62" s="318">
        <f t="shared" si="42"/>
        <v>0</v>
      </c>
      <c r="AA62" s="318">
        <f t="shared" si="42"/>
        <v>0</v>
      </c>
      <c r="AB62" s="318">
        <f t="shared" si="42"/>
        <v>0</v>
      </c>
      <c r="AC62" s="318">
        <f t="shared" si="42"/>
        <v>0</v>
      </c>
      <c r="AD62" s="823">
        <f t="shared" si="42"/>
        <v>0</v>
      </c>
      <c r="AE62" s="1185">
        <f>D62</f>
        <v>0</v>
      </c>
      <c r="AF62" s="2998">
        <f>AF$23</f>
        <v>24</v>
      </c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X62" s="1601"/>
      <c r="AY62" s="1601"/>
      <c r="BC62" s="1602"/>
      <c r="BF62" s="1592"/>
      <c r="BG62" s="1601"/>
      <c r="BH62" s="1601"/>
      <c r="BI62" s="1601"/>
      <c r="BJ62" s="1601"/>
      <c r="BK62" s="1601"/>
      <c r="BL62" s="1601"/>
      <c r="BM62" s="1601"/>
      <c r="BN62" s="1601"/>
      <c r="BO62" s="1601"/>
      <c r="BP62" s="885">
        <f>IF(A62&gt;0,1,0)</f>
        <v>0</v>
      </c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1691">
        <f t="shared" si="41"/>
        <v>0</v>
      </c>
      <c r="CH62" s="1590" t="str">
        <f t="shared" si="41"/>
        <v>Xeon E5-2637v4 4 core (1 chip) 3500 MHz</v>
      </c>
      <c r="CI62" s="1180">
        <f>F62</f>
        <v>60</v>
      </c>
      <c r="CJ62" s="1180">
        <f>G62</f>
        <v>240</v>
      </c>
      <c r="CK62" s="2723"/>
      <c r="CL62" s="1592"/>
      <c r="CM62" s="1594"/>
      <c r="CN62" s="1592"/>
      <c r="CQ62" s="1592"/>
      <c r="CR62" s="1594"/>
      <c r="CU62" s="1592"/>
      <c r="DA62" s="1592"/>
      <c r="DB62" s="1594"/>
      <c r="DE62" s="1592"/>
      <c r="DF62" s="1594"/>
      <c r="DI62" s="1592"/>
      <c r="DJ62" s="1602"/>
      <c r="DK62" s="1602"/>
      <c r="DL62" s="1592"/>
      <c r="DM62" s="1602"/>
      <c r="DN62" s="1594"/>
      <c r="DO62" s="1594"/>
      <c r="DP62" s="394"/>
      <c r="DQ62" s="1602"/>
      <c r="DR62" s="1594"/>
      <c r="DS62" s="1594"/>
      <c r="DT62" s="1415"/>
      <c r="DW62" s="1602"/>
      <c r="DX62" s="1594"/>
      <c r="DY62" s="1415"/>
      <c r="EC62" s="1602"/>
      <c r="ED62" s="1415"/>
      <c r="EH62" s="1594"/>
      <c r="EI62" s="1602"/>
      <c r="EJ62" s="1415"/>
      <c r="EN62" s="1594"/>
      <c r="EO62" s="1602"/>
      <c r="EP62" s="1415"/>
      <c r="ET62" s="1594"/>
      <c r="EU62" s="1602"/>
      <c r="EV62" s="1415"/>
      <c r="EZ62" s="1594"/>
      <c r="FA62" s="1602"/>
      <c r="FB62" s="1415"/>
      <c r="FF62" s="1594"/>
      <c r="FG62" s="1602"/>
      <c r="FH62" s="1415"/>
      <c r="FL62" s="1594"/>
      <c r="FM62" s="1602"/>
      <c r="FN62" s="1415"/>
      <c r="FR62" s="1594"/>
      <c r="FS62" s="1602"/>
      <c r="FT62" s="1415"/>
      <c r="FX62" s="1594"/>
      <c r="FY62" s="1602"/>
      <c r="FZ62" s="1415"/>
      <c r="GD62" s="1594"/>
      <c r="GE62" s="1602"/>
      <c r="GG62" s="1415"/>
      <c r="GJ62" s="1594"/>
      <c r="GK62" s="1602"/>
      <c r="GM62" s="1415"/>
      <c r="GO62" s="1415"/>
      <c r="GP62" s="1594"/>
      <c r="GQ62" s="1602"/>
      <c r="GS62" s="1415"/>
      <c r="GT62" s="1415"/>
    </row>
    <row r="63" spans="1:209" ht="14" hidden="1" outlineLevel="2" thickBot="1" x14ac:dyDescent="0.2">
      <c r="A63" s="2825">
        <f>IF(E61=0,0,FP$22)</f>
        <v>0</v>
      </c>
      <c r="B63" s="3083" t="str">
        <f>"Install ("&amp;C64&amp;M61&amp;N61&amp;O61&amp;M62&amp;N62&amp;M63&amp;N63&amp;")"</f>
        <v>Install (Physical)</v>
      </c>
      <c r="C63" s="258">
        <f>IF(E61=0,0, IF(I63=Calculator!$H$160,1,E63/O63)*H61)</f>
        <v>0</v>
      </c>
      <c r="D63" s="140">
        <f>IF(J63=$H$192,J64,0)+IF(E61=0,0,J61*E61)*($BO$2/F62)</f>
        <v>0</v>
      </c>
      <c r="E63" s="141">
        <f>IF(E61=0,0,L62*60/D63)</f>
        <v>0</v>
      </c>
      <c r="F63" s="142">
        <f>IF(L63=0,0,IF(H63,H63,IF(I63=Calculator!$H$160,A61,IF(N63="/DBMS",1,IF(H64=$I$191,IF(N62="",IF(L63=1,2,L63),L63+1),L63)))))</f>
        <v>0</v>
      </c>
      <c r="G63" s="158">
        <f>IF(E61=0,0,IF(F63&gt;0,+E63*F63,"Nodes?"))</f>
        <v>0</v>
      </c>
      <c r="H63" s="143"/>
      <c r="I63" s="1248" t="s">
        <v>408</v>
      </c>
      <c r="J63" s="2819" t="str">
        <f>J59</f>
        <v xml:space="preserve">Siloed </v>
      </c>
      <c r="K63" s="1604">
        <f>IF(AND(N63="",N62=""),2,4)</f>
        <v>2</v>
      </c>
      <c r="L63" s="1605">
        <f>IF(H63,H63,IF(E61=0,0,IF(A63&gt;0,+INT(A63/(E63*H61))+1,0)))</f>
        <v>0</v>
      </c>
      <c r="M63" s="469" t="str">
        <f>IF(ISERROR(VLOOKUP($K62,$O$5:$O$19,1,FALSE)),IF(ISERROR(VLOOKUP($K62,$O$5:$O$19,1,FALSE)),"","/"&amp;$O$4),"/"&amp;$O$4)</f>
        <v/>
      </c>
      <c r="N63" s="470" t="str">
        <f>IF(ISERROR(VLOOKUP($K62,$Q$5:$Q$19,1,FALSE)),IF(ISERROR(VLOOKUP($K62,$Q$5:$Q$19,1,FALSE)),"","/"&amp;$Q$4),"/"&amp;$Q$4)</f>
        <v/>
      </c>
      <c r="O63" s="471">
        <f>IF($FO$22&gt;0,$FP$22/$FO$22,0)</f>
        <v>0</v>
      </c>
      <c r="P63" s="886"/>
      <c r="Q63" s="1714">
        <f>D62/VLOOKUP(B62,HWRange,3,FALSE)</f>
        <v>0</v>
      </c>
      <c r="R63" s="1877">
        <f>P178</f>
        <v>0</v>
      </c>
      <c r="S63" s="1982">
        <f>IF(E61=0,0,H61*A61/A62)</f>
        <v>0</v>
      </c>
      <c r="T63" s="135">
        <v>10000</v>
      </c>
      <c r="U63" s="1608">
        <f>IF(E61=0,0,IF(U64=$I$192,U61,ET$22/F63))</f>
        <v>0</v>
      </c>
      <c r="V63" s="1826">
        <f>IF(G63&gt;0,1,0)</f>
        <v>0</v>
      </c>
      <c r="W63" s="1827">
        <f t="shared" ref="W63:AC63" si="43">IF(V63&gt;0,IF($F63&gt;V63,V63+1,0),0)</f>
        <v>0</v>
      </c>
      <c r="X63" s="1827">
        <f t="shared" si="43"/>
        <v>0</v>
      </c>
      <c r="Y63" s="1827">
        <f t="shared" si="43"/>
        <v>0</v>
      </c>
      <c r="Z63" s="1827">
        <f t="shared" si="43"/>
        <v>0</v>
      </c>
      <c r="AA63" s="1827">
        <f t="shared" si="43"/>
        <v>0</v>
      </c>
      <c r="AB63" s="1827">
        <f t="shared" si="43"/>
        <v>0</v>
      </c>
      <c r="AC63" s="1827">
        <f t="shared" si="43"/>
        <v>0</v>
      </c>
      <c r="AD63" s="1828">
        <f>IF(AC63&gt;0,IF($F63&gt;AC63,"…"&amp;$F63,0),0)</f>
        <v>0</v>
      </c>
      <c r="AE63" s="1829">
        <f>A62</f>
        <v>0</v>
      </c>
      <c r="AF63" s="2978">
        <f>IF(AF62="","",IF(H63=0,0,H63/AF62+IF(H64=$I$191,1,0)))</f>
        <v>0</v>
      </c>
      <c r="AG63" s="1591"/>
      <c r="AH63" s="1591"/>
      <c r="AI63" s="1591"/>
      <c r="AJ63" s="1591"/>
      <c r="AK63" s="1591"/>
      <c r="AL63" s="1591"/>
      <c r="AM63" s="1591"/>
      <c r="AN63" s="1591"/>
      <c r="AO63" s="1591"/>
      <c r="AP63" s="1591"/>
      <c r="AQ63" s="1591"/>
      <c r="AR63" s="1591"/>
      <c r="AS63" s="1591"/>
      <c r="AT63" s="1591"/>
      <c r="AU63" s="1591"/>
      <c r="AV63" s="1591"/>
      <c r="BC63" s="1602"/>
      <c r="BF63" s="1592"/>
      <c r="BG63" s="1601"/>
      <c r="BH63" s="1601"/>
      <c r="BI63" s="1601"/>
      <c r="BJ63" s="1601"/>
      <c r="BK63" s="1601"/>
      <c r="BL63" s="1601"/>
      <c r="BM63" s="1601"/>
      <c r="BN63" s="1601"/>
      <c r="BO63" s="1601"/>
      <c r="BP63" s="1606"/>
      <c r="BQ63" s="890"/>
      <c r="BR63" s="890"/>
      <c r="BS63" s="890"/>
      <c r="BT63" s="890"/>
      <c r="BU63" s="890"/>
      <c r="BV63" s="890"/>
      <c r="BW63" s="890"/>
      <c r="BX63" s="890"/>
      <c r="BY63" s="890"/>
      <c r="BZ63" s="890"/>
      <c r="CA63" s="890"/>
      <c r="CB63" s="890"/>
      <c r="CC63" s="890"/>
      <c r="CD63" s="890"/>
      <c r="CE63" s="890"/>
      <c r="CF63" s="1606"/>
      <c r="CG63" s="1692">
        <f t="shared" si="41"/>
        <v>0</v>
      </c>
      <c r="CH63" s="1693" t="str">
        <f t="shared" si="41"/>
        <v>Install (Physical)</v>
      </c>
      <c r="CI63" s="1181">
        <f>F63</f>
        <v>0</v>
      </c>
      <c r="CJ63" s="2719">
        <f>D62</f>
        <v>0</v>
      </c>
      <c r="CK63" s="2724">
        <f>T63</f>
        <v>10000</v>
      </c>
      <c r="CL63" s="1592"/>
      <c r="CM63" s="1594"/>
      <c r="CN63" s="1592"/>
      <c r="CQ63" s="1592"/>
      <c r="CR63" s="1594"/>
      <c r="CU63" s="1592"/>
      <c r="DA63" s="1592"/>
      <c r="DB63" s="1594"/>
      <c r="DE63" s="1592"/>
      <c r="DF63" s="1594"/>
      <c r="DI63" s="1592"/>
      <c r="DJ63" s="1602"/>
      <c r="DK63" s="1602"/>
      <c r="DL63" s="1592"/>
      <c r="DM63" s="1602"/>
      <c r="DN63" s="1594"/>
      <c r="DO63" s="1594"/>
      <c r="DP63" s="394"/>
      <c r="DQ63" s="1602"/>
      <c r="DR63" s="1597"/>
      <c r="DS63" s="1597"/>
      <c r="DT63" s="1415"/>
      <c r="DW63" s="1602"/>
      <c r="DX63" s="1597"/>
      <c r="DY63" s="1415"/>
      <c r="EC63" s="1602"/>
      <c r="ED63" s="1415"/>
      <c r="EH63" s="1597"/>
      <c r="EI63" s="1602"/>
      <c r="EJ63" s="1415"/>
      <c r="EN63" s="1597"/>
      <c r="EO63" s="1602"/>
      <c r="EP63" s="1415"/>
      <c r="ET63" s="1597"/>
      <c r="EU63" s="1602"/>
      <c r="EV63" s="1415"/>
      <c r="EZ63" s="1597"/>
      <c r="FA63" s="1602"/>
      <c r="FB63" s="1415"/>
      <c r="FF63" s="1597"/>
      <c r="FG63" s="1602"/>
      <c r="FH63" s="1415"/>
      <c r="FL63" s="1597"/>
      <c r="FM63" s="1602"/>
      <c r="FN63" s="1415"/>
      <c r="FR63" s="1597"/>
      <c r="FS63" s="1602"/>
      <c r="FT63" s="1415"/>
      <c r="FX63" s="1597"/>
      <c r="FY63" s="1602"/>
      <c r="FZ63" s="1415"/>
      <c r="GD63" s="1597"/>
      <c r="GE63" s="1602"/>
      <c r="GG63" s="1415"/>
      <c r="GJ63" s="1597"/>
      <c r="GK63" s="1602"/>
      <c r="GM63" s="1415"/>
      <c r="GO63" s="1415"/>
      <c r="GP63" s="1597"/>
      <c r="GQ63" s="1602"/>
      <c r="GS63" s="1415"/>
      <c r="GT63" s="1415"/>
    </row>
    <row r="64" spans="1:209" ht="15" hidden="1" outlineLevel="1" collapsed="1" x14ac:dyDescent="0.15">
      <c r="A64" s="916">
        <f>IF(A63=0,0,ROUND(100*A62,0)&amp;"% CPU")</f>
        <v>0</v>
      </c>
      <c r="B64" s="917">
        <f>IF(A63&gt;0,IF(I63=$J$167,K62&amp;": "&amp;F63&amp;"x "&amp;B62&amp;" "&amp;C62&amp;" GB RAM",$K62&amp;": "&amp;$F63&amp;"x VM ("&amp;I62&amp;" core "&amp;C62&amp;" GB RAM) "&amp;Q62&amp;" "&amp;L61&amp;" MHz"),0)</f>
        <v>0</v>
      </c>
      <c r="C64" s="1609" t="str">
        <f>IF(I63=$H$189,I63,I61)</f>
        <v>Physical</v>
      </c>
      <c r="D64" s="918">
        <f>A61</f>
        <v>0</v>
      </c>
      <c r="E64" s="919">
        <f>IF(E63&gt;0,ROUND(E63*60/1000,0)&amp;"K TPH",0)</f>
        <v>0</v>
      </c>
      <c r="F64" s="920">
        <f>+L63</f>
        <v>0</v>
      </c>
      <c r="G64" s="919">
        <f>IF(G63&gt;0,ROUND(G63*60/1000,0)&amp;"K TPH",0)</f>
        <v>0</v>
      </c>
      <c r="H64" s="921" t="str">
        <f>H$23</f>
        <v>Minimum</v>
      </c>
      <c r="I64" s="1736">
        <f>IF(I63=$J$167,0,I61)</f>
        <v>0</v>
      </c>
      <c r="J64" s="2086">
        <f>IF(AND(O61="/"&amp;$N$4,J63=$H$192),IF(F63&gt;0,(F63-1)*A63/(60*$H$194),0),0)</f>
        <v>0</v>
      </c>
      <c r="K64" s="2086">
        <f>IF(E61&gt;0,D63/E61,0)</f>
        <v>0</v>
      </c>
      <c r="L64" s="2080">
        <f>IF($W62=$W$167,2,F63)</f>
        <v>0</v>
      </c>
      <c r="M64" s="3134">
        <f>IF(AND(S64&gt;0,I63=$H$189),1,0)</f>
        <v>0</v>
      </c>
      <c r="N64" s="1618"/>
      <c r="O64" s="1618"/>
      <c r="P64" s="922"/>
      <c r="Q64" s="1737">
        <f>IF($A67&lt;0.9999, $A67/((1+$CJ$2*$A67*($L67-1))*(1-$A67)),200)</f>
        <v>4.3897253483047322E-2</v>
      </c>
      <c r="R64" s="1618"/>
      <c r="S64" s="3118">
        <f>IF(LEFT(B62,3)=S62,VLOOKUP(B62,HWRange,10,FALSE),0)</f>
        <v>0</v>
      </c>
      <c r="T64" s="940" t="str">
        <f>U64</f>
        <v>Client</v>
      </c>
      <c r="U64" s="1595" t="s">
        <v>303</v>
      </c>
      <c r="V64" s="1918">
        <f>IF(A62&gt;0,B64&amp;" "&amp;C64&amp;IF(B64="",""," GB RAM"),0)</f>
        <v>0</v>
      </c>
      <c r="W64" s="1819"/>
      <c r="X64" s="1819"/>
      <c r="Y64" s="1819"/>
      <c r="Z64" s="1819"/>
      <c r="AA64" s="1819"/>
      <c r="AB64" s="1819"/>
      <c r="AC64" s="1819"/>
      <c r="AD64" s="1819"/>
      <c r="AE64" s="1919">
        <f>IF(A62&gt;0,F62,0)</f>
        <v>0</v>
      </c>
      <c r="AF64" s="2876">
        <f>IF(A61=0,0,IF(LEFT(B62,3)=S62,VLOOKUP(B62,HWRange,12,FALSE),0)*F63)</f>
        <v>0</v>
      </c>
      <c r="AG64" s="2877" t="str">
        <f>IF(AF64&gt;0,S62&amp;" 3-yr Pricing","")</f>
        <v/>
      </c>
      <c r="AH64" s="2878"/>
      <c r="AI64" s="1591"/>
      <c r="AJ64" s="1591"/>
      <c r="AK64" s="1591"/>
      <c r="AL64" s="1591"/>
      <c r="AM64" s="1591"/>
      <c r="AN64" s="1591"/>
      <c r="AO64" s="1591"/>
      <c r="AP64" s="1591"/>
      <c r="AQ64" s="1591"/>
      <c r="AR64" s="1591"/>
      <c r="AS64" s="1591"/>
      <c r="AT64" s="1591"/>
      <c r="AU64" s="1591"/>
      <c r="AV64" s="1591"/>
      <c r="AX64" s="1601"/>
      <c r="AY64" s="1601"/>
      <c r="BB64" s="1415">
        <f>BC63</f>
        <v>0</v>
      </c>
      <c r="BC64" s="1614"/>
      <c r="BF64" s="1592"/>
      <c r="BG64" s="1893"/>
      <c r="BH64" s="1601"/>
      <c r="BI64" s="1601"/>
      <c r="BJ64" s="1601"/>
      <c r="BK64" s="1601"/>
      <c r="BL64" s="1601"/>
      <c r="BM64" s="1601"/>
      <c r="BN64" s="1601"/>
      <c r="BO64" s="1601"/>
      <c r="BP64" s="1619"/>
      <c r="BQ64" s="923"/>
      <c r="BR64" s="923"/>
      <c r="BS64" s="923"/>
      <c r="BT64" s="923"/>
      <c r="BU64" s="923"/>
      <c r="BV64" s="923"/>
      <c r="BW64" s="923"/>
      <c r="BX64" s="923"/>
      <c r="BY64" s="923"/>
      <c r="BZ64" s="923"/>
      <c r="CA64" s="923"/>
      <c r="CB64" s="923"/>
      <c r="CC64" s="923"/>
      <c r="CD64" s="923"/>
      <c r="CE64" s="923"/>
      <c r="CF64" s="1619"/>
      <c r="CG64" s="3403">
        <f>B64</f>
        <v>0</v>
      </c>
      <c r="CH64" s="3404"/>
      <c r="CI64" s="3404"/>
      <c r="CJ64" s="3404"/>
      <c r="CK64" s="2723"/>
      <c r="CL64" s="1592"/>
      <c r="CM64" s="1594"/>
      <c r="CN64" s="1592"/>
      <c r="CQ64" s="1592"/>
      <c r="CR64" s="1594"/>
      <c r="CU64" s="1592"/>
      <c r="DA64" s="1592"/>
      <c r="DB64" s="1594"/>
      <c r="DE64" s="1592"/>
      <c r="DF64" s="1594"/>
      <c r="DI64" s="1592"/>
      <c r="DJ64" s="1614"/>
      <c r="DK64" s="1614"/>
      <c r="DL64" s="1592"/>
      <c r="DM64" s="1614"/>
      <c r="DN64" s="1594"/>
      <c r="DO64" s="1594"/>
      <c r="DP64" s="394"/>
      <c r="DQ64" s="1614"/>
      <c r="DR64" s="1597"/>
      <c r="DS64" s="1597"/>
      <c r="DT64" s="1415"/>
      <c r="DW64" s="1614"/>
      <c r="DX64" s="1597"/>
      <c r="DY64" s="1415"/>
      <c r="EC64" s="1614"/>
      <c r="ED64" s="1415"/>
      <c r="EH64" s="1597"/>
      <c r="EI64" s="1614"/>
      <c r="EJ64" s="1415"/>
      <c r="EN64" s="1597"/>
      <c r="EO64" s="1614"/>
      <c r="EP64" s="1415"/>
      <c r="ET64" s="1597"/>
      <c r="EU64" s="1614"/>
      <c r="EV64" s="1415"/>
      <c r="EZ64" s="1597"/>
      <c r="FA64" s="1614"/>
      <c r="FB64" s="1415"/>
      <c r="FF64" s="1597"/>
      <c r="FG64" s="1614"/>
      <c r="FH64" s="1415"/>
      <c r="FL64" s="1597"/>
      <c r="FM64" s="1614"/>
      <c r="FN64" s="1415"/>
      <c r="FR64" s="1597"/>
      <c r="FS64" s="1614"/>
      <c r="FT64" s="1415"/>
      <c r="FX64" s="1597"/>
      <c r="FY64" s="1614"/>
      <c r="FZ64" s="1415"/>
      <c r="GD64" s="1597"/>
      <c r="GE64" s="1614"/>
      <c r="GG64" s="1415"/>
      <c r="GJ64" s="1597"/>
      <c r="GK64" s="1614"/>
      <c r="GM64" s="1415"/>
      <c r="GO64" s="1415"/>
      <c r="GP64" s="1597"/>
      <c r="GQ64" s="1614"/>
      <c r="GS64" s="1415"/>
      <c r="GT64" s="1415"/>
    </row>
    <row r="65" spans="1:209" s="390" customFormat="1" collapsed="1" x14ac:dyDescent="0.15">
      <c r="A65" s="2805" t="s">
        <v>1461</v>
      </c>
      <c r="B65" s="2814"/>
      <c r="C65" s="2684"/>
      <c r="D65" s="2684"/>
      <c r="E65" s="2684"/>
      <c r="F65" s="2684"/>
      <c r="G65" s="2684"/>
      <c r="H65" s="2685"/>
      <c r="I65" s="2686"/>
      <c r="J65" s="2684"/>
      <c r="K65" s="2684"/>
      <c r="L65" s="2687"/>
      <c r="M65" s="2687"/>
      <c r="N65" s="2687"/>
      <c r="O65" s="2687"/>
      <c r="P65" s="2687"/>
      <c r="Q65" s="2687"/>
      <c r="R65" s="2688"/>
      <c r="S65" s="2689"/>
      <c r="T65" s="2688"/>
      <c r="U65" s="2688"/>
      <c r="V65" s="2688"/>
      <c r="W65" s="2688"/>
      <c r="X65" s="2688"/>
      <c r="Y65" s="2688"/>
      <c r="Z65" s="2688"/>
      <c r="AA65" s="2688"/>
      <c r="AB65" s="2688"/>
      <c r="AC65" s="2688"/>
      <c r="AD65" s="2687"/>
      <c r="AE65" s="2687"/>
      <c r="AF65" s="2855"/>
      <c r="AG65" s="392"/>
      <c r="AH65" s="392"/>
      <c r="AI65" s="392"/>
      <c r="AJ65" s="392"/>
      <c r="AK65" s="392"/>
      <c r="AL65" s="392"/>
      <c r="AM65" s="392"/>
      <c r="AN65" s="392"/>
      <c r="AO65" s="392"/>
      <c r="AP65" s="392"/>
      <c r="AQ65" s="392"/>
      <c r="AR65" s="392"/>
      <c r="AS65" s="392"/>
      <c r="AT65" s="392"/>
      <c r="AU65" s="392"/>
      <c r="AV65" s="392"/>
      <c r="AW65" s="392"/>
      <c r="AX65" s="392"/>
      <c r="AY65" s="392"/>
      <c r="AZ65" s="392"/>
      <c r="BA65" s="392"/>
      <c r="BB65" s="392"/>
      <c r="BC65" s="392"/>
      <c r="BD65" s="392"/>
      <c r="BG65" s="393"/>
      <c r="BH65" s="393"/>
      <c r="BI65" s="393"/>
      <c r="BJ65" s="393"/>
      <c r="BK65" s="393"/>
      <c r="BL65" s="393"/>
      <c r="BM65" s="393"/>
      <c r="BN65" s="393"/>
      <c r="BO65" s="394"/>
      <c r="BP65" s="394"/>
      <c r="BQ65" s="394"/>
      <c r="BR65" s="394"/>
      <c r="BS65" s="394"/>
      <c r="BT65" s="394"/>
      <c r="BU65" s="392"/>
      <c r="BV65" s="392"/>
      <c r="BW65" s="392"/>
      <c r="BX65" s="392"/>
      <c r="BY65" s="392"/>
      <c r="BZ65" s="392"/>
      <c r="CA65" s="392"/>
      <c r="CB65" s="392"/>
      <c r="CC65" s="392"/>
      <c r="CD65" s="392"/>
      <c r="CE65" s="392"/>
      <c r="CK65" s="2725"/>
      <c r="DI65" s="392"/>
      <c r="DJ65" s="392"/>
      <c r="DK65" s="392"/>
      <c r="DL65" s="392"/>
      <c r="DM65" s="392"/>
      <c r="DN65" s="392"/>
      <c r="DO65" s="392"/>
      <c r="DQ65" s="392"/>
      <c r="DS65" s="394"/>
      <c r="DT65" s="394"/>
      <c r="DW65" s="392"/>
      <c r="DX65" s="394"/>
      <c r="DY65" s="394"/>
      <c r="EC65" s="392"/>
      <c r="ED65" s="394"/>
      <c r="EH65" s="394"/>
      <c r="EI65" s="392"/>
      <c r="EJ65" s="394"/>
      <c r="EN65" s="394"/>
      <c r="EO65" s="392"/>
      <c r="EP65" s="394"/>
      <c r="ET65" s="394"/>
      <c r="EU65" s="392"/>
      <c r="EV65" s="394"/>
      <c r="EZ65" s="394"/>
      <c r="FA65" s="392"/>
      <c r="FB65" s="394"/>
      <c r="FF65" s="394"/>
      <c r="FG65" s="392"/>
      <c r="FH65" s="394"/>
      <c r="FL65" s="394"/>
      <c r="FM65" s="392"/>
      <c r="FN65" s="394"/>
      <c r="FR65" s="394"/>
      <c r="FS65" s="392"/>
      <c r="FT65" s="394"/>
      <c r="FX65" s="394"/>
      <c r="FY65" s="392"/>
      <c r="FZ65" s="394"/>
      <c r="GD65" s="394"/>
      <c r="GE65" s="392"/>
      <c r="GF65" s="392"/>
      <c r="GG65" s="394"/>
      <c r="GJ65" s="394"/>
      <c r="GK65" s="392"/>
      <c r="GL65" s="392"/>
      <c r="GM65" s="394"/>
      <c r="GO65" s="394"/>
      <c r="GP65" s="394"/>
      <c r="GQ65" s="392"/>
      <c r="GR65" s="392"/>
      <c r="GS65" s="394"/>
      <c r="GT65" s="394"/>
      <c r="HA65" s="1415"/>
    </row>
    <row r="66" spans="1:209" ht="17" outlineLevel="2" thickBot="1" x14ac:dyDescent="0.25">
      <c r="A66" s="2823">
        <f>IF(O68&gt;0,A68/O68,0)</f>
        <v>4</v>
      </c>
      <c r="B66" s="552" t="s">
        <v>1472</v>
      </c>
      <c r="C66" s="2821" t="str">
        <f>VLOOKUP(B67,Hardware!$A$2:$I$632,9,FALSE)</f>
        <v>Intel</v>
      </c>
      <c r="D66" s="137" t="str">
        <f>D61</f>
        <v>Arc18=</v>
      </c>
      <c r="E66" s="138">
        <f>IF(FU$22=0,0,IF(FY$22&gt;0,FY$22/FV$22))</f>
        <v>0.27028518173345761</v>
      </c>
      <c r="F66" s="139" t="s">
        <v>328</v>
      </c>
      <c r="G66" s="1585"/>
      <c r="H66" s="1586">
        <v>0.8</v>
      </c>
      <c r="I66" s="1739" t="s">
        <v>1490</v>
      </c>
      <c r="J66" s="207">
        <f>IF(K66&gt;0,K66,IF(I68=Calculator!$H$158,1, IF(OR(R66=Calculator!$H$162,R66=Calculator!$H$163), VLOOKUP(I68,VAdjust,2,FALSE),1)))</f>
        <v>1</v>
      </c>
      <c r="K66" s="2456"/>
      <c r="L66" s="722">
        <f>VLOOKUP(B67,HWRange,5,FALSE)</f>
        <v>3600</v>
      </c>
      <c r="M66" s="464" t="str">
        <f>IF(ISERROR(VLOOKUP($K67,$L$5:$L$19,1,FALSE)),"","/"&amp;$L$4)</f>
        <v/>
      </c>
      <c r="N66" s="257" t="str">
        <f>IF(ISERROR(VLOOKUP($K67,$M$5:$M$19,1,FALSE)),IF(ISERROR(VLOOKUP($K67,$M$5:$M$19,1,FALSE)),"","/"&amp;$M$4),"/"&amp;$M$4)</f>
        <v/>
      </c>
      <c r="O66" s="465" t="str">
        <f>IF(ISERROR(VLOOKUP($K67,$N$5:$N$19,1,FALSE)),IF(ISERROR(VLOOKUP($K67,$N$5:$N$19,1,FALSE)),"","/"&amp;$N$4),"/"&amp;$N$4)</f>
        <v/>
      </c>
      <c r="P66" s="1587">
        <f>IF(A67=0,0,IF(P68&gt;0,1000*C67/C68,1000*C67/C68))/2</f>
        <v>500.32628846866896</v>
      </c>
      <c r="Q66" s="1734">
        <f>IF(I68=$J$167,0,VLOOKUP(I66,HostArray,2,FALSE))</f>
        <v>0</v>
      </c>
      <c r="R66" s="1588" t="s">
        <v>412</v>
      </c>
      <c r="S66" s="3071" t="str">
        <f>IF(S67=LEFT(B67,3),_xlfn.NUMBERVALUE(MID(B67,FIND("(",B67,1)+1,FIND(")",B67,1)-FIND("(",B67,1)-3)),"")</f>
        <v/>
      </c>
      <c r="T66" s="135">
        <v>10000</v>
      </c>
      <c r="U66" s="1616">
        <f>IF(E66&gt;0,IF(AND(M68="",N68=""),ES$22/F68,ET$22/F68),0)</f>
        <v>0</v>
      </c>
      <c r="V66" s="1822" t="str">
        <f>IF(V68&gt;0,IF($A67&gt;0.5,$A67,""),0)</f>
        <v/>
      </c>
      <c r="W66" s="1823">
        <f>IF(AND($W67=W$167,$H69=I$191),W$168,IF(W68&gt;0,IF($A67&gt;0.5,$A67,""),0))</f>
        <v>0</v>
      </c>
      <c r="X66" s="1823">
        <f t="shared" ref="X66:AD66" si="44">IF(X68&gt;0,IF($A67&gt;0.5,$A67,""),0)</f>
        <v>0</v>
      </c>
      <c r="Y66" s="1823">
        <f t="shared" si="44"/>
        <v>0</v>
      </c>
      <c r="Z66" s="1823">
        <f t="shared" si="44"/>
        <v>0</v>
      </c>
      <c r="AA66" s="1823">
        <f t="shared" si="44"/>
        <v>0</v>
      </c>
      <c r="AB66" s="1823">
        <f t="shared" si="44"/>
        <v>0</v>
      </c>
      <c r="AC66" s="1823">
        <f t="shared" si="44"/>
        <v>0</v>
      </c>
      <c r="AD66" s="1824">
        <f t="shared" si="44"/>
        <v>0</v>
      </c>
      <c r="AE66" s="2851">
        <f>L69</f>
        <v>1</v>
      </c>
      <c r="AF66" s="2977" t="str">
        <f>IF(I68=$H$191,$AF$22,"")</f>
        <v/>
      </c>
      <c r="AG66" s="392"/>
      <c r="AH66" s="1600"/>
      <c r="AI66" s="1600"/>
      <c r="AJ66" s="1600"/>
      <c r="AK66" s="1600"/>
      <c r="AL66" s="1600"/>
      <c r="AM66" s="1600"/>
      <c r="AN66" s="1600"/>
      <c r="AO66" s="1600"/>
      <c r="AP66" s="1600"/>
      <c r="AQ66" s="1600"/>
      <c r="AR66" s="1600"/>
      <c r="AS66" s="1600"/>
      <c r="AT66" s="1600"/>
      <c r="AU66" s="1600"/>
      <c r="AV66" s="1600"/>
      <c r="AX66" s="2"/>
      <c r="AY66" s="2"/>
      <c r="BC66" s="1"/>
      <c r="BF66" s="1592"/>
      <c r="BG66" s="1593"/>
      <c r="BH66" s="1593"/>
      <c r="BI66" s="1593"/>
      <c r="BJ66" s="1593"/>
      <c r="BK66" s="1593"/>
      <c r="BL66" s="1593"/>
      <c r="BM66" s="1593"/>
      <c r="BN66" s="1593"/>
      <c r="BO66" s="1593"/>
      <c r="BP66" s="889"/>
      <c r="BQ66" s="889"/>
      <c r="BR66" s="889"/>
      <c r="BS66" s="889"/>
      <c r="BT66" s="889"/>
      <c r="BU66" s="889"/>
      <c r="BV66" s="1615"/>
      <c r="BW66" s="1615"/>
      <c r="BX66" s="1615"/>
      <c r="BY66" s="1615"/>
      <c r="BZ66" s="1615"/>
      <c r="CA66" s="1615"/>
      <c r="CB66" s="1615"/>
      <c r="CC66" s="1615"/>
      <c r="CD66" s="1615"/>
      <c r="CE66" s="1615"/>
      <c r="CF66" s="1615"/>
      <c r="CG66" s="1689">
        <f t="shared" ref="CG66:CH68" si="45">A66</f>
        <v>4</v>
      </c>
      <c r="CH66" s="1690" t="str">
        <f t="shared" si="45"/>
        <v>WTS: Platform Tier 11</v>
      </c>
      <c r="CI66" s="1179" t="str">
        <f>F66</f>
        <v>SRint2006</v>
      </c>
      <c r="CJ66" s="2718"/>
      <c r="CK66" s="2724">
        <f>T66</f>
        <v>10000</v>
      </c>
      <c r="CL66" s="1592"/>
      <c r="CM66" s="1594"/>
      <c r="CN66" s="1592"/>
      <c r="CQ66" s="1592"/>
      <c r="CR66" s="1594"/>
      <c r="CU66" s="1592"/>
      <c r="DA66" s="1592"/>
      <c r="DB66" s="1594"/>
      <c r="DE66" s="1592"/>
      <c r="DF66" s="1594"/>
      <c r="DI66" s="1592"/>
      <c r="DJ66" s="1"/>
      <c r="DK66" s="1"/>
      <c r="DL66" s="1592"/>
      <c r="DM66" s="1"/>
      <c r="DN66" s="1594"/>
      <c r="DO66" s="1595"/>
      <c r="DP66" s="394"/>
      <c r="DQ66" s="1"/>
      <c r="DR66" s="1593"/>
      <c r="DS66" s="1593"/>
      <c r="DT66" s="1415"/>
      <c r="DW66" s="1"/>
      <c r="DX66" s="1593"/>
      <c r="DY66" s="1415"/>
      <c r="EC66" s="1"/>
      <c r="ED66" s="1415"/>
      <c r="EH66" s="1593"/>
      <c r="EI66" s="1"/>
      <c r="EJ66" s="1415"/>
      <c r="EN66" s="1593"/>
      <c r="EO66" s="1"/>
      <c r="EP66" s="1415"/>
      <c r="ET66" s="1593"/>
      <c r="EU66" s="1"/>
      <c r="EV66" s="1415"/>
      <c r="EZ66" s="1593"/>
      <c r="FA66" s="1"/>
      <c r="FB66" s="1415"/>
      <c r="FF66" s="1593"/>
      <c r="FG66" s="1"/>
      <c r="FH66" s="1415"/>
      <c r="FL66" s="1593"/>
      <c r="FM66" s="1"/>
      <c r="FN66" s="1415"/>
      <c r="FR66" s="1593"/>
      <c r="FS66" s="1"/>
      <c r="FT66" s="1415"/>
      <c r="FX66" s="1593"/>
      <c r="FY66" s="1"/>
      <c r="FZ66" s="1415"/>
      <c r="GD66" s="1593"/>
      <c r="GE66" s="1"/>
      <c r="GG66" s="1415"/>
      <c r="GJ66" s="1593"/>
      <c r="GK66" s="1"/>
      <c r="GM66" s="1415"/>
      <c r="GO66" s="1415"/>
      <c r="GP66" s="1593"/>
      <c r="GQ66" s="1"/>
      <c r="GS66" s="1415"/>
      <c r="GT66" s="1415"/>
    </row>
    <row r="67" spans="1:209" ht="15" outlineLevel="2" x14ac:dyDescent="0.2">
      <c r="A67" s="2824">
        <f>IF(E66=0,0,A68/G68)</f>
        <v>4.7792361883574351E-2</v>
      </c>
      <c r="B67" s="156" t="s">
        <v>1816</v>
      </c>
      <c r="C67" s="206">
        <f>ROUND(IF(P68&gt;0,2*P68*C68/1000, IF(L68=0,0, IF(I68=Calculator!$H$160, Calculator!$J$160*(1+L67), IF(K68=4, 4*H66*G67/13.4,L67*Calculator!$J$151)))),0)</f>
        <v>67</v>
      </c>
      <c r="D67" s="205">
        <f>F68*L67</f>
        <v>4</v>
      </c>
      <c r="E67" s="70" t="str">
        <f>IF(I68=J187,F68*VLOOKUP(B67,HWRange,8,FALSE),"Virtual Server")</f>
        <v>Virtual Server</v>
      </c>
      <c r="F67" s="71">
        <f>IF(I68=$J$167,VLOOKUP(B67,HWRange,7,FALSE),IF(I67&gt;VLOOKUP(B67,HWRange,3,FALSE),VLOOKUP(B67,HWRange,7,FALSE)*VLOOKUP(B67,HWRange,3,FALSE)/I67,VLOOKUP(B67,HWRange,7,FALSE)))</f>
        <v>69.75</v>
      </c>
      <c r="G67" s="157">
        <f>IF(I68=$J$167,VLOOKUP(B67,HWRange,6,FALSE),VLOOKUP(B67,HWRange,6,FALSE)*I67/VLOOKUP(B67,HWRange,3,FALSE))</f>
        <v>279</v>
      </c>
      <c r="H67" s="161" t="s">
        <v>365</v>
      </c>
      <c r="I67" s="1247">
        <v>2</v>
      </c>
      <c r="J67" s="1881"/>
      <c r="K67" s="756" t="str">
        <f>A179</f>
        <v>WTS</v>
      </c>
      <c r="L67" s="491">
        <f>IF(I68=$J$167,VLOOKUP(B67,HWRange,3,FALSE),I67)</f>
        <v>4</v>
      </c>
      <c r="M67" s="466" t="str">
        <f>IF(ISERROR(VLOOKUP($K67,$J$5:$J$19,1,FALSE)),IF(ISERROR(VLOOKUP($K67,$J$5:$J$19,1,FALSE)),"","/"&amp;$J$4),"/"&amp;$J$4)</f>
        <v/>
      </c>
      <c r="N67" s="467" t="str">
        <f>IF(ISERROR(VLOOKUP($K67,$K$5:$K$19,1,FALSE)),"","/"&amp;$K$4)</f>
        <v>/Citrix</v>
      </c>
      <c r="O67" s="468">
        <f>IF(AND(O66="",M68=""),0,D67)</f>
        <v>0</v>
      </c>
      <c r="P67" s="1596" t="str">
        <f>IF(NOT(M67=""),Calculator!$A$158,IF(NOT(N67=""),Calculator!$B$158,IF(NOT(O66=""), Calculator!$C$158,Calculator!$G$158)))</f>
        <v>WindowTS</v>
      </c>
      <c r="Q67" s="1246" t="str">
        <f>VLOOKUP(B67,HWRange,2,FALSE)</f>
        <v>Xeon Gold 5122</v>
      </c>
      <c r="R67" s="1187">
        <f>F68*VLOOKUP(B67,HWRange,8,FALSE)</f>
        <v>1</v>
      </c>
      <c r="S67" s="3070">
        <f>IF(OR(LEFT(B67,3)="AMI",LEFT(B67,3)="AZI"),LEFT(B67,3),0)</f>
        <v>0</v>
      </c>
      <c r="T67" s="1623" t="s">
        <v>366</v>
      </c>
      <c r="U67" s="1599" t="s">
        <v>307</v>
      </c>
      <c r="V67" s="822">
        <f t="shared" ref="V67:AD67" si="46">IF(V68=0,0,IF($A67&lt;0.5,$A67,"+"))</f>
        <v>4.7792361883574351E-2</v>
      </c>
      <c r="W67" s="2063">
        <f>IF(AND($N68="/"&amp;$Q$4,$H69=I$191,$H68=0),W$167,IF(W68=0,0,IF($A67&lt;0.5,$A67,"+")))</f>
        <v>0</v>
      </c>
      <c r="X67" s="318">
        <f t="shared" si="46"/>
        <v>0</v>
      </c>
      <c r="Y67" s="318">
        <f t="shared" si="46"/>
        <v>0</v>
      </c>
      <c r="Z67" s="318">
        <f t="shared" si="46"/>
        <v>0</v>
      </c>
      <c r="AA67" s="318">
        <f t="shared" si="46"/>
        <v>0</v>
      </c>
      <c r="AB67" s="318">
        <f t="shared" si="46"/>
        <v>0</v>
      </c>
      <c r="AC67" s="318">
        <f t="shared" si="46"/>
        <v>0</v>
      </c>
      <c r="AD67" s="823">
        <f t="shared" si="46"/>
        <v>0</v>
      </c>
      <c r="AE67" s="2852">
        <f>D67</f>
        <v>4</v>
      </c>
      <c r="AF67" s="2998">
        <f>AF$23</f>
        <v>24</v>
      </c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X67" s="1601"/>
      <c r="AY67" s="1601"/>
      <c r="BC67" s="1602"/>
      <c r="BF67" s="1592"/>
      <c r="BG67" s="1601"/>
      <c r="BH67" s="1601"/>
      <c r="BI67" s="1601"/>
      <c r="BJ67" s="1601"/>
      <c r="BK67" s="1601"/>
      <c r="BL67" s="1601"/>
      <c r="BM67" s="1601"/>
      <c r="BN67" s="1601"/>
      <c r="BO67" s="1601"/>
      <c r="BP67" s="885">
        <f>IF(A67&gt;0,1,0)</f>
        <v>1</v>
      </c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1691">
        <f t="shared" si="45"/>
        <v>4.7792361883574351E-2</v>
      </c>
      <c r="CH67" s="1590" t="str">
        <f t="shared" si="45"/>
        <v>Xeon Gold 5122 4 core (1 chip) 3600 MHz</v>
      </c>
      <c r="CI67" s="1180">
        <f>F67</f>
        <v>69.75</v>
      </c>
      <c r="CJ67" s="1180">
        <f>G67</f>
        <v>279</v>
      </c>
      <c r="CK67" s="2723"/>
      <c r="CL67" s="1592"/>
      <c r="CM67" s="1594"/>
      <c r="CN67" s="1592"/>
      <c r="CQ67" s="1592"/>
      <c r="CR67" s="1594"/>
      <c r="CU67" s="1592"/>
      <c r="DA67" s="1592"/>
      <c r="DB67" s="1594"/>
      <c r="DE67" s="1592"/>
      <c r="DF67" s="1594"/>
      <c r="DI67" s="1592"/>
      <c r="DJ67" s="1602"/>
      <c r="DK67" s="1602"/>
      <c r="DL67" s="1592"/>
      <c r="DM67" s="1602"/>
      <c r="DN67" s="1594"/>
      <c r="DO67" s="1594"/>
      <c r="DP67" s="394"/>
      <c r="DQ67" s="1602"/>
      <c r="DR67" s="1594"/>
      <c r="DS67" s="1594"/>
      <c r="DT67" s="1415"/>
      <c r="DW67" s="1602"/>
      <c r="DX67" s="1594"/>
      <c r="DY67" s="1415"/>
      <c r="EC67" s="1602"/>
      <c r="ED67" s="1415"/>
      <c r="EH67" s="1594"/>
      <c r="EI67" s="1602"/>
      <c r="EJ67" s="1415"/>
      <c r="EN67" s="1594"/>
      <c r="EO67" s="1602"/>
      <c r="EP67" s="1415"/>
      <c r="ET67" s="1594"/>
      <c r="EU67" s="1602"/>
      <c r="EV67" s="1415"/>
      <c r="EZ67" s="1594"/>
      <c r="FA67" s="1602"/>
      <c r="FB67" s="1415"/>
      <c r="FF67" s="1594"/>
      <c r="FG67" s="1602"/>
      <c r="FH67" s="1415"/>
      <c r="FL67" s="1594"/>
      <c r="FM67" s="1602"/>
      <c r="FN67" s="1415"/>
      <c r="FR67" s="1594"/>
      <c r="FS67" s="1602"/>
      <c r="FT67" s="1415"/>
      <c r="FX67" s="1594"/>
      <c r="FY67" s="1602"/>
      <c r="FZ67" s="1415"/>
      <c r="GD67" s="1594"/>
      <c r="GE67" s="1602"/>
      <c r="GG67" s="1415"/>
      <c r="GJ67" s="1594"/>
      <c r="GK67" s="1602"/>
      <c r="GM67" s="1415"/>
      <c r="GO67" s="1415"/>
      <c r="GP67" s="1594"/>
      <c r="GQ67" s="1602"/>
      <c r="GS67" s="1415"/>
      <c r="GT67" s="1415"/>
    </row>
    <row r="68" spans="1:209" ht="14" outlineLevel="2" thickBot="1" x14ac:dyDescent="0.2">
      <c r="A68" s="2825">
        <f>IF(E66=0,0,FV$22)</f>
        <v>40</v>
      </c>
      <c r="B68" s="3084" t="str">
        <f>"Install ("&amp;C69&amp;M66&amp;N66&amp;O66&amp;M67&amp;N67&amp;M68&amp;N68&amp;")"</f>
        <v>Install (Physical/Citrix)</v>
      </c>
      <c r="C68" s="2822">
        <f>IF(E66=0,0, IF(I68=Calculator!$H$160,1,E68/O68)*H66)</f>
        <v>66.956305858987079</v>
      </c>
      <c r="D68" s="140">
        <f>IF(J68=$H$192,J69,0)+IF(E66=0,0,J66*E66)*($BO$2/F67)</f>
        <v>0.28675417130144609</v>
      </c>
      <c r="E68" s="141">
        <f>IF(E66=0,0,L67*60/D68)</f>
        <v>836.9538232373385</v>
      </c>
      <c r="F68" s="142">
        <f>IF(L68=0,0,IF(H68,H68,IF(I68=Calculator!$H$160,A66,IF(N68="/DBMS",1,IF(H69=$I$191,IF(N67="",IF(L68=1,2,L68),L68+1),L68)))))</f>
        <v>1</v>
      </c>
      <c r="G68" s="158">
        <f>IF(E66=0,0,IF(F68&gt;0,+E68*F68,"Nodes?"))</f>
        <v>836.9538232373385</v>
      </c>
      <c r="H68" s="143"/>
      <c r="I68" s="1248" t="s">
        <v>408</v>
      </c>
      <c r="J68" s="2819" t="str">
        <f>J63</f>
        <v xml:space="preserve">Siloed </v>
      </c>
      <c r="K68" s="1604">
        <f>IF(AND(N68="",N67=""),2,4)</f>
        <v>4</v>
      </c>
      <c r="L68" s="1605">
        <f>IF(H68,H68,IF(E66=0,0,IF(A68&gt;0,+INT(A68/(E68*H66))+1,0)))</f>
        <v>1</v>
      </c>
      <c r="M68" s="469" t="str">
        <f>IF(ISERROR(VLOOKUP($K67,$O$5:$O$19,1,FALSE)),IF(ISERROR(VLOOKUP($K67,$O$5:$O$19,1,FALSE)),"","/"&amp;$O$4),"/"&amp;$O$4)</f>
        <v/>
      </c>
      <c r="N68" s="470" t="str">
        <f>IF(ISERROR(VLOOKUP($K67,$Q$5:$Q$19,1,FALSE)),IF(ISERROR(VLOOKUP($K67,$Q$5:$Q$19,1,FALSE)),"","/"&amp;$Q$4),"/"&amp;$Q$4)</f>
        <v/>
      </c>
      <c r="O68" s="471">
        <f>IF($FU$22&gt;0,$FV$22/$FU$22,0)</f>
        <v>10</v>
      </c>
      <c r="P68" s="886"/>
      <c r="Q68" s="1714">
        <f>D67/VLOOKUP(B67,HWRange,3,FALSE)</f>
        <v>1</v>
      </c>
      <c r="R68" s="1877">
        <f>P179</f>
        <v>0</v>
      </c>
      <c r="S68" s="1982">
        <f>IF(E66=0,0,H66*A66/A67)</f>
        <v>66.956305858987079</v>
      </c>
      <c r="T68" s="135">
        <v>10000</v>
      </c>
      <c r="U68" s="1608">
        <f>IF(E66=0,0,IF(U69=$I$192,U66,ET$22/F68))</f>
        <v>0</v>
      </c>
      <c r="V68" s="1826">
        <f>IF(G68&gt;0,1,0)</f>
        <v>1</v>
      </c>
      <c r="W68" s="1827">
        <f t="shared" ref="W68:AC68" si="47">IF(V68&gt;0,IF($F68&gt;V68,V68+1,0),0)</f>
        <v>0</v>
      </c>
      <c r="X68" s="1827">
        <f t="shared" si="47"/>
        <v>0</v>
      </c>
      <c r="Y68" s="1827">
        <f t="shared" si="47"/>
        <v>0</v>
      </c>
      <c r="Z68" s="1827">
        <f t="shared" si="47"/>
        <v>0</v>
      </c>
      <c r="AA68" s="1827">
        <f t="shared" si="47"/>
        <v>0</v>
      </c>
      <c r="AB68" s="1827">
        <f t="shared" si="47"/>
        <v>0</v>
      </c>
      <c r="AC68" s="1827">
        <f t="shared" si="47"/>
        <v>0</v>
      </c>
      <c r="AD68" s="1828">
        <f>IF(AC68&gt;0,IF($F68&gt;AC68,"…"&amp;$F68,0),0)</f>
        <v>0</v>
      </c>
      <c r="AE68" s="2853">
        <f>A67</f>
        <v>4.7792361883574351E-2</v>
      </c>
      <c r="AF68" s="2978">
        <f>IF(AF67="","",IF(H68=0,0,H68/AF67+IF(H69=$I$191,1,0)))</f>
        <v>0</v>
      </c>
      <c r="AG68" s="1591"/>
      <c r="AH68" s="1591"/>
      <c r="AI68" s="1591"/>
      <c r="AJ68" s="1591"/>
      <c r="AK68" s="1591"/>
      <c r="AL68" s="1591"/>
      <c r="AM68" s="1591"/>
      <c r="AN68" s="1591"/>
      <c r="AO68" s="1591"/>
      <c r="AP68" s="1591"/>
      <c r="AQ68" s="1591"/>
      <c r="AR68" s="1591"/>
      <c r="AS68" s="1591"/>
      <c r="AT68" s="1591"/>
      <c r="AU68" s="1591"/>
      <c r="AV68" s="1591"/>
      <c r="BC68" s="1602"/>
      <c r="BF68" s="1592"/>
      <c r="BG68" s="1601"/>
      <c r="BH68" s="1601"/>
      <c r="BI68" s="1601"/>
      <c r="BJ68" s="1601"/>
      <c r="BK68" s="1601"/>
      <c r="BL68" s="1601"/>
      <c r="BM68" s="1601"/>
      <c r="BN68" s="1601"/>
      <c r="BO68" s="1601"/>
      <c r="BP68" s="1606"/>
      <c r="BQ68" s="890"/>
      <c r="BR68" s="890"/>
      <c r="BS68" s="890"/>
      <c r="BT68" s="890"/>
      <c r="BU68" s="890"/>
      <c r="BV68" s="890"/>
      <c r="BW68" s="890"/>
      <c r="BX68" s="890"/>
      <c r="BY68" s="890"/>
      <c r="BZ68" s="890"/>
      <c r="CA68" s="890"/>
      <c r="CB68" s="890"/>
      <c r="CC68" s="890"/>
      <c r="CD68" s="890"/>
      <c r="CE68" s="890"/>
      <c r="CF68" s="1606"/>
      <c r="CG68" s="1692">
        <f t="shared" si="45"/>
        <v>40</v>
      </c>
      <c r="CH68" s="1693" t="str">
        <f t="shared" si="45"/>
        <v>Install (Physical/Citrix)</v>
      </c>
      <c r="CI68" s="1181">
        <f>F68</f>
        <v>1</v>
      </c>
      <c r="CJ68" s="2719">
        <f>D67</f>
        <v>4</v>
      </c>
      <c r="CK68" s="2724">
        <f>T68</f>
        <v>10000</v>
      </c>
      <c r="CL68" s="1592"/>
      <c r="CM68" s="1594"/>
      <c r="CN68" s="1592"/>
      <c r="CQ68" s="1592"/>
      <c r="CR68" s="1594"/>
      <c r="CU68" s="1592"/>
      <c r="DA68" s="1592"/>
      <c r="DB68" s="1594"/>
      <c r="DE68" s="1592"/>
      <c r="DF68" s="1594"/>
      <c r="DI68" s="1592"/>
      <c r="DJ68" s="1602"/>
      <c r="DK68" s="1602"/>
      <c r="DL68" s="1592"/>
      <c r="DM68" s="1602"/>
      <c r="DN68" s="1594"/>
      <c r="DO68" s="1594"/>
      <c r="DP68" s="394"/>
      <c r="DQ68" s="1602"/>
      <c r="DR68" s="1597"/>
      <c r="DS68" s="1597"/>
      <c r="DT68" s="1415"/>
      <c r="DW68" s="1602"/>
      <c r="DX68" s="1597"/>
      <c r="DY68" s="1415"/>
      <c r="EC68" s="1602"/>
      <c r="ED68" s="1415"/>
      <c r="EH68" s="1597"/>
      <c r="EI68" s="1602"/>
      <c r="EJ68" s="1415"/>
      <c r="EN68" s="1597"/>
      <c r="EO68" s="1602"/>
      <c r="EP68" s="1415"/>
      <c r="ET68" s="1597"/>
      <c r="EU68" s="1602"/>
      <c r="EV68" s="1415"/>
      <c r="EZ68" s="1597"/>
      <c r="FA68" s="1602"/>
      <c r="FB68" s="1415"/>
      <c r="FF68" s="1597"/>
      <c r="FG68" s="1602"/>
      <c r="FH68" s="1415"/>
      <c r="FL68" s="1597"/>
      <c r="FM68" s="1602"/>
      <c r="FN68" s="1415"/>
      <c r="FR68" s="1597"/>
      <c r="FS68" s="1602"/>
      <c r="FT68" s="1415"/>
      <c r="FX68" s="1597"/>
      <c r="FY68" s="1602"/>
      <c r="FZ68" s="1415"/>
      <c r="GD68" s="1597"/>
      <c r="GE68" s="1602"/>
      <c r="GG68" s="1415"/>
      <c r="GJ68" s="1597"/>
      <c r="GK68" s="1602"/>
      <c r="GM68" s="1415"/>
      <c r="GO68" s="1415"/>
      <c r="GP68" s="1597"/>
      <c r="GQ68" s="1602"/>
      <c r="GS68" s="1415"/>
      <c r="GT68" s="1415"/>
    </row>
    <row r="69" spans="1:209" ht="15" outlineLevel="1" x14ac:dyDescent="0.15">
      <c r="A69" s="916" t="str">
        <f>IF(A68=0,0,ROUND(100*A67,0)&amp;"% CPU")</f>
        <v>5% CPU</v>
      </c>
      <c r="B69" s="917" t="str">
        <f>IF(A68&gt;0,IF(I68=$J$167,K67&amp;": "&amp;F68&amp;"x "&amp;B67&amp;" "&amp;C67&amp;" GB RAM",$K67&amp;": "&amp;$F68&amp;"x VM ("&amp;I67&amp;" core "&amp;C67&amp;" GB RAM) "&amp;Q67&amp;" "&amp;L66&amp;" MHz"),0)</f>
        <v>WTS: 1x Xeon Gold 5122 4 core (1 chip) 3600 MHz 67 GB RAM</v>
      </c>
      <c r="C69" s="1609" t="str">
        <f>IF(I68=$H$189,I68,I66)</f>
        <v>Physical</v>
      </c>
      <c r="D69" s="918">
        <f>A66</f>
        <v>4</v>
      </c>
      <c r="E69" s="919" t="str">
        <f>IF(E68&gt;0,ROUND(E68*60/1000,0)&amp;"K TPH",0)</f>
        <v>50K TPH</v>
      </c>
      <c r="F69" s="920">
        <f>+L68</f>
        <v>1</v>
      </c>
      <c r="G69" s="919" t="str">
        <f>IF(G68&gt;0,ROUND(G68*60/1000,0)&amp;"K TPH",0)</f>
        <v>50K TPH</v>
      </c>
      <c r="H69" s="921" t="str">
        <f>H$23</f>
        <v>Minimum</v>
      </c>
      <c r="I69" s="1736">
        <f>IF(I68=$J$167,0,I66)</f>
        <v>0</v>
      </c>
      <c r="J69" s="2086">
        <f>IF(AND(O66="/"&amp;$N$4,J68=$H$192),IF(F68&gt;0,(F68-1)*A68/(60*$H$194),0),0)</f>
        <v>0</v>
      </c>
      <c r="K69" s="2086">
        <f>IF(E66&gt;0,D68/E66,0)</f>
        <v>1.0609318996415771</v>
      </c>
      <c r="L69" s="2080">
        <f>IF($W67=$W$167,2,F68)</f>
        <v>1</v>
      </c>
      <c r="M69" s="3134">
        <f>IF(AND(S69&gt;0,I68=$H$189),1,0)</f>
        <v>0</v>
      </c>
      <c r="N69" s="1618"/>
      <c r="O69" s="1618"/>
      <c r="P69" s="922"/>
      <c r="Q69" s="1737">
        <f>IF($A71&lt;0.9999, $A71/((1+$CJ$2*$A71*($L71-1))*(1-$A71)),200)</f>
        <v>0</v>
      </c>
      <c r="R69" s="1618"/>
      <c r="S69" s="3118">
        <f>IF(LEFT(B67,3)=S67,VLOOKUP(B67,HWRange,10,FALSE),0)</f>
        <v>0</v>
      </c>
      <c r="T69" s="940" t="str">
        <f>U69</f>
        <v>Client</v>
      </c>
      <c r="U69" s="1595" t="s">
        <v>303</v>
      </c>
      <c r="V69" s="1918" t="str">
        <f>IF(A67&gt;0,B69&amp;" "&amp;C69&amp;IF(B69="",""," GB RAM"),0)</f>
        <v>WTS: 1x Xeon Gold 5122 4 core (1 chip) 3600 MHz 67 GB RAM Physical GB RAM</v>
      </c>
      <c r="W69" s="1819"/>
      <c r="X69" s="1819"/>
      <c r="Y69" s="1819"/>
      <c r="Z69" s="1819"/>
      <c r="AA69" s="1819"/>
      <c r="AB69" s="1819"/>
      <c r="AC69" s="1819"/>
      <c r="AD69" s="1819"/>
      <c r="AE69" s="1919">
        <f>IF(A67&gt;0,F67,0)</f>
        <v>69.75</v>
      </c>
      <c r="AF69" s="2876">
        <f>IF(A66=0,0,IF(LEFT(B67,3)=S67,VLOOKUP(B67,HWRange,12,FALSE),0)*F68)</f>
        <v>0</v>
      </c>
      <c r="AG69" s="2877" t="str">
        <f>IF(AF69&gt;0,S67&amp;" 3-yr Pricing","")</f>
        <v/>
      </c>
      <c r="AH69" s="2878"/>
      <c r="AI69" s="1591"/>
      <c r="AJ69" s="1591"/>
      <c r="AK69" s="1591"/>
      <c r="AL69" s="1591"/>
      <c r="AM69" s="1591"/>
      <c r="AN69" s="1591"/>
      <c r="AO69" s="1591"/>
      <c r="AP69" s="1591"/>
      <c r="AQ69" s="1591"/>
      <c r="AR69" s="1591"/>
      <c r="AS69" s="1591"/>
      <c r="AT69" s="1591"/>
      <c r="AU69" s="1591"/>
      <c r="AV69" s="1591"/>
      <c r="AX69" s="1601"/>
      <c r="AY69" s="1601"/>
      <c r="BB69" s="1415">
        <f>BC68</f>
        <v>0</v>
      </c>
      <c r="BC69" s="1614"/>
      <c r="BF69" s="1592"/>
      <c r="BG69" s="1893"/>
      <c r="BH69" s="1601"/>
      <c r="BI69" s="1601"/>
      <c r="BJ69" s="1601"/>
      <c r="BK69" s="1601"/>
      <c r="BL69" s="1601"/>
      <c r="BM69" s="1601"/>
      <c r="BN69" s="1601"/>
      <c r="BO69" s="1601"/>
      <c r="BP69" s="1619"/>
      <c r="BQ69" s="923"/>
      <c r="BR69" s="923"/>
      <c r="BS69" s="923"/>
      <c r="BT69" s="923"/>
      <c r="BU69" s="923"/>
      <c r="BV69" s="923"/>
      <c r="BW69" s="923"/>
      <c r="BX69" s="923"/>
      <c r="BY69" s="923"/>
      <c r="BZ69" s="923"/>
      <c r="CA69" s="923"/>
      <c r="CB69" s="923"/>
      <c r="CC69" s="923"/>
      <c r="CD69" s="923"/>
      <c r="CE69" s="923"/>
      <c r="CF69" s="1619"/>
      <c r="CG69" s="3403" t="str">
        <f>B69</f>
        <v>WTS: 1x Xeon Gold 5122 4 core (1 chip) 3600 MHz 67 GB RAM</v>
      </c>
      <c r="CH69" s="3404"/>
      <c r="CI69" s="3404"/>
      <c r="CJ69" s="3404"/>
      <c r="CK69" s="2723"/>
      <c r="CL69" s="1592"/>
      <c r="CM69" s="1594"/>
      <c r="CN69" s="1592"/>
      <c r="CQ69" s="1592"/>
      <c r="CR69" s="1594"/>
      <c r="CU69" s="1592"/>
      <c r="DA69" s="1592"/>
      <c r="DB69" s="1594"/>
      <c r="DE69" s="1592"/>
      <c r="DF69" s="1594"/>
      <c r="DI69" s="1592"/>
      <c r="DJ69" s="1614"/>
      <c r="DK69" s="1614"/>
      <c r="DL69" s="1592"/>
      <c r="DM69" s="1614"/>
      <c r="DN69" s="1594"/>
      <c r="DO69" s="1594"/>
      <c r="DP69" s="394"/>
      <c r="DQ69" s="1614"/>
      <c r="DR69" s="1597"/>
      <c r="DS69" s="1597"/>
      <c r="DT69" s="1415"/>
      <c r="DW69" s="1614"/>
      <c r="DX69" s="1597"/>
      <c r="DY69" s="1415"/>
      <c r="EC69" s="1614"/>
      <c r="ED69" s="1415"/>
      <c r="EH69" s="1597"/>
      <c r="EI69" s="1614"/>
      <c r="EJ69" s="1415"/>
      <c r="EN69" s="1597"/>
      <c r="EO69" s="1614"/>
      <c r="EP69" s="1415"/>
      <c r="ET69" s="1597"/>
      <c r="EU69" s="1614"/>
      <c r="EV69" s="1415"/>
      <c r="EZ69" s="1597"/>
      <c r="FA69" s="1614"/>
      <c r="FB69" s="1415"/>
      <c r="FF69" s="1597"/>
      <c r="FG69" s="1614"/>
      <c r="FH69" s="1415"/>
      <c r="FL69" s="1597"/>
      <c r="FM69" s="1614"/>
      <c r="FN69" s="1415"/>
      <c r="FR69" s="1597"/>
      <c r="FS69" s="1614"/>
      <c r="FT69" s="1415"/>
      <c r="FX69" s="1597"/>
      <c r="FY69" s="1614"/>
      <c r="FZ69" s="1415"/>
      <c r="GD69" s="1597"/>
      <c r="GE69" s="1614"/>
      <c r="GG69" s="1415"/>
      <c r="GJ69" s="1597"/>
      <c r="GK69" s="1614"/>
      <c r="GM69" s="1415"/>
      <c r="GO69" s="1415"/>
      <c r="GP69" s="1597"/>
      <c r="GQ69" s="1614"/>
      <c r="GS69" s="1415"/>
      <c r="GT69" s="1415"/>
      <c r="HA69" s="390"/>
    </row>
    <row r="70" spans="1:209" ht="16" hidden="1" outlineLevel="2" thickBot="1" x14ac:dyDescent="0.25">
      <c r="A70" s="2826">
        <f>IF(O72&gt;0,A72/O72,0)</f>
        <v>0</v>
      </c>
      <c r="B70" s="1178" t="s">
        <v>1474</v>
      </c>
      <c r="C70" s="136" t="str">
        <f>VLOOKUP(B71,Hardware!$A$2:$I$632,9,FALSE)</f>
        <v>Intel</v>
      </c>
      <c r="D70" s="1177" t="str">
        <f>D45</f>
        <v>Arc18=</v>
      </c>
      <c r="E70" s="138">
        <f>IF(GA$22=0,0,IF(GE$22&gt;0,GE$22/GB$22))</f>
        <v>0</v>
      </c>
      <c r="F70" s="139" t="s">
        <v>328</v>
      </c>
      <c r="G70" s="1585"/>
      <c r="H70" s="1586">
        <v>0.8</v>
      </c>
      <c r="I70" s="1739" t="s">
        <v>1555</v>
      </c>
      <c r="J70" s="207">
        <f>IF(K70&gt;0,K70,IF(I72=Calculator!$H$158,1, IF(OR(R70=Calculator!$H$162,R70=Calculator!$H$163), VLOOKUP(I72,VAdjust,2,FALSE),1)))</f>
        <v>1</v>
      </c>
      <c r="K70" s="2456"/>
      <c r="L70" s="722">
        <f>VLOOKUP(B71,HWRange,5,FALSE)</f>
        <v>3600</v>
      </c>
      <c r="M70" s="464" t="str">
        <f>IF(ISERROR(VLOOKUP($K71,$L$5:$L$19,1,FALSE)),"","/"&amp;$L$4)</f>
        <v/>
      </c>
      <c r="N70" s="257" t="str">
        <f>IF(ISERROR(VLOOKUP($K71,$M$5:$M$19,1,FALSE)),IF(ISERROR(VLOOKUP($K71,$M$5:$M$19,1,FALSE)),"","/"&amp;$M$4),"/"&amp;$M$4)</f>
        <v/>
      </c>
      <c r="O70" s="465" t="str">
        <f>IF(ISERROR(VLOOKUP($K71,$N$5:$N$19,1,FALSE)),IF(ISERROR(VLOOKUP($K71,$N$5:$N$19,1,FALSE)),"","/"&amp;$N$4),"/"&amp;$N$4)</f>
        <v/>
      </c>
      <c r="P70" s="1587">
        <f>IF(A71=0,0,IF(P72&gt;0,1000*C71/C72,1000*C71/C72))/2</f>
        <v>0</v>
      </c>
      <c r="Q70" s="1734">
        <f>IF(I72=$J$167,0,VLOOKUP(I70,HostArray,2,FALSE))</f>
        <v>0</v>
      </c>
      <c r="R70" s="1588" t="s">
        <v>412</v>
      </c>
      <c r="S70" s="3071" t="str">
        <f>IF(S71=LEFT(B71,3),_xlfn.NUMBERVALUE(MID(B71,FIND("(",B71,1)+1,FIND(")",B71,1)-FIND("(",B71,1)-3)),"")</f>
        <v/>
      </c>
      <c r="T70" s="135">
        <v>10000</v>
      </c>
      <c r="U70" s="1616">
        <f>IF(E70&gt;0,IF(AND(M72="",N72=""),GC$22/F72,GD$22/F72),0)</f>
        <v>0</v>
      </c>
      <c r="V70" s="1822">
        <f t="shared" ref="V70:AD70" si="48">IF(V72&gt;0,IF($A71&gt;0.5,$A71,""),0)</f>
        <v>0</v>
      </c>
      <c r="W70" s="1823">
        <f>IF(AND($W71=W$167,$H73=I$191),W$168,IF(W72&gt;0,IF($A71&gt;0.5,$A71,""),0))</f>
        <v>0</v>
      </c>
      <c r="X70" s="1823">
        <f t="shared" si="48"/>
        <v>0</v>
      </c>
      <c r="Y70" s="1823">
        <f t="shared" si="48"/>
        <v>0</v>
      </c>
      <c r="Z70" s="1823">
        <f t="shared" si="48"/>
        <v>0</v>
      </c>
      <c r="AA70" s="1823">
        <f t="shared" si="48"/>
        <v>0</v>
      </c>
      <c r="AB70" s="1823">
        <f t="shared" si="48"/>
        <v>0</v>
      </c>
      <c r="AC70" s="1823">
        <f t="shared" si="48"/>
        <v>0</v>
      </c>
      <c r="AD70" s="1824">
        <f t="shared" si="48"/>
        <v>0</v>
      </c>
      <c r="AE70" s="1825">
        <f>L73</f>
        <v>0</v>
      </c>
      <c r="AF70" s="2977" t="str">
        <f>IF(I72=$H$191,$AF$22,"")</f>
        <v/>
      </c>
      <c r="AG70" s="1600"/>
      <c r="AH70" s="1600"/>
      <c r="AI70" s="1600"/>
      <c r="AJ70" s="1600"/>
      <c r="AK70" s="1600"/>
      <c r="AL70" s="1600"/>
      <c r="AM70" s="1600"/>
      <c r="AN70" s="1600"/>
      <c r="AO70" s="1600"/>
      <c r="AP70" s="1600"/>
      <c r="AQ70" s="1600"/>
      <c r="AR70" s="1600"/>
      <c r="AS70" s="1600"/>
      <c r="AT70" s="1600"/>
      <c r="AU70" s="1600"/>
      <c r="AV70" s="1600"/>
      <c r="AW70" s="1600"/>
      <c r="AX70" s="2"/>
      <c r="AY70" s="2"/>
      <c r="BC70" s="1"/>
      <c r="BF70" s="1592"/>
      <c r="BG70" s="1893"/>
      <c r="BH70" s="1601"/>
      <c r="BI70" s="1601"/>
      <c r="BJ70" s="1601"/>
      <c r="BK70" s="1601"/>
      <c r="BL70" s="1601"/>
      <c r="BM70" s="1601"/>
      <c r="BN70" s="1593"/>
      <c r="BO70" s="1893"/>
      <c r="BP70" s="891"/>
      <c r="BQ70" s="892"/>
      <c r="BR70" s="892"/>
      <c r="BS70" s="892"/>
      <c r="BT70" s="892"/>
      <c r="BU70" s="892"/>
      <c r="BV70" s="892"/>
      <c r="BW70" s="892"/>
      <c r="BX70" s="892"/>
      <c r="BY70" s="892"/>
      <c r="BZ70" s="892"/>
      <c r="CA70" s="892"/>
      <c r="CB70" s="892"/>
      <c r="CC70" s="892"/>
      <c r="CD70" s="892"/>
      <c r="CE70" s="892"/>
      <c r="CF70" s="1615"/>
      <c r="CG70" s="1689">
        <f t="shared" ref="CG70:CH72" si="49">A70</f>
        <v>0</v>
      </c>
      <c r="CH70" s="1690" t="str">
        <f t="shared" si="49"/>
        <v>Tier12: Platform Tier 12</v>
      </c>
      <c r="CI70" s="1179" t="str">
        <f>F70</f>
        <v>SRint2006</v>
      </c>
      <c r="CJ70" s="2718"/>
      <c r="CK70" s="2724">
        <f>T70</f>
        <v>10000</v>
      </c>
      <c r="CL70" s="1592"/>
      <c r="CM70" s="1594"/>
      <c r="CN70" s="1592"/>
      <c r="CQ70" s="1894"/>
      <c r="CR70" s="1594"/>
      <c r="CU70" s="1592"/>
      <c r="CY70" s="1205"/>
      <c r="DA70" s="1592"/>
      <c r="DB70" s="1594"/>
      <c r="DE70" s="1592"/>
      <c r="DF70" s="1594"/>
      <c r="DG70" s="1879"/>
      <c r="DI70" s="1592"/>
      <c r="DJ70" s="1"/>
      <c r="DK70" s="1"/>
      <c r="DL70" s="1592"/>
      <c r="DM70" s="1"/>
      <c r="DN70" s="1594"/>
      <c r="DO70" s="1595"/>
      <c r="DP70" s="394"/>
      <c r="DQ70" s="1"/>
      <c r="DR70" s="1593"/>
      <c r="DS70" s="1593"/>
      <c r="DT70" s="1415"/>
      <c r="DW70" s="1"/>
      <c r="DX70" s="1593"/>
      <c r="DY70" s="1415"/>
      <c r="EC70" s="1"/>
      <c r="ED70" s="1415"/>
      <c r="EH70" s="1593"/>
      <c r="EI70" s="1"/>
      <c r="EJ70" s="1415"/>
      <c r="EN70" s="1593"/>
      <c r="EO70" s="1"/>
      <c r="EP70" s="1415"/>
      <c r="ET70" s="1593"/>
      <c r="EU70" s="1"/>
      <c r="EV70" s="1205"/>
      <c r="EZ70" s="1593"/>
      <c r="FA70" s="1"/>
      <c r="FB70" s="1205"/>
      <c r="FF70" s="1593"/>
      <c r="FG70" s="1"/>
      <c r="FH70" s="1205"/>
      <c r="FL70" s="1593"/>
      <c r="FM70" s="1"/>
      <c r="FN70" s="1205"/>
      <c r="FR70" s="1593"/>
      <c r="FS70" s="1"/>
      <c r="FT70" s="1205"/>
      <c r="FX70" s="1593"/>
      <c r="FY70" s="1"/>
      <c r="FZ70" s="1205"/>
      <c r="GD70" s="1593"/>
      <c r="GE70" s="1"/>
      <c r="GG70" s="1415"/>
      <c r="GJ70" s="1593"/>
      <c r="GK70" s="1"/>
      <c r="GM70" s="1415"/>
      <c r="GO70" s="1415"/>
      <c r="GP70" s="1593"/>
      <c r="GQ70" s="1"/>
      <c r="GS70" s="1415"/>
      <c r="GT70" s="1415"/>
    </row>
    <row r="71" spans="1:209" ht="15" hidden="1" outlineLevel="2" x14ac:dyDescent="0.2">
      <c r="A71" s="2827">
        <f>IF(E70=0,0,A72/G72)</f>
        <v>0</v>
      </c>
      <c r="B71" s="156" t="str">
        <f>B67</f>
        <v>Xeon Gold 5122 4 core (1 chip) 3600 MHz</v>
      </c>
      <c r="C71" s="206">
        <f>ROUND(IF(P72&gt;0,2*P72*C72/1000, IF(L72=0,0, IF(I72=Calculator!$H$160, Calculator!$J$160*(1+L71), IF(K72=4, 4*H70*G71/13.4,L71*Calculator!$J$151)))),0)</f>
        <v>0</v>
      </c>
      <c r="D71" s="205">
        <f>F72*L71</f>
        <v>0</v>
      </c>
      <c r="E71" s="70">
        <f>IF(I72=J167,F72*VLOOKUP(B71,HWRange,8,FALSE),"Virtual Server")</f>
        <v>0</v>
      </c>
      <c r="F71" s="71">
        <f>IF(I72=$J$167,VLOOKUP(B71,HWRange,7,FALSE),IF(I71&gt;VLOOKUP(B71,HWRange,3,FALSE),VLOOKUP(B71,HWRange,7,FALSE)*VLOOKUP(B71,HWRange,3,FALSE)/I71,VLOOKUP(B71,HWRange,7,FALSE)))</f>
        <v>69.75</v>
      </c>
      <c r="G71" s="157">
        <f>IF(I72=$J$167,VLOOKUP(B71,HWRange,6,FALSE),VLOOKUP(B71,HWRange,6,FALSE)*I71/VLOOKUP(B71,HWRange,3,FALSE))</f>
        <v>279</v>
      </c>
      <c r="H71" s="161" t="s">
        <v>365</v>
      </c>
      <c r="I71" s="1247">
        <v>2</v>
      </c>
      <c r="J71" s="1881"/>
      <c r="K71" s="756" t="str">
        <f>A180</f>
        <v>Tier12</v>
      </c>
      <c r="L71" s="491">
        <f>IF(I72=$J$167,VLOOKUP(B71,HWRange,3,FALSE),I71)</f>
        <v>4</v>
      </c>
      <c r="M71" s="466" t="str">
        <f>IF(ISERROR(VLOOKUP($K71,$J$5:$J$19,1,FALSE)),IF(ISERROR(VLOOKUP($K71,$J$5:$J$19,1,FALSE)),"","/"&amp;$J$4),"/"&amp;$J$4)</f>
        <v/>
      </c>
      <c r="N71" s="467" t="str">
        <f>IF(ISERROR(VLOOKUP($K71,$K$5:$K$19,1,FALSE)),"","/"&amp;$K$4)</f>
        <v/>
      </c>
      <c r="O71" s="468">
        <f>IF(AND(O70="",M72=""),0,D71)</f>
        <v>0</v>
      </c>
      <c r="P71" s="1596" t="str">
        <f>IF(NOT(M71=""),Calculator!$A$158,IF(NOT(N71=""),Calculator!$B$158,IF(NOT(O70=""), Calculator!$C$158,Calculator!$G$158)))</f>
        <v>WindowsLinuxSolarisAIXHPUX</v>
      </c>
      <c r="Q71" s="1246" t="str">
        <f>VLOOKUP(B71,HWRange,2,FALSE)</f>
        <v>Xeon Gold 5122</v>
      </c>
      <c r="R71" s="1187">
        <f>F72*VLOOKUP(B71,HWRange,8,FALSE)</f>
        <v>0</v>
      </c>
      <c r="S71" s="3070">
        <f>IF(OR(LEFT(B71,3)="AMI",LEFT(B71,3)="AZI"),LEFT(B71,3),0)</f>
        <v>0</v>
      </c>
      <c r="T71" s="1624" t="s">
        <v>366</v>
      </c>
      <c r="U71" s="1599" t="s">
        <v>307</v>
      </c>
      <c r="V71" s="822">
        <f t="shared" ref="V71:AD71" si="50">IF(V72=0,0,IF($A71&lt;0.5,$A71,"+"))</f>
        <v>0</v>
      </c>
      <c r="W71" s="2063">
        <f>IF(AND($N72="/"&amp;$Q$4,$H73=I$191,$H72=0),W$167,IF(W72=0,0,IF($A71&lt;0.5,$A71,"+")))</f>
        <v>0</v>
      </c>
      <c r="X71" s="318">
        <f t="shared" si="50"/>
        <v>0</v>
      </c>
      <c r="Y71" s="318">
        <f t="shared" si="50"/>
        <v>0</v>
      </c>
      <c r="Z71" s="318">
        <f t="shared" si="50"/>
        <v>0</v>
      </c>
      <c r="AA71" s="318">
        <f t="shared" si="50"/>
        <v>0</v>
      </c>
      <c r="AB71" s="318">
        <f t="shared" si="50"/>
        <v>0</v>
      </c>
      <c r="AC71" s="318">
        <f t="shared" si="50"/>
        <v>0</v>
      </c>
      <c r="AD71" s="823">
        <f t="shared" si="50"/>
        <v>0</v>
      </c>
      <c r="AE71" s="1185">
        <f>D71</f>
        <v>0</v>
      </c>
      <c r="AF71" s="2998">
        <f>AF$23</f>
        <v>24</v>
      </c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1601"/>
      <c r="AY71" s="1601"/>
      <c r="BB71" s="1415">
        <f>BC70</f>
        <v>0</v>
      </c>
      <c r="BC71" s="1602"/>
      <c r="BF71" s="1592"/>
      <c r="BG71" s="1893"/>
      <c r="BH71" s="1601"/>
      <c r="BI71" s="1601"/>
      <c r="BJ71" s="1601"/>
      <c r="BK71" s="1601"/>
      <c r="BL71" s="1601"/>
      <c r="BM71" s="1601"/>
      <c r="BN71" s="1601"/>
      <c r="BO71" s="1601"/>
      <c r="BP71" s="885">
        <f>IF(A71&gt;0,1,0)</f>
        <v>0</v>
      </c>
      <c r="BQ71" s="56"/>
      <c r="BR71" s="1205"/>
      <c r="BS71" s="1892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1691">
        <f t="shared" si="49"/>
        <v>0</v>
      </c>
      <c r="CH71" s="1590" t="str">
        <f t="shared" si="49"/>
        <v>Xeon Gold 5122 4 core (1 chip) 3600 MHz</v>
      </c>
      <c r="CI71" s="1180">
        <f>F71</f>
        <v>69.75</v>
      </c>
      <c r="CJ71" s="1180">
        <f>G71</f>
        <v>279</v>
      </c>
      <c r="CK71" s="2723"/>
      <c r="CL71" s="1592"/>
      <c r="CM71" s="1594"/>
      <c r="CN71" s="1592"/>
      <c r="CQ71" s="1592"/>
      <c r="CR71" s="1594"/>
      <c r="CU71" s="1592"/>
      <c r="CW71" s="1415">
        <f>IF(ISERROR(IF(MID(#REF!,FIND(" ",#REF!),8)=" Imagery",MATCH(#REF!,ImageryDataList,0), MATCH(#REF!,MapDataList,0))),1,0)</f>
        <v>1</v>
      </c>
      <c r="CY71" s="1681"/>
      <c r="DA71" s="1592"/>
      <c r="DB71" s="1594"/>
      <c r="DE71" s="1592"/>
      <c r="DF71" s="1594"/>
      <c r="DG71" s="1879"/>
      <c r="DI71" s="1592"/>
      <c r="DJ71" s="1602"/>
      <c r="DK71" s="1602"/>
      <c r="DL71" s="1592"/>
      <c r="DM71" s="1602"/>
      <c r="DN71" s="1594"/>
      <c r="DO71" s="1594"/>
      <c r="DP71" s="394"/>
      <c r="DQ71" s="1602"/>
      <c r="DR71" s="1594"/>
      <c r="DS71" s="1594"/>
      <c r="DT71" s="1415"/>
      <c r="DW71" s="1602"/>
      <c r="DX71" s="1594"/>
      <c r="DY71" s="1415"/>
      <c r="EC71" s="1602"/>
      <c r="ED71" s="1415"/>
      <c r="EH71" s="1594"/>
      <c r="EI71" s="1602"/>
      <c r="EJ71" s="1415"/>
      <c r="EN71" s="1594"/>
      <c r="EO71" s="1602"/>
      <c r="EP71" s="1415"/>
      <c r="ET71" s="1594"/>
      <c r="EU71" s="1602"/>
      <c r="EV71" s="1415"/>
      <c r="EZ71" s="1594"/>
      <c r="FA71" s="1602"/>
      <c r="FB71" s="1415"/>
      <c r="FF71" s="1594"/>
      <c r="FG71" s="1602"/>
      <c r="FH71" s="1415"/>
      <c r="FL71" s="1594"/>
      <c r="FM71" s="1602"/>
      <c r="FN71" s="1415"/>
      <c r="FR71" s="1594"/>
      <c r="FS71" s="1602"/>
      <c r="FT71" s="1415"/>
      <c r="FX71" s="1594"/>
      <c r="FY71" s="1602"/>
      <c r="FZ71" s="1415"/>
      <c r="GD71" s="1594"/>
      <c r="GE71" s="1602"/>
      <c r="GG71" s="1415"/>
      <c r="GJ71" s="1594"/>
      <c r="GK71" s="1602"/>
      <c r="GM71" s="1415"/>
      <c r="GO71" s="1415"/>
      <c r="GP71" s="1594"/>
      <c r="GQ71" s="1602"/>
      <c r="GS71" s="1415"/>
      <c r="GT71" s="1415"/>
    </row>
    <row r="72" spans="1:209" ht="14" hidden="1" outlineLevel="2" thickBot="1" x14ac:dyDescent="0.2">
      <c r="A72" s="2828">
        <f>IF(E70=0,0,GB$22)</f>
        <v>0</v>
      </c>
      <c r="B72" s="3085" t="str">
        <f>"Install ("&amp;C73&amp;M70&amp;N70&amp;O70&amp;M71&amp;N71&amp;M72&amp;N72&amp;")"</f>
        <v>Install (Physical)</v>
      </c>
      <c r="C72" s="258">
        <f>IF(E70=0,0, IF(I72=Calculator!$H$160,1,E72/O72)*H70)</f>
        <v>0</v>
      </c>
      <c r="D72" s="140">
        <f>IF(J72=$H$192,J73,0)+IF(E70=0,0,J70*E70)*($BO$2/F71)</f>
        <v>0</v>
      </c>
      <c r="E72" s="141">
        <f>IF(E70=0,0,L71*60/D72)</f>
        <v>0</v>
      </c>
      <c r="F72" s="142">
        <f>IF(L72=0,0,IF(H72,H72,IF(I72=Calculator!$H$160,A70,IF(N72="/DBMS",1,IF(H73=$I$191,IF(N71="",IF(L72=1,2,L72),L72+1),L72)))))</f>
        <v>0</v>
      </c>
      <c r="G72" s="1182">
        <f>IF(E70=0,0,IF(F72&gt;0,+E72*F72,"Nodes?"))</f>
        <v>0</v>
      </c>
      <c r="H72" s="143"/>
      <c r="I72" s="1248" t="s">
        <v>408</v>
      </c>
      <c r="J72" s="2819" t="str">
        <f>J47</f>
        <v xml:space="preserve">Siloed </v>
      </c>
      <c r="K72" s="1604">
        <f>IF(AND(N72="",N71=""),2,4)</f>
        <v>2</v>
      </c>
      <c r="L72" s="1605">
        <f>IF(H72,H72,IF(E70=0,0,IF(A72&gt;0,+INT(A72/(E72*H70))+1,0)))</f>
        <v>0</v>
      </c>
      <c r="M72" s="469" t="str">
        <f>IF(ISERROR(VLOOKUP($K71,$O$5:$O$19,1,FALSE)),IF(ISERROR(VLOOKUP($K71,$O$5:$O$19,1,FALSE)),"","/"&amp;$O$4),"/"&amp;$O$4)</f>
        <v/>
      </c>
      <c r="N72" s="470" t="str">
        <f>IF(ISERROR(VLOOKUP($K71,$Q$5:$Q$19,1,FALSE)),IF(ISERROR(VLOOKUP($K71,$Q$5:$Q$19,1,FALSE)),"","/"&amp;$Q$4),"/"&amp;$Q$4)</f>
        <v/>
      </c>
      <c r="O72" s="471">
        <f>IF($GA$22&gt;0,$GB$22/$GA$22,0)</f>
        <v>0</v>
      </c>
      <c r="P72" s="886"/>
      <c r="Q72" s="1714">
        <f>D71/VLOOKUP(B71,HWRange,3,FALSE)</f>
        <v>0</v>
      </c>
      <c r="R72" s="1877">
        <f>P180</f>
        <v>0</v>
      </c>
      <c r="S72" s="1982">
        <f>IF(E70=0,0,H70*A70/A71)</f>
        <v>0</v>
      </c>
      <c r="T72" s="135">
        <v>10000</v>
      </c>
      <c r="U72" s="1608">
        <f>IF(E70=0,0,IF(U73=$I$192,U70,GD$22/F72))</f>
        <v>0</v>
      </c>
      <c r="V72" s="1826">
        <f>IF(G72&gt;0,1,0)</f>
        <v>0</v>
      </c>
      <c r="W72" s="1827">
        <f t="shared" ref="W72:AC72" si="51">IF(V72&gt;0,IF($F72&gt;V72,V72+1,0),0)</f>
        <v>0</v>
      </c>
      <c r="X72" s="1827">
        <f t="shared" si="51"/>
        <v>0</v>
      </c>
      <c r="Y72" s="1827">
        <f t="shared" si="51"/>
        <v>0</v>
      </c>
      <c r="Z72" s="1827">
        <f t="shared" si="51"/>
        <v>0</v>
      </c>
      <c r="AA72" s="1827">
        <f t="shared" si="51"/>
        <v>0</v>
      </c>
      <c r="AB72" s="1827">
        <f t="shared" si="51"/>
        <v>0</v>
      </c>
      <c r="AC72" s="1827">
        <f t="shared" si="51"/>
        <v>0</v>
      </c>
      <c r="AD72" s="1828">
        <f>IF(AC72&gt;0,IF($F72&gt;AC72,"…"&amp;$F72,0),0)</f>
        <v>0</v>
      </c>
      <c r="AE72" s="1829">
        <f>A71</f>
        <v>0</v>
      </c>
      <c r="AF72" s="2978">
        <f>IF(AF71="","",IF(H72=0,0,H72/AF71+IF(H73=$I$191,1,0)))</f>
        <v>0</v>
      </c>
      <c r="AG72" s="1591"/>
      <c r="AH72" s="1591"/>
      <c r="AI72" s="56"/>
      <c r="AJ72" s="1591"/>
      <c r="AK72" s="56"/>
      <c r="AL72" s="1591"/>
      <c r="AM72" s="56"/>
      <c r="AN72" s="1591"/>
      <c r="AO72" s="56"/>
      <c r="AP72" s="1591"/>
      <c r="AQ72" s="56"/>
      <c r="AR72" s="1591"/>
      <c r="AS72" s="56"/>
      <c r="AT72" s="1591"/>
      <c r="AU72" s="1591"/>
      <c r="AV72" s="1591"/>
      <c r="AW72" s="1591"/>
      <c r="BC72" s="1602"/>
      <c r="BF72" s="1592"/>
      <c r="BG72" s="1601"/>
      <c r="BH72" s="1601"/>
      <c r="BI72" s="1601"/>
      <c r="BJ72" s="1601"/>
      <c r="BK72" s="1601"/>
      <c r="BL72" s="1601"/>
      <c r="BM72" s="1601"/>
      <c r="BN72" s="1601"/>
      <c r="BO72" s="1601"/>
      <c r="BP72" s="1606"/>
      <c r="BQ72" s="890"/>
      <c r="BR72" s="890"/>
      <c r="BS72" s="890"/>
      <c r="BT72" s="890"/>
      <c r="BU72" s="890"/>
      <c r="BV72" s="890"/>
      <c r="BW72" s="890"/>
      <c r="BX72" s="890"/>
      <c r="BY72" s="890"/>
      <c r="BZ72" s="890"/>
      <c r="CA72" s="890"/>
      <c r="CB72" s="890"/>
      <c r="CC72" s="890"/>
      <c r="CD72" s="890"/>
      <c r="CE72" s="890"/>
      <c r="CF72" s="1606"/>
      <c r="CG72" s="1692">
        <f t="shared" si="49"/>
        <v>0</v>
      </c>
      <c r="CH72" s="1693" t="str">
        <f t="shared" si="49"/>
        <v>Install (Physical)</v>
      </c>
      <c r="CI72" s="1181">
        <f>F72</f>
        <v>0</v>
      </c>
      <c r="CJ72" s="2719">
        <f>D71</f>
        <v>0</v>
      </c>
      <c r="CK72" s="2724">
        <f>T72</f>
        <v>10000</v>
      </c>
      <c r="CL72" s="1592"/>
      <c r="CM72" s="1594"/>
      <c r="CN72" s="1592"/>
      <c r="CQ72" s="1592"/>
      <c r="CR72" s="1594"/>
      <c r="CU72" s="1592"/>
      <c r="DA72" s="1592"/>
      <c r="DB72" s="1594"/>
      <c r="DE72" s="1592"/>
      <c r="DF72" s="1594"/>
      <c r="DI72" s="1592"/>
      <c r="DJ72" s="1602"/>
      <c r="DK72" s="1602"/>
      <c r="DL72" s="1592"/>
      <c r="DM72" s="1602"/>
      <c r="DN72" s="1594"/>
      <c r="DO72" s="1594"/>
      <c r="DP72" s="394"/>
      <c r="DQ72" s="1602"/>
      <c r="DR72" s="1597"/>
      <c r="DS72" s="1597"/>
      <c r="DT72" s="1415"/>
      <c r="DW72" s="1602"/>
      <c r="DX72" s="1597"/>
      <c r="DY72" s="1415"/>
      <c r="EC72" s="1602"/>
      <c r="ED72" s="1415"/>
      <c r="EH72" s="1597"/>
      <c r="EI72" s="1602"/>
      <c r="EJ72" s="1415"/>
      <c r="EN72" s="1597"/>
      <c r="EO72" s="1602"/>
      <c r="EP72" s="1415"/>
      <c r="ET72" s="1597"/>
      <c r="EU72" s="1602"/>
      <c r="EV72" s="1415"/>
      <c r="EZ72" s="1597"/>
      <c r="FA72" s="1602"/>
      <c r="FB72" s="1415"/>
      <c r="FF72" s="1597"/>
      <c r="FG72" s="1602"/>
      <c r="FH72" s="1415"/>
      <c r="FL72" s="1597"/>
      <c r="FM72" s="1602"/>
      <c r="FN72" s="1415"/>
      <c r="FR72" s="1597"/>
      <c r="FS72" s="1602"/>
      <c r="FT72" s="1415"/>
      <c r="FX72" s="1597"/>
      <c r="FY72" s="1602"/>
      <c r="FZ72" s="1415"/>
      <c r="GD72" s="1597"/>
      <c r="GE72" s="1602"/>
      <c r="GG72" s="1415"/>
      <c r="GJ72" s="1597"/>
      <c r="GK72" s="1602"/>
      <c r="GM72" s="1415"/>
      <c r="GO72" s="1415"/>
      <c r="GP72" s="1597"/>
      <c r="GQ72" s="1602"/>
      <c r="GS72" s="1415"/>
      <c r="GT72" s="1415"/>
    </row>
    <row r="73" spans="1:209" ht="15" outlineLevel="1" collapsed="1" x14ac:dyDescent="0.15">
      <c r="A73" s="916">
        <f>IF(A72=0,0,ROUND(100*A71,0)&amp;"% CPU")</f>
        <v>0</v>
      </c>
      <c r="B73" s="917">
        <f>IF(A72&gt;0,IF(I72=$J$167,K71&amp;": "&amp;F72&amp;"x "&amp;B71&amp;" "&amp;C71&amp;" GB RAM",$K71&amp;": "&amp;$F72&amp;"x VM ("&amp;I71&amp;" core "&amp;C71&amp;" GB RAM) "&amp;Q71&amp;" "&amp;L70&amp;" MHz"),0)</f>
        <v>0</v>
      </c>
      <c r="C73" s="1609" t="str">
        <f>IF(I72=$H$189,I72,I70)</f>
        <v>Physical</v>
      </c>
      <c r="D73" s="918">
        <f>A70</f>
        <v>0</v>
      </c>
      <c r="E73" s="919">
        <f>IF(E72&gt;0,ROUND(E72*60/1000,0)&amp;"K TPH",0)</f>
        <v>0</v>
      </c>
      <c r="F73" s="920">
        <f>+L72</f>
        <v>0</v>
      </c>
      <c r="G73" s="919">
        <f>IF(G72&gt;0,ROUND(G72*60/1000,0)&amp;"K TPH",0)</f>
        <v>0</v>
      </c>
      <c r="H73" s="921" t="str">
        <f>H$23</f>
        <v>Minimum</v>
      </c>
      <c r="I73" s="1736">
        <f>IF(I72=$J$167,0,I70)</f>
        <v>0</v>
      </c>
      <c r="J73" s="2086">
        <f>IF(AND(O70="/"&amp;$N$4,J72=$H$192),IF(F72&gt;0,(F72-1)*A72/(60*$H$194),0),0)</f>
        <v>0</v>
      </c>
      <c r="K73" s="2086">
        <f>IF(E70&gt;0,D72/E70,0)</f>
        <v>0</v>
      </c>
      <c r="L73" s="2080">
        <f>IF($W71=$W$167,2,F72)</f>
        <v>0</v>
      </c>
      <c r="M73" s="3134">
        <f>IF(AND(S73&gt;0,I72=$H$189),1,0)</f>
        <v>0</v>
      </c>
      <c r="N73" s="1618"/>
      <c r="O73" s="1618"/>
      <c r="P73" s="922"/>
      <c r="Q73" s="1737">
        <f>IF($A75&lt;0.9999, $A75/((1+$CJ$2*$A75*($L75-1))*(1-$A75)),200)</f>
        <v>6.531472620637241E-4</v>
      </c>
      <c r="R73" s="1618"/>
      <c r="S73" s="3118">
        <f>IF(LEFT(B71,3)=S71,VLOOKUP(B71,HWRange,10,FALSE),0)</f>
        <v>0</v>
      </c>
      <c r="T73" s="940" t="str">
        <f>U73</f>
        <v>Data</v>
      </c>
      <c r="U73" s="1595" t="s">
        <v>329</v>
      </c>
      <c r="V73" s="1918">
        <f>IF(A71&gt;0,B73&amp;" "&amp;C73&amp;IF(B73="",""," GB RAM"),0)</f>
        <v>0</v>
      </c>
      <c r="W73" s="1819"/>
      <c r="X73" s="1819"/>
      <c r="Y73" s="1819"/>
      <c r="Z73" s="1819"/>
      <c r="AA73" s="1819"/>
      <c r="AB73" s="1819"/>
      <c r="AC73" s="1819"/>
      <c r="AD73" s="1819"/>
      <c r="AE73" s="1919">
        <f>IF(A71&gt;0,F71,0)</f>
        <v>0</v>
      </c>
      <c r="AF73" s="2876">
        <f>IF(A70=0,0,IF(LEFT(B71,3)=S71,VLOOKUP(B71,HWRange,12,FALSE),0)*F72)</f>
        <v>0</v>
      </c>
      <c r="AG73" s="2877" t="str">
        <f>IF(AF73&gt;0,S71&amp;" 3-yr Pricing","")</f>
        <v/>
      </c>
      <c r="AH73" s="2878"/>
      <c r="AI73" s="56"/>
      <c r="AJ73" s="1591"/>
      <c r="AK73" s="56"/>
      <c r="AL73" s="1591"/>
      <c r="AM73" s="56"/>
      <c r="AN73" s="1591"/>
      <c r="AO73" s="56"/>
      <c r="AP73" s="1591"/>
      <c r="AQ73" s="56"/>
      <c r="AR73" s="1591"/>
      <c r="AS73" s="56"/>
      <c r="AT73" s="1591"/>
      <c r="AU73" s="1591"/>
      <c r="AV73" s="1591"/>
      <c r="AW73" s="1591"/>
      <c r="AX73" s="1601"/>
      <c r="AY73" s="1601"/>
      <c r="BC73" s="1614"/>
      <c r="BF73" s="1592"/>
      <c r="BG73" s="1601"/>
      <c r="BH73" s="1601"/>
      <c r="BI73" s="1601"/>
      <c r="BJ73" s="1601"/>
      <c r="BK73" s="1601"/>
      <c r="BL73" s="1601"/>
      <c r="BM73" s="1601"/>
      <c r="BN73" s="1601"/>
      <c r="BO73" s="1601"/>
      <c r="BP73" s="1619"/>
      <c r="BQ73" s="923"/>
      <c r="BR73" s="923"/>
      <c r="BS73" s="923"/>
      <c r="BT73" s="923"/>
      <c r="BU73" s="923"/>
      <c r="BV73" s="923"/>
      <c r="BW73" s="923"/>
      <c r="BX73" s="923"/>
      <c r="BY73" s="923"/>
      <c r="BZ73" s="923"/>
      <c r="CA73" s="923"/>
      <c r="CB73" s="923"/>
      <c r="CC73" s="923"/>
      <c r="CD73" s="923"/>
      <c r="CE73" s="923"/>
      <c r="CF73" s="1619"/>
      <c r="CG73" s="3403">
        <f>B73</f>
        <v>0</v>
      </c>
      <c r="CH73" s="3404"/>
      <c r="CI73" s="3404"/>
      <c r="CJ73" s="3404"/>
      <c r="CK73" s="2723"/>
      <c r="CL73" s="1592"/>
      <c r="CM73" s="1594"/>
      <c r="CN73" s="1592"/>
      <c r="CQ73" s="1592"/>
      <c r="CR73" s="1594"/>
      <c r="CU73" s="1592"/>
      <c r="CY73" s="1681"/>
      <c r="DA73" s="1592"/>
      <c r="DB73" s="1594"/>
      <c r="DE73" s="1592"/>
      <c r="DF73" s="1594"/>
      <c r="DI73" s="1592"/>
      <c r="DJ73" s="1614"/>
      <c r="DK73" s="1614"/>
      <c r="DL73" s="1592"/>
      <c r="DM73" s="1614"/>
      <c r="DN73" s="1594"/>
      <c r="DO73" s="1594"/>
      <c r="DP73" s="394"/>
      <c r="DQ73" s="1614"/>
      <c r="DR73" s="1597"/>
      <c r="DS73" s="1597"/>
      <c r="DT73" s="1415"/>
      <c r="DW73" s="1614"/>
      <c r="DX73" s="1597"/>
      <c r="DY73" s="1415"/>
      <c r="EC73" s="1614"/>
      <c r="ED73" s="1415"/>
      <c r="EH73" s="1597"/>
      <c r="EI73" s="1614"/>
      <c r="EJ73" s="1415"/>
      <c r="EN73" s="1597"/>
      <c r="EO73" s="1614"/>
      <c r="EP73" s="1415"/>
      <c r="ET73" s="1597"/>
      <c r="EU73" s="1614"/>
      <c r="EV73" s="1415"/>
      <c r="EZ73" s="1597"/>
      <c r="FA73" s="1614"/>
      <c r="FB73" s="1415"/>
      <c r="FF73" s="1597"/>
      <c r="FG73" s="1614"/>
      <c r="FH73" s="1415"/>
      <c r="FL73" s="1597"/>
      <c r="FM73" s="1614"/>
      <c r="FN73" s="1415"/>
      <c r="FR73" s="1597"/>
      <c r="FS73" s="1614"/>
      <c r="FT73" s="1415"/>
      <c r="FX73" s="1597"/>
      <c r="FY73" s="1614"/>
      <c r="FZ73" s="1415"/>
      <c r="GD73" s="1597"/>
      <c r="GE73" s="1614"/>
      <c r="GG73" s="1415"/>
      <c r="GJ73" s="1597"/>
      <c r="GK73" s="1614"/>
      <c r="GM73" s="1415"/>
      <c r="GO73" s="1415"/>
      <c r="GP73" s="1597"/>
      <c r="GQ73" s="1614"/>
      <c r="GS73" s="1415"/>
      <c r="GT73" s="1415"/>
    </row>
    <row r="74" spans="1:209" ht="17" outlineLevel="2" thickBot="1" x14ac:dyDescent="0.25">
      <c r="A74" s="2826">
        <f>IF(O76&gt;0,A76/O76,0)</f>
        <v>3</v>
      </c>
      <c r="B74" s="552" t="s">
        <v>1454</v>
      </c>
      <c r="C74" s="136" t="str">
        <f>VLOOKUP(B75,Hardware!$A$2:$I$632,9,FALSE)</f>
        <v>Intel</v>
      </c>
      <c r="D74" s="137" t="str">
        <f>D70</f>
        <v>Arc18=</v>
      </c>
      <c r="E74" s="138">
        <f>IF(GG$22=0,0,IF(GK$22&gt;0,GK$22/GH$22))</f>
        <v>8.2191985088536819E-3</v>
      </c>
      <c r="F74" s="139" t="s">
        <v>328</v>
      </c>
      <c r="G74" s="1585"/>
      <c r="H74" s="1586">
        <v>0.8</v>
      </c>
      <c r="I74" s="1739" t="str">
        <f>I70</f>
        <v>Host02</v>
      </c>
      <c r="J74" s="207">
        <f>IF(K74&gt;0,K74,IF(I76=Calculator!$H$158,1, IF(OR(R74=Calculator!$H$162,R74=Calculator!$H$163), VLOOKUP(I76,VAdjust,2,FALSE),1)))</f>
        <v>1</v>
      </c>
      <c r="K74" s="2456"/>
      <c r="L74" s="722">
        <f>VLOOKUP(B75,HWRange,5,FALSE)</f>
        <v>3600</v>
      </c>
      <c r="M74" s="464" t="str">
        <f>IF(ISERROR(VLOOKUP($K75,$L$5:$L$19,1,FALSE)),"","/"&amp;$L$4)</f>
        <v>/Web</v>
      </c>
      <c r="N74" s="257" t="str">
        <f>IF(ISERROR(VLOOKUP($K75,$M$5:$M$19,1,FALSE)),IF(ISERROR(VLOOKUP($K75,$M$5:$M$19,1,FALSE)),"","/"&amp;$M$4),"/"&amp;$M$4)</f>
        <v>/Portal</v>
      </c>
      <c r="O74" s="465" t="str">
        <f>IF(ISERROR(VLOOKUP($K75,$N$5:$N$19,1,FALSE)),IF(ISERROR(VLOOKUP($K75,$N$5:$N$19,1,FALSE)),"","/"&amp;$N$4),"/"&amp;$N$4)</f>
        <v/>
      </c>
      <c r="P74" s="1587">
        <f>IF(A75=0,0,IF(P76&gt;0,1000*C75/C76,1000*C75/C76))/2</f>
        <v>2.180002471882339</v>
      </c>
      <c r="Q74" s="1734">
        <f>IF(I76=$J$167,0,VLOOKUP(I74,HostArray,2,FALSE))</f>
        <v>0</v>
      </c>
      <c r="R74" s="1588" t="s">
        <v>412</v>
      </c>
      <c r="S74" s="3071" t="str">
        <f>IF(S75=LEFT(B75,3),_xlfn.NUMBERVALUE(MID(B75,FIND("(",B75,1)+1,FIND(")",B75,1)-FIND("(",B75,1)-3)),"")</f>
        <v/>
      </c>
      <c r="T74" s="135">
        <v>10000</v>
      </c>
      <c r="U74" s="1616">
        <f>IF(E74&gt;0,IF(AND(M76="",N76=""),GI$22/F76,GJ$22/F76),0)</f>
        <v>0.60000000000000009</v>
      </c>
      <c r="V74" s="1822" t="str">
        <f t="shared" ref="V74:AD74" si="52">IF(V76&gt;0,IF($A75&gt;0.5,$A75,""),0)</f>
        <v/>
      </c>
      <c r="W74" s="1823">
        <f>IF(AND($W75=W$167,$H77=I$191),W$168,IF(W76&gt;0,IF($A75&gt;0.5,$A75,""),0))</f>
        <v>0</v>
      </c>
      <c r="X74" s="1823">
        <f t="shared" si="52"/>
        <v>0</v>
      </c>
      <c r="Y74" s="1823">
        <f t="shared" si="52"/>
        <v>0</v>
      </c>
      <c r="Z74" s="1823">
        <f t="shared" si="52"/>
        <v>0</v>
      </c>
      <c r="AA74" s="1823">
        <f t="shared" si="52"/>
        <v>0</v>
      </c>
      <c r="AB74" s="1823">
        <f t="shared" si="52"/>
        <v>0</v>
      </c>
      <c r="AC74" s="1823">
        <f t="shared" si="52"/>
        <v>0</v>
      </c>
      <c r="AD74" s="1824">
        <f t="shared" si="52"/>
        <v>0</v>
      </c>
      <c r="AE74" s="1825">
        <f>L77</f>
        <v>1</v>
      </c>
      <c r="AF74" s="2977" t="str">
        <f>IF(I76=$H$191,$AF$22,"")</f>
        <v/>
      </c>
      <c r="AG74" s="1600"/>
      <c r="AH74" s="1600"/>
      <c r="AI74" s="56"/>
      <c r="AJ74" s="1600"/>
      <c r="AK74" s="56"/>
      <c r="AL74" s="1600"/>
      <c r="AM74" s="56"/>
      <c r="AN74" s="1600"/>
      <c r="AO74" s="56"/>
      <c r="AP74" s="1600"/>
      <c r="AQ74" s="56"/>
      <c r="AR74" s="1600"/>
      <c r="AS74" s="56"/>
      <c r="AT74" s="1600"/>
      <c r="AU74" s="1600"/>
      <c r="AV74" s="1600"/>
      <c r="AW74" s="1600"/>
      <c r="AX74" s="2"/>
      <c r="AY74" s="2"/>
      <c r="BC74" s="1"/>
      <c r="BF74" s="1592"/>
      <c r="BG74" s="1601"/>
      <c r="BH74" s="1601"/>
      <c r="BI74" s="1601"/>
      <c r="BJ74" s="1601"/>
      <c r="BK74" s="1601"/>
      <c r="BL74" s="1601"/>
      <c r="BM74" s="1601"/>
      <c r="BN74" s="1593"/>
      <c r="BO74" s="1593"/>
      <c r="BP74" s="889"/>
      <c r="BQ74" s="892"/>
      <c r="BR74" s="892"/>
      <c r="BS74" s="892"/>
      <c r="BT74" s="892"/>
      <c r="BU74" s="892"/>
      <c r="BV74" s="892"/>
      <c r="BW74" s="892"/>
      <c r="BX74" s="892"/>
      <c r="BY74" s="892"/>
      <c r="BZ74" s="892"/>
      <c r="CA74" s="892"/>
      <c r="CB74" s="892"/>
      <c r="CC74" s="892"/>
      <c r="CD74" s="892"/>
      <c r="CE74" s="892"/>
      <c r="CF74" s="1615"/>
      <c r="CG74" s="1689">
        <f t="shared" ref="CG74:CH76" si="53">A74</f>
        <v>3</v>
      </c>
      <c r="CH74" s="1690" t="str">
        <f t="shared" si="53"/>
        <v>Web: Platform Tier 13</v>
      </c>
      <c r="CI74" s="1179" t="str">
        <f>F74</f>
        <v>SRint2006</v>
      </c>
      <c r="CJ74" s="2718"/>
      <c r="CK74" s="2724">
        <f>T74</f>
        <v>10000</v>
      </c>
      <c r="CL74" s="1592"/>
      <c r="CM74" s="1594"/>
      <c r="CN74" s="1592"/>
      <c r="CQ74" s="1592"/>
      <c r="CR74" s="1594"/>
      <c r="CU74" s="1592"/>
      <c r="DA74" s="1592"/>
      <c r="DB74" s="1594"/>
      <c r="DE74" s="1592"/>
      <c r="DF74" s="1594"/>
      <c r="DI74" s="1592"/>
      <c r="DJ74" s="1"/>
      <c r="DK74" s="1"/>
      <c r="DL74" s="1592"/>
      <c r="DM74" s="1"/>
      <c r="DN74" s="1594"/>
      <c r="DO74" s="1595"/>
      <c r="DP74" s="394"/>
      <c r="DQ74" s="1"/>
      <c r="DR74" s="1593"/>
      <c r="DS74" s="1593"/>
      <c r="DT74" s="1415"/>
      <c r="DW74" s="1"/>
      <c r="DX74" s="1593"/>
      <c r="DY74" s="1415"/>
      <c r="EC74" s="1"/>
      <c r="ED74" s="1415"/>
      <c r="EH74" s="1593"/>
      <c r="EI74" s="1"/>
      <c r="EJ74" s="1415"/>
      <c r="EN74" s="1593"/>
      <c r="EO74" s="1"/>
      <c r="EP74" s="1415"/>
      <c r="ET74" s="1593"/>
      <c r="EU74" s="1"/>
      <c r="EV74" s="1415"/>
      <c r="EZ74" s="1593"/>
      <c r="FA74" s="1"/>
      <c r="FB74" s="1415"/>
      <c r="FF74" s="1593"/>
      <c r="FG74" s="1"/>
      <c r="FH74" s="1415"/>
      <c r="FL74" s="1593"/>
      <c r="FM74" s="1"/>
      <c r="FN74" s="1415"/>
      <c r="FR74" s="1593"/>
      <c r="FS74" s="1"/>
      <c r="FT74" s="1415"/>
      <c r="FX74" s="1593"/>
      <c r="FY74" s="1"/>
      <c r="FZ74" s="1415"/>
      <c r="GD74" s="1593"/>
      <c r="GE74" s="1"/>
      <c r="GG74" s="1415"/>
      <c r="GJ74" s="1593"/>
      <c r="GK74" s="1"/>
      <c r="GM74" s="1415"/>
      <c r="GO74" s="1415"/>
      <c r="GP74" s="1593"/>
      <c r="GQ74" s="1"/>
      <c r="GS74" s="1415"/>
      <c r="GT74" s="1415"/>
    </row>
    <row r="75" spans="1:209" ht="15" outlineLevel="2" x14ac:dyDescent="0.2">
      <c r="A75" s="2827">
        <f>IF(E74=0,0,A76/G76)</f>
        <v>6.5400074156470164E-4</v>
      </c>
      <c r="B75" s="156" t="s">
        <v>1816</v>
      </c>
      <c r="C75" s="206">
        <f>ROUND(IF(P76&gt;0,2*P76*C76/1000, IF(L76=0,0, IF(I76=Calculator!$H$160, Calculator!$J$160*(1+L75), IF(K76=4, 4*H74*G75/13.4,L75*Calculator!$J$151)))),0)</f>
        <v>16</v>
      </c>
      <c r="D75" s="205">
        <f>F76*L75</f>
        <v>4</v>
      </c>
      <c r="E75" s="70">
        <f>IF(I76=J167,F76*VLOOKUP(B75,HWRange,8,FALSE),"Virtual Server")</f>
        <v>1</v>
      </c>
      <c r="F75" s="71">
        <f>IF(I76=$J$167,VLOOKUP(B75,HWRange,7,FALSE),IF(I75&gt;VLOOKUP(B75,HWRange,3,FALSE),VLOOKUP(B75,HWRange,7,FALSE)*VLOOKUP(B75,HWRange,3,FALSE)/I75,VLOOKUP(B75,HWRange,7,FALSE)))</f>
        <v>69.75</v>
      </c>
      <c r="G75" s="157">
        <f>IF(I76=$J$167,VLOOKUP(B75,HWRange,6,FALSE),VLOOKUP(B75,HWRange,6,FALSE)*I75/VLOOKUP(B75,HWRange,3,FALSE))</f>
        <v>279</v>
      </c>
      <c r="H75" s="161" t="s">
        <v>365</v>
      </c>
      <c r="I75" s="1247">
        <v>2</v>
      </c>
      <c r="J75" s="1881"/>
      <c r="K75" s="756" t="str">
        <f>A181</f>
        <v>Web</v>
      </c>
      <c r="L75" s="491">
        <f>IF(I76=$J$167,VLOOKUP(B75,HWRange,3,FALSE),I75)</f>
        <v>4</v>
      </c>
      <c r="M75" s="466" t="str">
        <f>IF(ISERROR(VLOOKUP($K75,$J$5:$J$19,1,FALSE)),IF(ISERROR(VLOOKUP($K75,$J$5:$J$19,1,FALSE)),"","/"&amp;$J$4),"/"&amp;$J$4)</f>
        <v/>
      </c>
      <c r="N75" s="467" t="str">
        <f>IF(ISERROR(VLOOKUP($K75,$K$5:$K$19,1,FALSE)),"","/"&amp;$K$4)</f>
        <v/>
      </c>
      <c r="O75" s="468">
        <f>IF(AND(O74="",M76=""),0,D75)</f>
        <v>0</v>
      </c>
      <c r="P75" s="1596" t="str">
        <f>IF(NOT(M75=""),Calculator!$A$158,IF(NOT(N75=""),Calculator!$B$158,IF(NOT(O74=""), Calculator!$C$158,Calculator!$G$158)))</f>
        <v>WindowsLinuxSolarisAIXHPUX</v>
      </c>
      <c r="Q75" s="1246" t="str">
        <f>VLOOKUP(B75,HWRange,2,FALSE)</f>
        <v>Xeon Gold 5122</v>
      </c>
      <c r="R75" s="1187">
        <f>F76*VLOOKUP(B75,HWRange,8,FALSE)</f>
        <v>1</v>
      </c>
      <c r="S75" s="3070">
        <f>IF(OR(LEFT(B75,3)="AMI",LEFT(B75,3)="AZI"),LEFT(B75,3),0)</f>
        <v>0</v>
      </c>
      <c r="T75" s="1625" t="s">
        <v>366</v>
      </c>
      <c r="U75" s="1599" t="s">
        <v>307</v>
      </c>
      <c r="V75" s="822">
        <f t="shared" ref="V75:AD75" si="54">IF(V76=0,0,IF($A75&lt;0.5,$A75,"+"))</f>
        <v>6.5400074156470164E-4</v>
      </c>
      <c r="W75" s="2063">
        <f>IF(AND($N76="/"&amp;$Q$4,$H77=I$191,$H76=0),W$167,IF(W76=0,0,IF($A75&lt;0.5,$A75,"+")))</f>
        <v>0</v>
      </c>
      <c r="X75" s="318">
        <f t="shared" si="54"/>
        <v>0</v>
      </c>
      <c r="Y75" s="318">
        <f t="shared" si="54"/>
        <v>0</v>
      </c>
      <c r="Z75" s="318">
        <f t="shared" si="54"/>
        <v>0</v>
      </c>
      <c r="AA75" s="318">
        <f t="shared" si="54"/>
        <v>0</v>
      </c>
      <c r="AB75" s="318">
        <f t="shared" si="54"/>
        <v>0</v>
      </c>
      <c r="AC75" s="318">
        <f t="shared" si="54"/>
        <v>0</v>
      </c>
      <c r="AD75" s="823">
        <f t="shared" si="54"/>
        <v>0</v>
      </c>
      <c r="AE75" s="1185">
        <f>D75</f>
        <v>4</v>
      </c>
      <c r="AF75" s="2998">
        <f>AF$23</f>
        <v>24</v>
      </c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1601"/>
      <c r="AY75" s="1601"/>
      <c r="BC75" s="1602"/>
      <c r="BF75" s="1592"/>
      <c r="BG75" s="1601"/>
      <c r="BH75" s="1601"/>
      <c r="BI75" s="1601"/>
      <c r="BJ75" s="1601"/>
      <c r="BK75" s="1601"/>
      <c r="BL75" s="1601"/>
      <c r="BM75" s="1601"/>
      <c r="BN75" s="1601"/>
      <c r="BO75" s="1601"/>
      <c r="BP75" s="885">
        <f>IF(A75&gt;0,1,0)</f>
        <v>1</v>
      </c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1691">
        <f t="shared" si="53"/>
        <v>6.5400074156470164E-4</v>
      </c>
      <c r="CH75" s="1590" t="str">
        <f t="shared" si="53"/>
        <v>Xeon Gold 5122 4 core (1 chip) 3600 MHz</v>
      </c>
      <c r="CI75" s="1180">
        <f>F75</f>
        <v>69.75</v>
      </c>
      <c r="CJ75" s="1180">
        <f>G75</f>
        <v>279</v>
      </c>
      <c r="CK75" s="2723"/>
      <c r="CL75" s="1592"/>
      <c r="CM75" s="1594"/>
      <c r="CN75" s="1592"/>
      <c r="CQ75" s="1592"/>
      <c r="CR75" s="1594"/>
      <c r="CU75" s="1592"/>
      <c r="DA75" s="1592"/>
      <c r="DB75" s="1594"/>
      <c r="DE75" s="1592"/>
      <c r="DF75" s="1594"/>
      <c r="DI75" s="1592"/>
      <c r="DJ75" s="1602"/>
      <c r="DK75" s="1602"/>
      <c r="DL75" s="1592"/>
      <c r="DM75" s="1602"/>
      <c r="DN75" s="1594"/>
      <c r="DO75" s="1594"/>
      <c r="DP75" s="394"/>
      <c r="DQ75" s="1602"/>
      <c r="DR75" s="1594"/>
      <c r="DS75" s="1594"/>
      <c r="DT75" s="1415"/>
      <c r="DW75" s="1602"/>
      <c r="DX75" s="1594"/>
      <c r="DY75" s="1415"/>
      <c r="EC75" s="1602"/>
      <c r="ED75" s="1415"/>
      <c r="EH75" s="1594"/>
      <c r="EI75" s="1602"/>
      <c r="EJ75" s="1415"/>
      <c r="EN75" s="1594"/>
      <c r="EO75" s="1602"/>
      <c r="EP75" s="1415"/>
      <c r="ET75" s="1594"/>
      <c r="EU75" s="1602"/>
      <c r="EV75" s="1415"/>
      <c r="EZ75" s="1594"/>
      <c r="FA75" s="1602"/>
      <c r="FB75" s="1415"/>
      <c r="FF75" s="1594"/>
      <c r="FG75" s="1602"/>
      <c r="FH75" s="1415"/>
      <c r="FL75" s="1594"/>
      <c r="FM75" s="1602"/>
      <c r="FN75" s="1415"/>
      <c r="FR75" s="1594"/>
      <c r="FS75" s="1602"/>
      <c r="FT75" s="1415"/>
      <c r="FX75" s="1594"/>
      <c r="FY75" s="1602"/>
      <c r="FZ75" s="1415"/>
      <c r="GD75" s="1594"/>
      <c r="GE75" s="1602"/>
      <c r="GG75" s="1415"/>
      <c r="GJ75" s="1594"/>
      <c r="GK75" s="1602"/>
      <c r="GM75" s="1415"/>
      <c r="GO75" s="1415"/>
      <c r="GP75" s="1594"/>
      <c r="GQ75" s="1602"/>
      <c r="GS75" s="1415"/>
      <c r="GT75" s="1415"/>
    </row>
    <row r="76" spans="1:209" ht="14" outlineLevel="2" thickBot="1" x14ac:dyDescent="0.2">
      <c r="A76" s="2828">
        <f>IF(E74=0,0,GH$22)</f>
        <v>18</v>
      </c>
      <c r="B76" s="3086" t="str">
        <f>"Install ("&amp;C77&amp;M74&amp;N74&amp;O74&amp;M75&amp;N75&amp;M76&amp;N76&amp;")"</f>
        <v>Install (Physical/Web/Portal)</v>
      </c>
      <c r="C76" s="258">
        <f>IF(E74=0,0, IF(I76=Calculator!$H$160,1,E76/O76)*H74)</f>
        <v>3669.7206095790993</v>
      </c>
      <c r="D76" s="140">
        <f>IF(J76=$H$192,J77,0)+IF(E74=0,0,J74*E74)*($BO$2/F75)</f>
        <v>8.7200098875293546E-3</v>
      </c>
      <c r="E76" s="141">
        <f>IF(E74=0,0,L75*60/D76)</f>
        <v>27522.904571843246</v>
      </c>
      <c r="F76" s="142">
        <f>IF(L76=0,0,IF(H76,H76,IF(I76=Calculator!$H$160,A74,IF(N76="/DBMS",1,IF(H77=$I$191,IF(N75="",IF(L76=1,2,L76),L76+1),L76)))))</f>
        <v>1</v>
      </c>
      <c r="G76" s="158">
        <f>IF(E74=0,0,IF(F76&gt;0,+E76*F76,"Nodes?"))</f>
        <v>27522.904571843246</v>
      </c>
      <c r="H76" s="143"/>
      <c r="I76" s="1248" t="s">
        <v>408</v>
      </c>
      <c r="J76" s="2819" t="str">
        <f>J72</f>
        <v xml:space="preserve">Siloed </v>
      </c>
      <c r="K76" s="1604">
        <f>IF(AND(N76="",N75=""),2,4)</f>
        <v>2</v>
      </c>
      <c r="L76" s="1605">
        <f>IF(H76,H76,IF(E74=0,0,IF(A76&gt;0,+INT(A76/(E76*H74))+1,0)))</f>
        <v>1</v>
      </c>
      <c r="M76" s="469" t="str">
        <f>IF(ISERROR(VLOOKUP($K75,$O$5:$O$19,1,FALSE)),IF(ISERROR(VLOOKUP($K75,$O$5:$O$19,1,FALSE)),"","/"&amp;$O$4),"/"&amp;$O$4)</f>
        <v/>
      </c>
      <c r="N76" s="470" t="str">
        <f>IF(ISERROR(VLOOKUP($K75,$Q$5:$Q$19,1,FALSE)),IF(ISERROR(VLOOKUP($K75,$Q$5:$Q$19,1,FALSE)),"","/"&amp;$Q$4),"/"&amp;$Q$4)</f>
        <v/>
      </c>
      <c r="O76" s="471">
        <f>IF($GG$22&gt;0,$GH$22/$GG$22,0)</f>
        <v>6</v>
      </c>
      <c r="P76" s="886"/>
      <c r="Q76" s="1714">
        <f>D75/VLOOKUP(B75,HWRange,3,FALSE)</f>
        <v>1</v>
      </c>
      <c r="R76" s="1877">
        <f>P181</f>
        <v>0</v>
      </c>
      <c r="S76" s="1982">
        <f>IF(E74=0,0,H74*A74/A75)</f>
        <v>3669.7206095790998</v>
      </c>
      <c r="T76" s="135">
        <v>10000</v>
      </c>
      <c r="U76" s="1608">
        <f>IF(E74=0,0,IF(U77=$I$192,U74,GJ$22/F76))</f>
        <v>0.60000000000000009</v>
      </c>
      <c r="V76" s="1826">
        <f>IF(G76&gt;0,1,0)</f>
        <v>1</v>
      </c>
      <c r="W76" s="1827">
        <f t="shared" ref="W76:AC76" si="55">IF(V76&gt;0,IF($F76&gt;V76,V76+1,0),0)</f>
        <v>0</v>
      </c>
      <c r="X76" s="1827">
        <f t="shared" si="55"/>
        <v>0</v>
      </c>
      <c r="Y76" s="1827">
        <f t="shared" si="55"/>
        <v>0</v>
      </c>
      <c r="Z76" s="1827">
        <f t="shared" si="55"/>
        <v>0</v>
      </c>
      <c r="AA76" s="1827">
        <f t="shared" si="55"/>
        <v>0</v>
      </c>
      <c r="AB76" s="1827">
        <f t="shared" si="55"/>
        <v>0</v>
      </c>
      <c r="AC76" s="1827">
        <f t="shared" si="55"/>
        <v>0</v>
      </c>
      <c r="AD76" s="1828">
        <f>IF(AC76&gt;0,IF($F76&gt;AC76,"…"&amp;$F76,0),0)</f>
        <v>0</v>
      </c>
      <c r="AE76" s="1829">
        <f>A75</f>
        <v>6.5400074156470164E-4</v>
      </c>
      <c r="AF76" s="2978">
        <f>IF(AF75="","",IF(H76=0,0,H76/AF75+IF(H77=$I$191,1,0)))</f>
        <v>0</v>
      </c>
      <c r="AG76" s="1591"/>
      <c r="AH76" s="1591"/>
      <c r="AI76" s="56"/>
      <c r="AJ76" s="1591"/>
      <c r="AK76" s="56"/>
      <c r="AL76" s="1591"/>
      <c r="AM76" s="56"/>
      <c r="AN76" s="1591"/>
      <c r="AO76" s="56"/>
      <c r="AP76" s="1591"/>
      <c r="AQ76" s="56"/>
      <c r="AR76" s="1591"/>
      <c r="AS76" s="56"/>
      <c r="AT76" s="1591"/>
      <c r="AU76" s="1591"/>
      <c r="AV76" s="1591"/>
      <c r="AW76" s="1591"/>
      <c r="BC76" s="1602"/>
      <c r="BF76" s="1592"/>
      <c r="BG76" s="1601"/>
      <c r="BH76" s="1601"/>
      <c r="BI76" s="1601"/>
      <c r="BJ76" s="1601"/>
      <c r="BK76" s="1601"/>
      <c r="BL76" s="1601"/>
      <c r="BM76" s="1601"/>
      <c r="BN76" s="1601"/>
      <c r="BO76" s="1601"/>
      <c r="BP76" s="1606"/>
      <c r="BQ76" s="890"/>
      <c r="BR76" s="890"/>
      <c r="BS76" s="890"/>
      <c r="BT76" s="890"/>
      <c r="BU76" s="890"/>
      <c r="BV76" s="890"/>
      <c r="BW76" s="890"/>
      <c r="BX76" s="890"/>
      <c r="BY76" s="890"/>
      <c r="BZ76" s="890"/>
      <c r="CA76" s="890"/>
      <c r="CB76" s="890"/>
      <c r="CC76" s="890"/>
      <c r="CD76" s="890"/>
      <c r="CE76" s="890"/>
      <c r="CF76" s="1606"/>
      <c r="CG76" s="1692">
        <f t="shared" si="53"/>
        <v>18</v>
      </c>
      <c r="CH76" s="1693" t="str">
        <f t="shared" si="53"/>
        <v>Install (Physical/Web/Portal)</v>
      </c>
      <c r="CI76" s="1181">
        <f>F76</f>
        <v>1</v>
      </c>
      <c r="CJ76" s="2719">
        <f>D75</f>
        <v>4</v>
      </c>
      <c r="CK76" s="2724">
        <f>T76</f>
        <v>10000</v>
      </c>
      <c r="CL76" s="1592"/>
      <c r="CM76" s="1594"/>
      <c r="CN76" s="1592"/>
      <c r="CQ76" s="1592"/>
      <c r="CR76" s="1594"/>
      <c r="CU76" s="1592"/>
      <c r="DA76" s="1592"/>
      <c r="DB76" s="1594"/>
      <c r="DE76" s="1592"/>
      <c r="DF76" s="1594"/>
      <c r="DI76" s="1592"/>
      <c r="DJ76" s="1602"/>
      <c r="DK76" s="1602"/>
      <c r="DL76" s="1592"/>
      <c r="DM76" s="1602"/>
      <c r="DN76" s="1594"/>
      <c r="DO76" s="1594"/>
      <c r="DP76" s="394"/>
      <c r="DQ76" s="1602"/>
      <c r="DR76" s="1597"/>
      <c r="DS76" s="1597"/>
      <c r="DT76" s="1415"/>
      <c r="DW76" s="1602"/>
      <c r="DX76" s="1597"/>
      <c r="DY76" s="1415"/>
      <c r="EC76" s="1602"/>
      <c r="ED76" s="1415"/>
      <c r="EH76" s="1597"/>
      <c r="EI76" s="1602"/>
      <c r="EJ76" s="1415"/>
      <c r="EN76" s="1597"/>
      <c r="EO76" s="1602"/>
      <c r="EP76" s="1415"/>
      <c r="ET76" s="1597"/>
      <c r="EU76" s="1602"/>
      <c r="EV76" s="1415"/>
      <c r="EZ76" s="1597"/>
      <c r="FA76" s="1602"/>
      <c r="FB76" s="1415"/>
      <c r="FF76" s="1597"/>
      <c r="FG76" s="1602"/>
      <c r="FH76" s="1415"/>
      <c r="FL76" s="1597"/>
      <c r="FM76" s="1602"/>
      <c r="FN76" s="1415"/>
      <c r="FR76" s="1597"/>
      <c r="FS76" s="1602"/>
      <c r="FT76" s="1415"/>
      <c r="FX76" s="1597"/>
      <c r="FY76" s="1602"/>
      <c r="FZ76" s="1415"/>
      <c r="GD76" s="1597"/>
      <c r="GE76" s="1602"/>
      <c r="GG76" s="1415"/>
      <c r="GJ76" s="1597"/>
      <c r="GK76" s="1602"/>
      <c r="GM76" s="1415"/>
      <c r="GO76" s="1415"/>
      <c r="GP76" s="1597"/>
      <c r="GQ76" s="1602"/>
      <c r="GS76" s="1415"/>
      <c r="GT76" s="1415"/>
    </row>
    <row r="77" spans="1:209" ht="15" outlineLevel="1" x14ac:dyDescent="0.15">
      <c r="A77" s="916" t="str">
        <f>IF(A76=0,0,ROUND(100*A75,0)&amp;"% CPU")</f>
        <v>0% CPU</v>
      </c>
      <c r="B77" s="917" t="str">
        <f>IF(A76&gt;0,IF(I76=$J$167,K75&amp;": "&amp;F76&amp;"x "&amp;B75&amp;" "&amp;C75&amp;" GB RAM",$K75&amp;": "&amp;$F76&amp;"x VM ("&amp;I75&amp;" core "&amp;C75&amp;" GB RAM) "&amp;Q75&amp;" "&amp;L74&amp;" MHz"),0)</f>
        <v>Web: 1x Xeon Gold 5122 4 core (1 chip) 3600 MHz 16 GB RAM</v>
      </c>
      <c r="C77" s="1609" t="str">
        <f>IF(I76=$H$189,I76,I74)</f>
        <v>Physical</v>
      </c>
      <c r="D77" s="918">
        <f>A74</f>
        <v>3</v>
      </c>
      <c r="E77" s="919" t="str">
        <f>IF(E76&gt;0,ROUND(E76*60/1000,0)&amp;"K TPH",0)</f>
        <v>1651K TPH</v>
      </c>
      <c r="F77" s="920">
        <f>+L76</f>
        <v>1</v>
      </c>
      <c r="G77" s="919" t="str">
        <f>IF(G76&gt;0,ROUND(G76*60/1000,0)&amp;"K TPH",0)</f>
        <v>1651K TPH</v>
      </c>
      <c r="H77" s="921" t="str">
        <f>H$23</f>
        <v>Minimum</v>
      </c>
      <c r="I77" s="1736">
        <f>IF(I76=$J$167,0,I74)</f>
        <v>0</v>
      </c>
      <c r="J77" s="2086">
        <f>IF(AND(O74="/"&amp;$N$4,J76=$H$192),IF(F76&gt;0,(F76-1)*A76/(60*$H$194),0),0)</f>
        <v>0</v>
      </c>
      <c r="K77" s="2086">
        <f>IF(E74&gt;0,D76/E74,0)</f>
        <v>1.0609318996415771</v>
      </c>
      <c r="L77" s="2080">
        <f>IF($W75=$W$167,2,F76)</f>
        <v>1</v>
      </c>
      <c r="M77" s="3134">
        <f>IF(AND(S77&gt;0,I76=$H$189),1,0)</f>
        <v>0</v>
      </c>
      <c r="N77" s="1618"/>
      <c r="O77" s="1618"/>
      <c r="P77" s="922"/>
      <c r="Q77" s="1737">
        <f>IF($A79&lt;0.9999, $A79/((1+$CJ$2*$A79*($L79-1))*(1-$A79)),200)</f>
        <v>1.43033597242899E-2</v>
      </c>
      <c r="R77" s="1618"/>
      <c r="S77" s="3118">
        <f>IF(LEFT(B75,3)=S75,VLOOKUP(B75,HWRange,10,FALSE),0)</f>
        <v>0</v>
      </c>
      <c r="T77" s="940" t="str">
        <f>U77</f>
        <v>Client</v>
      </c>
      <c r="U77" s="1595" t="s">
        <v>303</v>
      </c>
      <c r="V77" s="1918" t="str">
        <f>IF(A75&gt;0,B77&amp;" "&amp;C77&amp;IF(B77="",""," GB RAM"),0)</f>
        <v>Web: 1x Xeon Gold 5122 4 core (1 chip) 3600 MHz 16 GB RAM Physical GB RAM</v>
      </c>
      <c r="W77" s="1819"/>
      <c r="X77" s="1819"/>
      <c r="Y77" s="1819"/>
      <c r="Z77" s="1819"/>
      <c r="AA77" s="1819"/>
      <c r="AB77" s="1819"/>
      <c r="AC77" s="1819"/>
      <c r="AD77" s="1819"/>
      <c r="AE77" s="1919">
        <f>IF(A75&gt;0,F75,0)</f>
        <v>69.75</v>
      </c>
      <c r="AF77" s="2876">
        <f>IF(A74=0,0,IF(LEFT(B75,3)=S75,VLOOKUP(B75,HWRange,12,FALSE),0)*F76)</f>
        <v>0</v>
      </c>
      <c r="AG77" s="2877" t="str">
        <f>IF(AF77&gt;0,S75&amp;" 3-yr Pricing","")</f>
        <v/>
      </c>
      <c r="AH77" s="2878"/>
      <c r="AI77" s="1591"/>
      <c r="AJ77" s="1591"/>
      <c r="AK77" s="1591"/>
      <c r="AL77" s="1591"/>
      <c r="AM77" s="1591"/>
      <c r="AN77" s="1591"/>
      <c r="AO77" s="1591"/>
      <c r="AP77" s="1591"/>
      <c r="AQ77" s="1591"/>
      <c r="AR77" s="1591"/>
      <c r="AS77" s="1591"/>
      <c r="AT77" s="1591"/>
      <c r="AU77" s="1591"/>
      <c r="AV77" s="1591"/>
      <c r="AW77" s="1591"/>
      <c r="AX77" s="1601"/>
      <c r="AY77" s="1601"/>
      <c r="BC77" s="1614"/>
      <c r="BF77" s="1592"/>
      <c r="BG77" s="1601"/>
      <c r="BH77" s="1601"/>
      <c r="BI77" s="1601"/>
      <c r="BJ77" s="1601"/>
      <c r="BK77" s="1601"/>
      <c r="BL77" s="1601"/>
      <c r="BM77" s="1601"/>
      <c r="BN77" s="1601"/>
      <c r="BO77" s="1601"/>
      <c r="BP77" s="1619"/>
      <c r="BQ77" s="923"/>
      <c r="BR77" s="923"/>
      <c r="BS77" s="923"/>
      <c r="BT77" s="923"/>
      <c r="BU77" s="923"/>
      <c r="BV77" s="923"/>
      <c r="BW77" s="923"/>
      <c r="BX77" s="923"/>
      <c r="BY77" s="923"/>
      <c r="BZ77" s="923"/>
      <c r="CA77" s="923"/>
      <c r="CB77" s="923"/>
      <c r="CC77" s="923"/>
      <c r="CD77" s="923"/>
      <c r="CE77" s="923"/>
      <c r="CF77" s="1619"/>
      <c r="CG77" s="3403" t="str">
        <f>B77</f>
        <v>Web: 1x Xeon Gold 5122 4 core (1 chip) 3600 MHz 16 GB RAM</v>
      </c>
      <c r="CH77" s="3404"/>
      <c r="CI77" s="3404"/>
      <c r="CJ77" s="3404"/>
      <c r="CK77" s="2723"/>
      <c r="CL77" s="1592"/>
      <c r="CM77" s="1594"/>
      <c r="CN77" s="1592"/>
      <c r="CQ77" s="1592"/>
      <c r="CR77" s="1594"/>
      <c r="CU77" s="1592"/>
      <c r="DA77" s="1592"/>
      <c r="DB77" s="1594"/>
      <c r="DE77" s="1592"/>
      <c r="DF77" s="1594"/>
      <c r="DI77" s="1592"/>
      <c r="DJ77" s="1614"/>
      <c r="DK77" s="1614"/>
      <c r="DL77" s="1592"/>
      <c r="DM77" s="1614"/>
      <c r="DN77" s="1594"/>
      <c r="DO77" s="1594"/>
      <c r="DP77" s="394"/>
      <c r="DQ77" s="1614"/>
      <c r="DR77" s="1597"/>
      <c r="DS77" s="1597"/>
      <c r="DT77" s="1415"/>
      <c r="DW77" s="1614"/>
      <c r="DX77" s="1597"/>
      <c r="DY77" s="1415"/>
      <c r="EC77" s="1614"/>
      <c r="ED77" s="1415"/>
      <c r="EH77" s="1597"/>
      <c r="EI77" s="1614"/>
      <c r="EJ77" s="1415"/>
      <c r="EN77" s="1597"/>
      <c r="EO77" s="1614"/>
      <c r="EP77" s="1415"/>
      <c r="ET77" s="1597"/>
      <c r="EU77" s="1614"/>
      <c r="EV77" s="1415"/>
      <c r="EZ77" s="1597"/>
      <c r="FA77" s="1614"/>
      <c r="FB77" s="1415"/>
      <c r="FF77" s="1597"/>
      <c r="FG77" s="1614"/>
      <c r="FH77" s="1415"/>
      <c r="FL77" s="1597"/>
      <c r="FM77" s="1614"/>
      <c r="FN77" s="1415"/>
      <c r="FR77" s="1597"/>
      <c r="FS77" s="1614"/>
      <c r="FT77" s="1415"/>
      <c r="FX77" s="1597"/>
      <c r="FY77" s="1614"/>
      <c r="FZ77" s="1415"/>
      <c r="GD77" s="1597"/>
      <c r="GE77" s="1614"/>
      <c r="GG77" s="1415"/>
      <c r="GJ77" s="1597"/>
      <c r="GK77" s="1614"/>
      <c r="GM77" s="1415"/>
      <c r="GO77" s="1415"/>
      <c r="GP77" s="1597"/>
      <c r="GQ77" s="1614"/>
      <c r="GS77" s="1415"/>
      <c r="GT77" s="1415"/>
    </row>
    <row r="78" spans="1:209" ht="17" outlineLevel="2" thickBot="1" x14ac:dyDescent="0.25">
      <c r="A78" s="2823">
        <f>IF(O80&gt;0,A80/O80,0)</f>
        <v>3</v>
      </c>
      <c r="B78" s="552" t="s">
        <v>1455</v>
      </c>
      <c r="C78" s="136" t="str">
        <f>VLOOKUP(B79,Hardware!$A$2:$I$632,9,FALSE)</f>
        <v>Intel</v>
      </c>
      <c r="D78" s="137" t="str">
        <f>D74</f>
        <v>Arc18=</v>
      </c>
      <c r="E78" s="138">
        <f>IF(GM$22=0,0,IF(GQ$22&gt;0,GQ$22/GN$22))</f>
        <v>0.18493196644920787</v>
      </c>
      <c r="F78" s="139" t="s">
        <v>328</v>
      </c>
      <c r="G78" s="1585"/>
      <c r="H78" s="1586">
        <v>0.8</v>
      </c>
      <c r="I78" s="1739" t="str">
        <f>I74</f>
        <v>Host02</v>
      </c>
      <c r="J78" s="207">
        <f>IF(K78&gt;0,K78,IF(I80=Calculator!$H$158,1, IF(OR(R78=Calculator!$H$162,R78=Calculator!$H$163), VLOOKUP(I80,VAdjust,2,FALSE),1)))</f>
        <v>1</v>
      </c>
      <c r="K78" s="2456"/>
      <c r="L78" s="722">
        <f>VLOOKUP(B79,HWRange,5,FALSE)</f>
        <v>3600</v>
      </c>
      <c r="M78" s="464" t="str">
        <f>IF(ISERROR(VLOOKUP($K79,$L$5:$L$19,1,FALSE)),"","/"&amp;$L$4)</f>
        <v/>
      </c>
      <c r="N78" s="257" t="str">
        <f>IF(ISERROR(VLOOKUP($K79,$M$5:$M$19,1,FALSE)),IF(ISERROR(VLOOKUP($K79,$M$5:$M$19,1,FALSE)),"","/"&amp;$M$4),"/"&amp;$M$4)</f>
        <v/>
      </c>
      <c r="O78" s="465" t="str">
        <f>IF(ISERROR(VLOOKUP($K79,$N$5:$N$19,1,FALSE)),IF(ISERROR(VLOOKUP($K79,$N$5:$N$19,1,FALSE)),"","/"&amp;$N$4),"/"&amp;$N$4)</f>
        <v>/SOC</v>
      </c>
      <c r="P78" s="1587">
        <f>IF(A79=0,0,IF(P80&gt;0,1000*C79/C80,1000*C79/C80))/2</f>
        <v>49.050055617352612</v>
      </c>
      <c r="Q78" s="1734">
        <f>IF(I80=$J$167,0,VLOOKUP(I78,HostArray,2,FALSE))</f>
        <v>0</v>
      </c>
      <c r="R78" s="1588" t="s">
        <v>412</v>
      </c>
      <c r="S78" s="3071" t="str">
        <f>IF(S79=LEFT(B79,3),_xlfn.NUMBERVALUE(MID(B79,FIND("(",B79,1)+1,FIND(")",B79,1)-FIND("(",B79,1)-3)),"")</f>
        <v/>
      </c>
      <c r="T78" s="135">
        <v>10000</v>
      </c>
      <c r="U78" s="1616">
        <f>IF(E78&gt;0,IF(AND(M80="",N80=""),GO$22/F80,GP$22/F80),0)</f>
        <v>0.60000000000000009</v>
      </c>
      <c r="V78" s="1822" t="str">
        <f t="shared" ref="V78:AD78" si="56">IF(V80&gt;0,IF($A79&gt;0.5,$A79,""),0)</f>
        <v/>
      </c>
      <c r="W78" s="1823">
        <f>IF(AND($W79=W$167,$H81=I$191),W$168,IF(W80&gt;0,IF($A79&gt;0.5,$A79,""),0))</f>
        <v>0</v>
      </c>
      <c r="X78" s="1823">
        <f t="shared" si="56"/>
        <v>0</v>
      </c>
      <c r="Y78" s="1823">
        <f t="shared" si="56"/>
        <v>0</v>
      </c>
      <c r="Z78" s="1823">
        <f t="shared" si="56"/>
        <v>0</v>
      </c>
      <c r="AA78" s="1823">
        <f t="shared" si="56"/>
        <v>0</v>
      </c>
      <c r="AB78" s="1823">
        <f t="shared" si="56"/>
        <v>0</v>
      </c>
      <c r="AC78" s="1823">
        <f t="shared" si="56"/>
        <v>0</v>
      </c>
      <c r="AD78" s="1824">
        <f t="shared" si="56"/>
        <v>0</v>
      </c>
      <c r="AE78" s="1825">
        <f>L81</f>
        <v>1</v>
      </c>
      <c r="AF78" s="2977" t="str">
        <f>IF(I80=$H$191,$AF$22,"")</f>
        <v/>
      </c>
      <c r="AG78" s="1600"/>
      <c r="AH78" s="1600"/>
      <c r="AI78" s="1600"/>
      <c r="AJ78" s="1600"/>
      <c r="AK78" s="1600"/>
      <c r="AL78" s="1600"/>
      <c r="AM78" s="1600"/>
      <c r="AN78" s="1600"/>
      <c r="AO78" s="1600"/>
      <c r="AP78" s="1600"/>
      <c r="AQ78" s="1600"/>
      <c r="AR78" s="1600"/>
      <c r="AS78" s="1600"/>
      <c r="AT78" s="1600"/>
      <c r="AU78" s="1600"/>
      <c r="AV78" s="1600"/>
      <c r="AW78" s="1600"/>
      <c r="AX78" s="2"/>
      <c r="AY78" s="2"/>
      <c r="BC78" s="1"/>
      <c r="BF78" s="1592"/>
      <c r="BG78" s="1593"/>
      <c r="BH78" s="1593"/>
      <c r="BI78" s="1906"/>
      <c r="BJ78" s="1601"/>
      <c r="BK78" s="1893"/>
      <c r="BL78" s="1593"/>
      <c r="BM78" s="1593"/>
      <c r="BN78" s="1593"/>
      <c r="BO78" s="1593"/>
      <c r="BP78" s="889"/>
      <c r="BQ78" s="1740"/>
      <c r="BR78" s="1740"/>
      <c r="BS78" s="1740"/>
      <c r="BT78" s="1740"/>
      <c r="BU78" s="1615"/>
      <c r="BV78" s="1615"/>
      <c r="BW78" s="1615"/>
      <c r="BX78" s="1615"/>
      <c r="BY78" s="1615"/>
      <c r="BZ78" s="1615"/>
      <c r="CA78" s="1615"/>
      <c r="CB78" s="1615"/>
      <c r="CC78" s="1615"/>
      <c r="CD78" s="1615"/>
      <c r="CE78" s="1615"/>
      <c r="CF78" s="1615"/>
      <c r="CG78" s="1689">
        <f t="shared" ref="CG78:CH80" si="57">A78</f>
        <v>3</v>
      </c>
      <c r="CH78" s="1690" t="str">
        <f t="shared" si="57"/>
        <v>GIS: Platform Tier 14</v>
      </c>
      <c r="CI78" s="1179" t="str">
        <f>F78</f>
        <v>SRint2006</v>
      </c>
      <c r="CJ78" s="2718"/>
      <c r="CK78" s="2724">
        <f>T78</f>
        <v>10000</v>
      </c>
      <c r="CL78" s="1592"/>
      <c r="CM78" s="1594"/>
      <c r="CN78" s="1592"/>
      <c r="CQ78" s="1592"/>
      <c r="CR78" s="1594"/>
      <c r="CU78" s="1592"/>
      <c r="DA78" s="1592"/>
      <c r="DB78" s="1594"/>
      <c r="DE78" s="1592"/>
      <c r="DF78" s="1594"/>
      <c r="DI78" s="1592"/>
      <c r="DJ78" s="1"/>
      <c r="DK78" s="1"/>
      <c r="DL78" s="1592"/>
      <c r="DM78" s="1"/>
      <c r="DN78" s="1594"/>
      <c r="DO78" s="1595"/>
      <c r="DP78" s="394"/>
      <c r="DQ78" s="1"/>
      <c r="DR78" s="1593"/>
      <c r="DS78" s="1593"/>
      <c r="DT78" s="1415"/>
      <c r="DW78" s="1"/>
      <c r="DX78" s="1593"/>
      <c r="DY78" s="1415"/>
      <c r="EC78" s="1"/>
      <c r="ED78" s="1415"/>
      <c r="EH78" s="1593"/>
      <c r="EI78" s="1"/>
      <c r="EJ78" s="1415"/>
      <c r="EN78" s="1593"/>
      <c r="EO78" s="1"/>
      <c r="EP78" s="1415"/>
      <c r="ET78" s="1593"/>
      <c r="EU78" s="1"/>
      <c r="EV78" s="1415"/>
      <c r="EZ78" s="1593"/>
      <c r="FA78" s="1"/>
      <c r="FB78" s="1415"/>
      <c r="FF78" s="1593"/>
      <c r="FG78" s="1"/>
      <c r="FH78" s="1415"/>
      <c r="FL78" s="1593"/>
      <c r="FM78" s="1"/>
      <c r="FN78" s="1415"/>
      <c r="FR78" s="1593"/>
      <c r="FS78" s="1"/>
      <c r="FT78" s="1415"/>
      <c r="FX78" s="1593"/>
      <c r="FY78" s="1"/>
      <c r="FZ78" s="1415"/>
      <c r="GD78" s="1593"/>
      <c r="GE78" s="1"/>
      <c r="GG78" s="1415"/>
      <c r="GJ78" s="1593"/>
      <c r="GK78" s="1"/>
      <c r="GM78" s="1415"/>
      <c r="GO78" s="1415"/>
      <c r="GP78" s="1593"/>
      <c r="GQ78" s="1"/>
      <c r="GS78" s="1415"/>
      <c r="GT78" s="1415"/>
    </row>
    <row r="79" spans="1:209" ht="15" outlineLevel="2" x14ac:dyDescent="0.2">
      <c r="A79" s="2824">
        <f>IF(E78=0,0,A80/G80)</f>
        <v>1.4715016685205785E-2</v>
      </c>
      <c r="B79" s="156" t="str">
        <f>B75</f>
        <v>Xeon Gold 5122 4 core (1 chip) 3600 MHz</v>
      </c>
      <c r="C79" s="206">
        <f>ROUND(IF(P80&gt;0,2*P80*C80/1000, IF(L80=0,0, IF(I80=Calculator!$H$160, Calculator!$J$160*(1+L79), IF(K80=4, 4*H78*G79/13.4,L79*Calculator!$J$151)))),0)</f>
        <v>16</v>
      </c>
      <c r="D79" s="205">
        <f>F80*L79</f>
        <v>4</v>
      </c>
      <c r="E79" s="70">
        <f>IF(I80=J167,F80*VLOOKUP(B79,HWRange,8,FALSE),"Virtual Server")</f>
        <v>1</v>
      </c>
      <c r="F79" s="71">
        <f>IF(I80=$J$167,VLOOKUP(B79,HWRange,7,FALSE),IF(I79&gt;VLOOKUP(B79,HWRange,3,FALSE),VLOOKUP(B79,HWRange,7,FALSE)*VLOOKUP(B79,HWRange,3,FALSE)/I79,VLOOKUP(B79,HWRange,7,FALSE)))</f>
        <v>69.75</v>
      </c>
      <c r="G79" s="157">
        <f>IF(I80=$J$167,VLOOKUP(B79,HWRange,6,FALSE),VLOOKUP(B79,HWRange,6,FALSE)*I79/VLOOKUP(B79,HWRange,3,FALSE))</f>
        <v>279</v>
      </c>
      <c r="H79" s="161" t="s">
        <v>365</v>
      </c>
      <c r="I79" s="1247">
        <v>2</v>
      </c>
      <c r="J79" s="1881"/>
      <c r="K79" s="756" t="str">
        <f>A182</f>
        <v>GIS</v>
      </c>
      <c r="L79" s="491">
        <f>IF(I80=$J$167,VLOOKUP(B79,HWRange,3,FALSE),I79)</f>
        <v>4</v>
      </c>
      <c r="M79" s="466" t="str">
        <f>IF(ISERROR(VLOOKUP($K79,$J$5:$J$19,1,FALSE)),IF(ISERROR(VLOOKUP($K79,$J$5:$J$19,1,FALSE)),"","/"&amp;$J$4),"/"&amp;$J$4)</f>
        <v/>
      </c>
      <c r="N79" s="467" t="str">
        <f>IF(ISERROR(VLOOKUP($K79,$K$5:$K$19,1,FALSE)),"","/"&amp;$K$4)</f>
        <v/>
      </c>
      <c r="O79" s="468">
        <f>IF(AND(O78="",M80=""),0,D79)</f>
        <v>4</v>
      </c>
      <c r="P79" s="1596" t="str">
        <f>IF(NOT(M79=""),Calculator!$A$158,IF(NOT(N79=""),Calculator!$B$158,IF(NOT(O78=""), Calculator!$C$158,Calculator!$G$158)))</f>
        <v>WindowsLinux</v>
      </c>
      <c r="Q79" s="1246" t="str">
        <f>VLOOKUP(B79,HWRange,2,FALSE)</f>
        <v>Xeon Gold 5122</v>
      </c>
      <c r="R79" s="1187">
        <f>F80*VLOOKUP(B79,HWRange,8,FALSE)</f>
        <v>1</v>
      </c>
      <c r="S79" s="3070">
        <f>IF(OR(LEFT(B79,3)="AMI",LEFT(B79,3)="AZI"),LEFT(B79,3),0)</f>
        <v>0</v>
      </c>
      <c r="T79" s="1626" t="s">
        <v>366</v>
      </c>
      <c r="U79" s="1599" t="s">
        <v>307</v>
      </c>
      <c r="V79" s="822">
        <f t="shared" ref="V79:AD79" si="58">IF(V80=0,0,IF($A79&lt;0.5,$A79,"+"))</f>
        <v>1.4715016685205785E-2</v>
      </c>
      <c r="W79" s="2063">
        <f>IF(AND($N80="/"&amp;$Q$4,$H81=I$191,$H80=0),W$167,IF(W80=0,0,IF($A79&lt;0.5,$A79,"+")))</f>
        <v>0</v>
      </c>
      <c r="X79" s="318">
        <f t="shared" si="58"/>
        <v>0</v>
      </c>
      <c r="Y79" s="318">
        <f t="shared" si="58"/>
        <v>0</v>
      </c>
      <c r="Z79" s="318">
        <f t="shared" si="58"/>
        <v>0</v>
      </c>
      <c r="AA79" s="318">
        <f t="shared" si="58"/>
        <v>0</v>
      </c>
      <c r="AB79" s="318">
        <f t="shared" si="58"/>
        <v>0</v>
      </c>
      <c r="AC79" s="318">
        <f t="shared" si="58"/>
        <v>0</v>
      </c>
      <c r="AD79" s="823">
        <f t="shared" si="58"/>
        <v>0</v>
      </c>
      <c r="AE79" s="1185">
        <f>D79</f>
        <v>4</v>
      </c>
      <c r="AF79" s="2998">
        <f>AF$23</f>
        <v>24</v>
      </c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1601"/>
      <c r="AY79" s="1601"/>
      <c r="BC79" s="1602"/>
      <c r="BF79" s="1592"/>
      <c r="BG79" s="1601"/>
      <c r="BH79" s="1601"/>
      <c r="BI79" s="1906"/>
      <c r="BJ79" s="1601"/>
      <c r="BK79" s="1601"/>
      <c r="BL79" s="1906"/>
      <c r="BM79" s="1601"/>
      <c r="BN79" s="1601"/>
      <c r="BO79" s="1601"/>
      <c r="BP79" s="885">
        <f>IF(A79&gt;0,1,0)</f>
        <v>1</v>
      </c>
      <c r="BQ79" s="1597"/>
      <c r="BR79" s="1597"/>
      <c r="BS79" s="1597"/>
      <c r="BT79" s="1597"/>
      <c r="BU79" s="1600"/>
      <c r="BV79" s="1600"/>
      <c r="BW79" s="1600"/>
      <c r="BX79" s="1600"/>
      <c r="BY79" s="1600"/>
      <c r="BZ79" s="1600"/>
      <c r="CA79" s="1600"/>
      <c r="CB79" s="1600"/>
      <c r="CC79" s="1600"/>
      <c r="CD79" s="1600"/>
      <c r="CE79" s="1600"/>
      <c r="CF79" s="56"/>
      <c r="CG79" s="1691">
        <f t="shared" si="57"/>
        <v>1.4715016685205785E-2</v>
      </c>
      <c r="CH79" s="1590" t="str">
        <f t="shared" si="57"/>
        <v>Xeon Gold 5122 4 core (1 chip) 3600 MHz</v>
      </c>
      <c r="CI79" s="1180">
        <f>F79</f>
        <v>69.75</v>
      </c>
      <c r="CJ79" s="1180">
        <f>G79</f>
        <v>279</v>
      </c>
      <c r="CK79" s="2723"/>
      <c r="CL79" s="1592"/>
      <c r="CM79" s="1594"/>
      <c r="CN79" s="1592"/>
      <c r="CQ79" s="1592"/>
      <c r="CR79" s="1594"/>
      <c r="CU79" s="1592"/>
      <c r="DA79" s="1592"/>
      <c r="DB79" s="1594"/>
      <c r="DE79" s="1592"/>
      <c r="DF79" s="1594"/>
      <c r="DI79" s="1592"/>
      <c r="DJ79" s="1602"/>
      <c r="DK79" s="1602"/>
      <c r="DL79" s="1592"/>
      <c r="DM79" s="1602"/>
      <c r="DN79" s="1594"/>
      <c r="DO79" s="1594"/>
      <c r="DP79" s="394"/>
      <c r="DQ79" s="1602"/>
      <c r="DR79" s="1594"/>
      <c r="DS79" s="1594"/>
      <c r="DT79" s="1415"/>
      <c r="DW79" s="1602"/>
      <c r="DX79" s="1594"/>
      <c r="DY79" s="1415"/>
      <c r="EC79" s="1602"/>
      <c r="ED79" s="1415"/>
      <c r="EH79" s="1594"/>
      <c r="EI79" s="1602"/>
      <c r="EJ79" s="1415"/>
      <c r="EN79" s="1594"/>
      <c r="EO79" s="1602"/>
      <c r="EP79" s="1415"/>
      <c r="ET79" s="1594"/>
      <c r="EU79" s="1602"/>
      <c r="EV79" s="1415"/>
      <c r="EZ79" s="1594"/>
      <c r="FA79" s="1602"/>
      <c r="FB79" s="1415"/>
      <c r="FF79" s="1594"/>
      <c r="FG79" s="1602"/>
      <c r="FH79" s="1415"/>
      <c r="FL79" s="1594"/>
      <c r="FM79" s="1602"/>
      <c r="FN79" s="1415"/>
      <c r="FR79" s="1594"/>
      <c r="FS79" s="1602"/>
      <c r="FT79" s="1415"/>
      <c r="FX79" s="1594"/>
      <c r="FY79" s="1602"/>
      <c r="FZ79" s="1415"/>
      <c r="GD79" s="1594"/>
      <c r="GE79" s="1602"/>
      <c r="GG79" s="1415"/>
      <c r="GJ79" s="1594"/>
      <c r="GK79" s="1602"/>
      <c r="GM79" s="1415"/>
      <c r="GO79" s="1415"/>
      <c r="GP79" s="1594"/>
      <c r="GQ79" s="1602"/>
      <c r="GS79" s="1415"/>
      <c r="GT79" s="1415"/>
    </row>
    <row r="80" spans="1:209" ht="16" outlineLevel="2" thickBot="1" x14ac:dyDescent="0.2">
      <c r="A80" s="2825">
        <f>IF(E78=0,0,GN$22)</f>
        <v>18</v>
      </c>
      <c r="B80" s="3087" t="str">
        <f>"Install ("&amp;C81&amp;M78&amp;N78&amp;O78&amp;M79&amp;N79&amp;M80&amp;N80&amp;")"</f>
        <v>Install (Physical/SOC)</v>
      </c>
      <c r="C80" s="258">
        <f>IF(E78=0,0, IF(I80=Calculator!$H$160,1,E80/O80)*H78)</f>
        <v>163.09869375907112</v>
      </c>
      <c r="D80" s="140">
        <f>IF(J80=$H$192,J81,0)+IF(E78=0,0,J78*E78)*($BO$2/F79)</f>
        <v>0.19620022246941049</v>
      </c>
      <c r="E80" s="141">
        <f>IF(E78=0,0,L79*60/D80)</f>
        <v>1223.2402031930333</v>
      </c>
      <c r="F80" s="142">
        <f>IF(L80=0,0,IF(H80,H80,IF(I80=Calculator!$H$160,A78,IF(N80="/DBMS",1,IF(H81=$I$191,IF(N79="",IF(L80=1,2,L80),L80+1),L80)))))</f>
        <v>1</v>
      </c>
      <c r="G80" s="158">
        <f>IF(E78=0,0,IF(F80&gt;0,+E80*F80,"Nodes?"))</f>
        <v>1223.2402031930333</v>
      </c>
      <c r="H80" s="143"/>
      <c r="I80" s="1248" t="s">
        <v>408</v>
      </c>
      <c r="J80" s="2819" t="str">
        <f>J76</f>
        <v xml:space="preserve">Siloed </v>
      </c>
      <c r="K80" s="1604">
        <f>IF(AND(N80="",N79=""),2,4)</f>
        <v>2</v>
      </c>
      <c r="L80" s="1605">
        <f>IF(H80,H80,IF(E78=0,0,IF(A80&gt;0,+INT(A80/(E80*H78))+1,0)))</f>
        <v>1</v>
      </c>
      <c r="M80" s="469" t="str">
        <f>IF(ISERROR(VLOOKUP($K79,$O$5:$O$19,1,FALSE)),IF(ISERROR(VLOOKUP($K79,$O$5:$O$19,1,FALSE)),"","/"&amp;$O$4),"/"&amp;$O$4)</f>
        <v/>
      </c>
      <c r="N80" s="470" t="str">
        <f>IF(ISERROR(VLOOKUP($K79,$Q$5:$Q$19,1,FALSE)),IF(ISERROR(VLOOKUP($K79,$Q$5:$Q$19,1,FALSE)),"","/"&amp;$Q$4),"/"&amp;$Q$4)</f>
        <v/>
      </c>
      <c r="O80" s="471">
        <f>IF($GM$22&gt;0,$GN$22/$GM$22,0)</f>
        <v>6</v>
      </c>
      <c r="P80" s="886"/>
      <c r="Q80" s="1714">
        <f>D79/VLOOKUP(B79,HWRange,3,FALSE)</f>
        <v>1</v>
      </c>
      <c r="R80" s="1877">
        <f>P182</f>
        <v>0</v>
      </c>
      <c r="S80" s="1982">
        <f>IF(E78=0,0,H78*A78/A79)</f>
        <v>163.09869375907112</v>
      </c>
      <c r="T80" s="135">
        <v>10000</v>
      </c>
      <c r="U80" s="1608">
        <f>IF(E78=0,0,IF(U81=$I$192,U78,GP$22/F80))</f>
        <v>0.60000000000000009</v>
      </c>
      <c r="V80" s="1826">
        <f>IF(G80&gt;0,1,0)</f>
        <v>1</v>
      </c>
      <c r="W80" s="1827">
        <f t="shared" ref="W80:AC80" si="59">IF(V80&gt;0,IF($F80&gt;V80,V80+1,0),0)</f>
        <v>0</v>
      </c>
      <c r="X80" s="1827">
        <f t="shared" si="59"/>
        <v>0</v>
      </c>
      <c r="Y80" s="1827">
        <f t="shared" si="59"/>
        <v>0</v>
      </c>
      <c r="Z80" s="1827">
        <f t="shared" si="59"/>
        <v>0</v>
      </c>
      <c r="AA80" s="1827">
        <f t="shared" si="59"/>
        <v>0</v>
      </c>
      <c r="AB80" s="1827">
        <f t="shared" si="59"/>
        <v>0</v>
      </c>
      <c r="AC80" s="1827">
        <f t="shared" si="59"/>
        <v>0</v>
      </c>
      <c r="AD80" s="1828">
        <f>IF(AC80&gt;0,IF($F80&gt;AC80,"…"&amp;$F80,0),0)</f>
        <v>0</v>
      </c>
      <c r="AE80" s="1829">
        <f>A79</f>
        <v>1.4715016685205785E-2</v>
      </c>
      <c r="AF80" s="2978">
        <f>IF(AF79="","",IF(H80=0,0,H80/AF79+IF(H81=$I$191,1,0)))</f>
        <v>0</v>
      </c>
      <c r="AG80" s="1591"/>
      <c r="AH80" s="1591"/>
      <c r="AI80" s="1591"/>
      <c r="AJ80" s="1591"/>
      <c r="AK80" s="1591"/>
      <c r="AL80" s="1591"/>
      <c r="AM80" s="1591"/>
      <c r="AN80" s="1591"/>
      <c r="AO80" s="1591"/>
      <c r="AP80" s="1591"/>
      <c r="AQ80" s="1591"/>
      <c r="AR80" s="1591"/>
      <c r="AS80" s="1591"/>
      <c r="AT80" s="1591"/>
      <c r="AU80" s="1591"/>
      <c r="AV80" s="1591"/>
      <c r="AW80" s="1591"/>
      <c r="BC80" s="1602"/>
      <c r="BF80" s="1592"/>
      <c r="BG80" s="1601"/>
      <c r="BH80" s="1601"/>
      <c r="BI80" s="1601"/>
      <c r="BJ80" s="1601"/>
      <c r="BK80" s="1601"/>
      <c r="BL80" s="1601"/>
      <c r="BM80" s="1601"/>
      <c r="BN80" s="1601"/>
      <c r="BO80" s="1601"/>
      <c r="BP80" s="1606"/>
      <c r="BQ80" s="1606"/>
      <c r="BR80" s="1606"/>
      <c r="BS80" s="1606"/>
      <c r="BT80" s="1606"/>
      <c r="BU80" s="1606"/>
      <c r="BV80" s="1606"/>
      <c r="BW80" s="1606"/>
      <c r="BX80" s="1606"/>
      <c r="BY80" s="1606"/>
      <c r="BZ80" s="1606"/>
      <c r="CA80" s="1606"/>
      <c r="CB80" s="1606"/>
      <c r="CC80" s="1606"/>
      <c r="CD80" s="1606"/>
      <c r="CE80" s="1606"/>
      <c r="CF80" s="1606"/>
      <c r="CG80" s="1692">
        <f t="shared" si="57"/>
        <v>18</v>
      </c>
      <c r="CH80" s="1693" t="str">
        <f t="shared" si="57"/>
        <v>Install (Physical/SOC)</v>
      </c>
      <c r="CI80" s="1181">
        <f>F80</f>
        <v>1</v>
      </c>
      <c r="CJ80" s="2719">
        <f>D79</f>
        <v>4</v>
      </c>
      <c r="CK80" s="2724">
        <f>T80</f>
        <v>10000</v>
      </c>
      <c r="CL80" s="1592"/>
      <c r="CM80" s="1594"/>
      <c r="CN80" s="1592"/>
      <c r="CQ80" s="1592"/>
      <c r="CR80" s="1594"/>
      <c r="CU80" s="1592"/>
      <c r="CV80" s="1681"/>
      <c r="DA80" s="1592"/>
      <c r="DB80" s="1594"/>
      <c r="DE80" s="1592"/>
      <c r="DF80" s="1594"/>
      <c r="DI80" s="1592"/>
      <c r="DJ80" s="1602"/>
      <c r="DK80" s="1602"/>
      <c r="DL80" s="1592"/>
      <c r="DM80" s="1602"/>
      <c r="DN80" s="1594"/>
      <c r="DO80" s="1594"/>
      <c r="DP80" s="394"/>
      <c r="DQ80" s="1602"/>
      <c r="DR80" s="1597"/>
      <c r="DS80" s="1597"/>
      <c r="DT80" s="1415"/>
      <c r="DW80" s="1602"/>
      <c r="DX80" s="1597"/>
      <c r="DY80" s="1415"/>
      <c r="EC80" s="1602"/>
      <c r="ED80" s="1415"/>
      <c r="EH80" s="1597"/>
      <c r="EI80" s="1602"/>
      <c r="EJ80" s="1415"/>
      <c r="EN80" s="1597"/>
      <c r="EO80" s="1602"/>
      <c r="EP80" s="1415"/>
      <c r="ET80" s="1597"/>
      <c r="EU80" s="1602"/>
      <c r="EV80" s="1415"/>
      <c r="EZ80" s="1597"/>
      <c r="FA80" s="1602"/>
      <c r="FB80" s="1415"/>
      <c r="FF80" s="1597"/>
      <c r="FG80" s="1602"/>
      <c r="FH80" s="1415"/>
      <c r="FL80" s="1597"/>
      <c r="FM80" s="1602"/>
      <c r="FN80" s="1415"/>
      <c r="FR80" s="1597"/>
      <c r="FS80" s="1602"/>
      <c r="FT80" s="1415"/>
      <c r="FX80" s="1597"/>
      <c r="FY80" s="1602"/>
      <c r="FZ80" s="1415"/>
      <c r="GD80" s="1597"/>
      <c r="GE80" s="1602"/>
      <c r="GG80" s="1415"/>
      <c r="GJ80" s="1597"/>
      <c r="GK80" s="1602"/>
      <c r="GM80" s="1415"/>
      <c r="GO80" s="1415"/>
      <c r="GP80" s="1597"/>
      <c r="GQ80" s="1602"/>
      <c r="GS80" s="1415"/>
      <c r="GT80" s="1415"/>
    </row>
    <row r="81" spans="1:209" ht="15" outlineLevel="1" x14ac:dyDescent="0.15">
      <c r="A81" s="916" t="str">
        <f>IF(A80=0,0,ROUND(100*A79,0)&amp;"% CPU")</f>
        <v>1% CPU</v>
      </c>
      <c r="B81" s="917" t="str">
        <f>IF(A80&gt;0,IF(I80=$J$167,K79&amp;": "&amp;F80&amp;"x "&amp;B79&amp;" "&amp;C79&amp;" GB RAM",$K79&amp;": "&amp;$F80&amp;"x VM ("&amp;I79&amp;" core "&amp;C79&amp;" GB RAM) "&amp;Q79&amp;" "&amp;L78&amp;" MHz"),0)</f>
        <v>GIS: 1x Xeon Gold 5122 4 core (1 chip) 3600 MHz 16 GB RAM</v>
      </c>
      <c r="C81" s="1609" t="str">
        <f>IF(I80=$H$189,I80,I78)</f>
        <v>Physical</v>
      </c>
      <c r="D81" s="918">
        <f>A78</f>
        <v>3</v>
      </c>
      <c r="E81" s="919" t="str">
        <f>IF(E80&gt;0,ROUND(E80*60/1000,0)&amp;"K TPH",0)</f>
        <v>73K TPH</v>
      </c>
      <c r="F81" s="920">
        <f>+L80</f>
        <v>1</v>
      </c>
      <c r="G81" s="919" t="str">
        <f>IF(G80&gt;0,ROUND(G80*60/1000,0)&amp;"K TPH",0)</f>
        <v>73K TPH</v>
      </c>
      <c r="H81" s="921" t="str">
        <f>H$23</f>
        <v>Minimum</v>
      </c>
      <c r="I81" s="1736">
        <f>IF(I80=$J$167,0,I78)</f>
        <v>0</v>
      </c>
      <c r="J81" s="2086">
        <f>IF(AND(O78="/"&amp;$N$4,J80=$H$192),IF(F80&gt;0,(F80-1)*A80/(60*$H$194),0),0)</f>
        <v>0</v>
      </c>
      <c r="K81" s="2086">
        <f>IF(E78&gt;0,D80/E78,0)</f>
        <v>1.0609318996415771</v>
      </c>
      <c r="L81" s="2080">
        <f>IF($W79=$W$167,2,F80)</f>
        <v>1</v>
      </c>
      <c r="M81" s="3134">
        <f>IF(AND(S81&gt;0,I80=$H$189),1,0)</f>
        <v>0</v>
      </c>
      <c r="N81" s="1618"/>
      <c r="O81" s="1618"/>
      <c r="P81" s="922"/>
      <c r="Q81" s="1737">
        <f>IF($A83&lt;0.9999, $A83/((1+$CJ$2*$A83*($L83-1))*(1-$A83)),200)</f>
        <v>9.4220891700755646E-3</v>
      </c>
      <c r="R81" s="1618"/>
      <c r="S81" s="3118">
        <f>IF(LEFT(B79,3)=S79,VLOOKUP(B79,HWRange,10,FALSE),0)</f>
        <v>0</v>
      </c>
      <c r="T81" s="940" t="str">
        <f>U81</f>
        <v>Client</v>
      </c>
      <c r="U81" s="1595" t="s">
        <v>303</v>
      </c>
      <c r="V81" s="1918" t="str">
        <f>IF(A79&gt;0,B81&amp;" "&amp;C81&amp;IF(B81="",""," GB RAM"),0)</f>
        <v>GIS: 1x Xeon Gold 5122 4 core (1 chip) 3600 MHz 16 GB RAM Physical GB RAM</v>
      </c>
      <c r="W81" s="1819"/>
      <c r="X81" s="1819"/>
      <c r="Y81" s="1819"/>
      <c r="Z81" s="1819"/>
      <c r="AA81" s="1819"/>
      <c r="AB81" s="1819"/>
      <c r="AC81" s="1819"/>
      <c r="AD81" s="1819"/>
      <c r="AE81" s="1919">
        <f>IF(A79&gt;0,F79,0)</f>
        <v>69.75</v>
      </c>
      <c r="AF81" s="2876">
        <f>IF(A78=0,0,IF(LEFT(B79,3)=S79,VLOOKUP(B79,HWRange,12,FALSE),0)*F80)</f>
        <v>0</v>
      </c>
      <c r="AG81" s="2877" t="str">
        <f>IF(AF81&gt;0,S79&amp;" 3-yr Pricing","")</f>
        <v/>
      </c>
      <c r="AH81" s="2878"/>
      <c r="AI81" s="1591"/>
      <c r="AJ81" s="1591"/>
      <c r="AK81" s="1591"/>
      <c r="AL81" s="1591"/>
      <c r="AM81" s="1591"/>
      <c r="AN81" s="1591"/>
      <c r="AO81" s="1591"/>
      <c r="AP81" s="1591"/>
      <c r="AQ81" s="1591"/>
      <c r="AR81" s="1591"/>
      <c r="AS81" s="1591"/>
      <c r="AT81" s="1591"/>
      <c r="AU81" s="1591"/>
      <c r="AV81" s="1591"/>
      <c r="AW81" s="1591"/>
      <c r="AX81" s="1601"/>
      <c r="AY81" s="1601"/>
      <c r="BC81" s="1614"/>
      <c r="BF81" s="1592"/>
      <c r="BG81" s="1601"/>
      <c r="BH81" s="1601"/>
      <c r="BI81" s="1601"/>
      <c r="BJ81" s="1601"/>
      <c r="BK81" s="1601"/>
      <c r="BL81" s="1601"/>
      <c r="BM81" s="1601"/>
      <c r="BN81" s="1601"/>
      <c r="BO81" s="1601"/>
      <c r="BP81" s="1772"/>
      <c r="BQ81" s="1772"/>
      <c r="BR81" s="1772"/>
      <c r="BS81" s="1772"/>
      <c r="BT81" s="1619"/>
      <c r="BU81" s="1619"/>
      <c r="BV81" s="1619"/>
      <c r="BW81" s="1619"/>
      <c r="BX81" s="1619"/>
      <c r="BY81" s="1619"/>
      <c r="BZ81" s="1619"/>
      <c r="CA81" s="1619"/>
      <c r="CB81" s="1619"/>
      <c r="CC81" s="1619"/>
      <c r="CD81" s="1619"/>
      <c r="CE81" s="1619"/>
      <c r="CF81" s="1619"/>
      <c r="CG81" s="3403" t="str">
        <f>B81</f>
        <v>GIS: 1x Xeon Gold 5122 4 core (1 chip) 3600 MHz 16 GB RAM</v>
      </c>
      <c r="CH81" s="3404"/>
      <c r="CI81" s="3404"/>
      <c r="CJ81" s="3404"/>
      <c r="CK81" s="2723"/>
      <c r="CL81" s="1592"/>
      <c r="CM81" s="1594"/>
      <c r="CN81" s="1592"/>
      <c r="CQ81" s="1592"/>
      <c r="CR81" s="1594"/>
      <c r="CU81" s="1592"/>
      <c r="DA81" s="1592"/>
      <c r="DB81" s="1594"/>
      <c r="DE81" s="1592"/>
      <c r="DF81" s="1594"/>
      <c r="DI81" s="1592"/>
      <c r="DJ81" s="1614"/>
      <c r="DK81" s="1614"/>
      <c r="DL81" s="1592"/>
      <c r="DM81" s="1614"/>
      <c r="DN81" s="1594"/>
      <c r="DO81" s="1594"/>
      <c r="DP81" s="394"/>
      <c r="DQ81" s="1614"/>
      <c r="DR81" s="1597"/>
      <c r="DS81" s="1597"/>
      <c r="DT81" s="1415"/>
      <c r="DW81" s="1614"/>
      <c r="DX81" s="1597"/>
      <c r="DY81" s="1415"/>
      <c r="EC81" s="1614"/>
      <c r="ED81" s="1415"/>
      <c r="EH81" s="1597"/>
      <c r="EI81" s="1614"/>
      <c r="EJ81" s="1415"/>
      <c r="EN81" s="1597"/>
      <c r="EO81" s="1614"/>
      <c r="EP81" s="1415"/>
      <c r="ET81" s="1597"/>
      <c r="EU81" s="1614"/>
      <c r="EV81" s="1415"/>
      <c r="EZ81" s="1597"/>
      <c r="FA81" s="1614"/>
      <c r="FB81" s="1415"/>
      <c r="FF81" s="1597"/>
      <c r="FG81" s="1614"/>
      <c r="FH81" s="1415"/>
      <c r="FL81" s="1597"/>
      <c r="FM81" s="1614"/>
      <c r="FN81" s="1415"/>
      <c r="FR81" s="1597"/>
      <c r="FS81" s="1614"/>
      <c r="FT81" s="1415"/>
      <c r="FX81" s="1597"/>
      <c r="FY81" s="1614"/>
      <c r="FZ81" s="1415"/>
      <c r="GD81" s="1597"/>
      <c r="GE81" s="1614"/>
      <c r="GG81" s="1415"/>
      <c r="GJ81" s="1597"/>
      <c r="GK81" s="1614"/>
      <c r="GM81" s="1415"/>
      <c r="GO81" s="1415"/>
      <c r="GP81" s="1597"/>
      <c r="GQ81" s="1614"/>
      <c r="GS81" s="1415"/>
      <c r="GT81" s="1415"/>
    </row>
    <row r="82" spans="1:209" ht="17" outlineLevel="2" thickBot="1" x14ac:dyDescent="0.25">
      <c r="A82" s="2826">
        <f>IF(O84&gt;0,A84/O84,0)</f>
        <v>9</v>
      </c>
      <c r="B82" s="552" t="s">
        <v>1456</v>
      </c>
      <c r="C82" s="136" t="str">
        <f>VLOOKUP(B83,Hardware!$A$2:$I$632,9,FALSE)</f>
        <v>Intel</v>
      </c>
      <c r="D82" s="137" t="str">
        <f>D78</f>
        <v>Arc18=</v>
      </c>
      <c r="E82" s="138">
        <f>IF(GS$22=0,0,IF(GW$22&gt;0,GW$22/GT$22))</f>
        <v>2.784314287762564E-2</v>
      </c>
      <c r="F82" s="139" t="s">
        <v>328</v>
      </c>
      <c r="G82" s="1585"/>
      <c r="H82" s="1586">
        <v>0.8</v>
      </c>
      <c r="I82" s="1739" t="str">
        <f>I78</f>
        <v>Host02</v>
      </c>
      <c r="J82" s="207">
        <f>IF(K82&gt;0,K82,IF(I84=Calculator!$H$158,1, IF(OR(R82=Calculator!$H$162,R82=Calculator!$H$163), VLOOKUP(I84,VAdjust,2,FALSE),1)))</f>
        <v>1</v>
      </c>
      <c r="K82" s="2456"/>
      <c r="L82" s="722">
        <f>VLOOKUP(B83,HWRange,5,FALSE)</f>
        <v>3600</v>
      </c>
      <c r="M82" s="464" t="str">
        <f>IF(ISERROR(VLOOKUP($K83,$L$5:$L$19,1,FALSE)),"","/"&amp;$L$4)</f>
        <v/>
      </c>
      <c r="N82" s="257" t="str">
        <f>IF(ISERROR(VLOOKUP($K83,$M$5:$M$19,1,FALSE)),IF(ISERROR(VLOOKUP($K83,$M$5:$M$19,1,FALSE)),"","/"&amp;$M$4),"/"&amp;$M$4)</f>
        <v/>
      </c>
      <c r="O82" s="465" t="str">
        <f>IF(ISERROR(VLOOKUP($K83,$N$5:$N$19,1,FALSE)),IF(ISERROR(VLOOKUP($K83,$N$5:$N$19,1,FALSE)),"","/"&amp;$N$4),"/"&amp;$N$4)</f>
        <v/>
      </c>
      <c r="P82" s="1587">
        <f>IF(A83=0,0,IF(P84&gt;0,1000*C83/C84,1000*C83/C84))/2</f>
        <v>44.668506845740808</v>
      </c>
      <c r="Q82" s="1734">
        <f>IF(I84=$J$167,0,VLOOKUP(I82,HostArray,2,FALSE))</f>
        <v>0</v>
      </c>
      <c r="R82" s="1588" t="s">
        <v>412</v>
      </c>
      <c r="S82" s="3071" t="str">
        <f>IF(S83=LEFT(B83,3),_xlfn.NUMBERVALUE(MID(B83,FIND("(",B83,1)+1,FIND(")",B83,1)-FIND("(",B83,1)-3)),"")</f>
        <v/>
      </c>
      <c r="T82" s="135">
        <v>10000</v>
      </c>
      <c r="U82" s="1616">
        <f>IF(E82&gt;0,IF(AND(M84="",N84=""),GU$22/F84,GU$22/F84),0)</f>
        <v>13</v>
      </c>
      <c r="V82" s="1822" t="str">
        <f t="shared" ref="V82:AD82" si="60">IF(V84&gt;0,IF($A83&gt;0.5,$A83,""),0)</f>
        <v/>
      </c>
      <c r="W82" s="1823">
        <f>IF(AND($W83=W$167,$H85=I$191),W$168,IF(W84&gt;0,IF($A83&gt;0.5,$A83,""),0))</f>
        <v>0</v>
      </c>
      <c r="X82" s="1823">
        <f t="shared" si="60"/>
        <v>0</v>
      </c>
      <c r="Y82" s="1823">
        <f t="shared" si="60"/>
        <v>0</v>
      </c>
      <c r="Z82" s="1823">
        <f t="shared" si="60"/>
        <v>0</v>
      </c>
      <c r="AA82" s="1823">
        <f t="shared" si="60"/>
        <v>0</v>
      </c>
      <c r="AB82" s="1823">
        <f t="shared" si="60"/>
        <v>0</v>
      </c>
      <c r="AC82" s="1823">
        <f t="shared" si="60"/>
        <v>0</v>
      </c>
      <c r="AD82" s="1824">
        <f t="shared" si="60"/>
        <v>0</v>
      </c>
      <c r="AE82" s="1825">
        <f>L85</f>
        <v>1</v>
      </c>
      <c r="AF82" s="2977" t="str">
        <f>IF(I84=$H$191,$AF$22,"")</f>
        <v/>
      </c>
      <c r="AG82" s="1600"/>
      <c r="AH82" s="1600"/>
      <c r="AI82" s="1600"/>
      <c r="AJ82" s="1600"/>
      <c r="AK82" s="1600"/>
      <c r="AL82" s="1600"/>
      <c r="AM82" s="1600"/>
      <c r="AN82" s="1600"/>
      <c r="AO82" s="1600"/>
      <c r="AP82" s="1600"/>
      <c r="AQ82" s="1600"/>
      <c r="AR82" s="1600"/>
      <c r="AS82" s="1600"/>
      <c r="AT82" s="1600"/>
      <c r="AU82" s="1600"/>
      <c r="AV82" s="1600"/>
      <c r="AW82" s="1600"/>
      <c r="AX82" s="2"/>
      <c r="AY82" s="2"/>
      <c r="BC82" s="1"/>
      <c r="BF82" s="1592"/>
      <c r="BG82" s="1593"/>
      <c r="BH82" s="1593"/>
      <c r="BI82" s="1593"/>
      <c r="BJ82" s="1593"/>
      <c r="BK82" s="1593"/>
      <c r="BL82" s="1593"/>
      <c r="BM82" s="1593"/>
      <c r="BN82" s="1593"/>
      <c r="BO82" s="1593"/>
      <c r="BP82" s="889"/>
      <c r="BQ82" s="889"/>
      <c r="BR82" s="889"/>
      <c r="BS82" s="889"/>
      <c r="BT82" s="889"/>
      <c r="BU82" s="889"/>
      <c r="BV82" s="1615"/>
      <c r="BW82" s="1615"/>
      <c r="BX82" s="1615"/>
      <c r="BY82" s="1615"/>
      <c r="BZ82" s="1615"/>
      <c r="CA82" s="1615"/>
      <c r="CB82" s="1615"/>
      <c r="CC82" s="1615"/>
      <c r="CD82" s="1615"/>
      <c r="CE82" s="1615"/>
      <c r="CF82" s="1615"/>
      <c r="CG82" s="1689">
        <f t="shared" ref="CG82:CH84" si="61">A82</f>
        <v>9</v>
      </c>
      <c r="CH82" s="1690" t="str">
        <f t="shared" si="61"/>
        <v>DBMS: Platform Tier 15</v>
      </c>
      <c r="CI82" s="1179" t="str">
        <f>F82</f>
        <v>SRint2006</v>
      </c>
      <c r="CJ82" s="2718"/>
      <c r="CK82" s="2724">
        <f>T82</f>
        <v>10000</v>
      </c>
      <c r="CL82" s="1592"/>
      <c r="CM82" s="1594"/>
      <c r="CN82" s="1592"/>
      <c r="CQ82" s="1592"/>
      <c r="CR82" s="1594"/>
      <c r="CU82" s="1592"/>
      <c r="DA82" s="1592"/>
      <c r="DB82" s="1594"/>
      <c r="DE82" s="1592"/>
      <c r="DF82" s="1594"/>
      <c r="DI82" s="1592"/>
      <c r="DJ82" s="1"/>
      <c r="DK82" s="1"/>
      <c r="DL82" s="1592"/>
      <c r="DM82" s="1"/>
      <c r="DN82" s="1594"/>
      <c r="DO82" s="1595"/>
      <c r="DP82" s="394"/>
      <c r="DQ82" s="1"/>
      <c r="DR82" s="1593"/>
      <c r="DS82" s="1593"/>
      <c r="DT82" s="1415"/>
      <c r="DW82" s="1"/>
      <c r="DX82" s="1593"/>
      <c r="DY82" s="1415"/>
      <c r="EC82" s="1"/>
      <c r="ED82" s="1415"/>
      <c r="EH82" s="1593"/>
      <c r="EI82" s="1"/>
      <c r="EJ82" s="1415"/>
      <c r="EN82" s="1593"/>
      <c r="EO82" s="1"/>
      <c r="EP82" s="1415"/>
      <c r="ET82" s="1593"/>
      <c r="EU82" s="1"/>
      <c r="EV82" s="1415"/>
      <c r="EZ82" s="1593"/>
      <c r="FA82" s="1"/>
      <c r="FB82" s="1415"/>
      <c r="FF82" s="1593"/>
      <c r="FG82" s="1"/>
      <c r="FH82" s="1415"/>
      <c r="FL82" s="1593"/>
      <c r="FM82" s="1"/>
      <c r="FN82" s="1415"/>
      <c r="FR82" s="1593"/>
      <c r="FS82" s="1"/>
      <c r="FT82" s="1415"/>
      <c r="FX82" s="1593"/>
      <c r="FY82" s="1"/>
      <c r="FZ82" s="1415"/>
      <c r="GD82" s="1593"/>
      <c r="GE82" s="1"/>
      <c r="GG82" s="1415"/>
      <c r="GJ82" s="1593"/>
      <c r="GK82" s="1"/>
      <c r="GM82" s="1415"/>
      <c r="GO82" s="1415"/>
      <c r="GP82" s="1593"/>
      <c r="GQ82" s="1"/>
      <c r="GS82" s="1415"/>
      <c r="GT82" s="1415"/>
    </row>
    <row r="83" spans="1:209" ht="15" outlineLevel="2" x14ac:dyDescent="0.2">
      <c r="A83" s="2827">
        <f>IF(E82=0,0,A84/G84)</f>
        <v>9.600395501174145E-3</v>
      </c>
      <c r="B83" s="156" t="str">
        <f>B79</f>
        <v>Xeon Gold 5122 4 core (1 chip) 3600 MHz</v>
      </c>
      <c r="C83" s="206">
        <f>ROUND(IF(P84&gt;0,2*P84*C84/1000, IF(L84=0,0, IF(I84=Calculator!$H$160, Calculator!$J$160*(1+L83), IF(K84=4, 4*H82*G83/13.4,L83*Calculator!$J$151)))),0)</f>
        <v>67</v>
      </c>
      <c r="D83" s="205">
        <f>F84*L83</f>
        <v>4</v>
      </c>
      <c r="E83" s="70">
        <f>IF(I84=J167,F84*VLOOKUP(B83,HWRange,8,FALSE),"Virtual Server")</f>
        <v>1</v>
      </c>
      <c r="F83" s="71">
        <f>IF(I84=$J$167,VLOOKUP(B83,HWRange,7,FALSE),IF(I83&gt;VLOOKUP(B83,HWRange,3,FALSE),VLOOKUP(B83,HWRange,7,FALSE)*VLOOKUP(B83,HWRange,3,FALSE)/I83,VLOOKUP(B83,HWRange,7,FALSE)))</f>
        <v>69.75</v>
      </c>
      <c r="G83" s="157">
        <f>IF(I84=$J$167,VLOOKUP(B83,HWRange,6,FALSE),VLOOKUP(B83,HWRange,6,FALSE)*I83/VLOOKUP(B83,HWRange,3,FALSE))</f>
        <v>279</v>
      </c>
      <c r="H83" s="161" t="s">
        <v>365</v>
      </c>
      <c r="I83" s="1247">
        <v>2</v>
      </c>
      <c r="J83" s="1881"/>
      <c r="K83" s="756" t="str">
        <f>A183</f>
        <v>DBMS</v>
      </c>
      <c r="L83" s="491">
        <f>IF(I84=$J$167,VLOOKUP(B83,HWRange,3,FALSE),I83)</f>
        <v>4</v>
      </c>
      <c r="M83" s="466" t="str">
        <f>IF(ISERROR(VLOOKUP($K83,$J$5:$J$19,1,FALSE)),IF(ISERROR(VLOOKUP($K83,$J$5:$J$19,1,FALSE)),"","/"&amp;$J$4),"/"&amp;$J$4)</f>
        <v/>
      </c>
      <c r="N83" s="467" t="str">
        <f>IF(ISERROR(VLOOKUP($K83,$K$5:$K$19,1,FALSE)),"","/"&amp;$K$4)</f>
        <v/>
      </c>
      <c r="O83" s="468">
        <f>IF(AND(O82="",M84=""),0,D83)</f>
        <v>0</v>
      </c>
      <c r="P83" s="1596" t="str">
        <f>IF(NOT(M83=""),Calculator!$A$158,IF(NOT(N83=""),Calculator!$B$158,IF(NOT(O82=""), Calculator!$C$158,Calculator!$G$158)))</f>
        <v>WindowsLinuxSolarisAIXHPUX</v>
      </c>
      <c r="Q83" s="1246" t="str">
        <f>VLOOKUP(B83,HWRange,2,FALSE)</f>
        <v>Xeon Gold 5122</v>
      </c>
      <c r="R83" s="1187">
        <f>F84*VLOOKUP(B83,HWRange,8,FALSE)</f>
        <v>1</v>
      </c>
      <c r="S83" s="3070">
        <f>IF(OR(LEFT(B83,3)="AMI",LEFT(B83,3)="AZI"),LEFT(B83,3),0)</f>
        <v>0</v>
      </c>
      <c r="T83" s="1627" t="s">
        <v>366</v>
      </c>
      <c r="U83" s="1599" t="s">
        <v>307</v>
      </c>
      <c r="V83" s="822">
        <f t="shared" ref="V83:AD83" si="62">IF(V84=0,0,IF($A83&lt;0.5,$A83,"+"))</f>
        <v>9.600395501174145E-3</v>
      </c>
      <c r="W83" s="2063">
        <f>IF(AND($N84="/"&amp;$Q$4,$H85=I$191,$H84=0),W$167,IF(W84=0,0,IF($A83&lt;0.5,$A83,"+")))</f>
        <v>0</v>
      </c>
      <c r="X83" s="318">
        <f t="shared" si="62"/>
        <v>0</v>
      </c>
      <c r="Y83" s="318">
        <f t="shared" si="62"/>
        <v>0</v>
      </c>
      <c r="Z83" s="318">
        <f t="shared" si="62"/>
        <v>0</v>
      </c>
      <c r="AA83" s="318">
        <f t="shared" si="62"/>
        <v>0</v>
      </c>
      <c r="AB83" s="318">
        <f t="shared" si="62"/>
        <v>0</v>
      </c>
      <c r="AC83" s="318">
        <f t="shared" si="62"/>
        <v>0</v>
      </c>
      <c r="AD83" s="823">
        <f t="shared" si="62"/>
        <v>0</v>
      </c>
      <c r="AE83" s="1185">
        <f>D83</f>
        <v>4</v>
      </c>
      <c r="AF83" s="2998">
        <f>AF$23</f>
        <v>24</v>
      </c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1601"/>
      <c r="AY83" s="1601"/>
      <c r="BC83" s="1602"/>
      <c r="BF83" s="1592"/>
      <c r="BG83" s="1601"/>
      <c r="BH83" s="1601"/>
      <c r="BI83" s="1601"/>
      <c r="BJ83" s="1601"/>
      <c r="BK83" s="1601"/>
      <c r="BL83" s="1601"/>
      <c r="BM83" s="1601"/>
      <c r="BN83" s="1601"/>
      <c r="BO83" s="1601"/>
      <c r="BP83" s="885">
        <f>IF(A83&gt;0,1,0)</f>
        <v>1</v>
      </c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1691">
        <f t="shared" si="61"/>
        <v>9.600395501174145E-3</v>
      </c>
      <c r="CH83" s="1590" t="str">
        <f t="shared" si="61"/>
        <v>Xeon Gold 5122 4 core (1 chip) 3600 MHz</v>
      </c>
      <c r="CI83" s="1180">
        <f>F83</f>
        <v>69.75</v>
      </c>
      <c r="CJ83" s="1180">
        <f>G83</f>
        <v>279</v>
      </c>
      <c r="CK83" s="2723"/>
      <c r="CL83" s="1592"/>
      <c r="CM83" s="1594"/>
      <c r="CN83" s="1592"/>
      <c r="CQ83" s="1592"/>
      <c r="CR83" s="1594"/>
      <c r="CU83" s="1592"/>
      <c r="DA83" s="1592"/>
      <c r="DB83" s="1594"/>
      <c r="DE83" s="1592"/>
      <c r="DF83" s="1594"/>
      <c r="DI83" s="1592"/>
      <c r="DJ83" s="1602"/>
      <c r="DK83" s="1602"/>
      <c r="DL83" s="1592"/>
      <c r="DM83" s="1602"/>
      <c r="DN83" s="1594"/>
      <c r="DO83" s="1594"/>
      <c r="DP83" s="394"/>
      <c r="DQ83" s="1602"/>
      <c r="DR83" s="1594"/>
      <c r="DS83" s="1594"/>
      <c r="DT83" s="1415"/>
      <c r="DW83" s="1602"/>
      <c r="DX83" s="1594"/>
      <c r="DY83" s="1415"/>
      <c r="EC83" s="1602"/>
      <c r="ED83" s="1415"/>
      <c r="EH83" s="1594"/>
      <c r="EI83" s="1602"/>
      <c r="EJ83" s="1415"/>
      <c r="EN83" s="1594"/>
      <c r="EO83" s="1602"/>
      <c r="EP83" s="1415"/>
      <c r="ET83" s="1594"/>
      <c r="EU83" s="1602"/>
      <c r="EV83" s="1415"/>
      <c r="EZ83" s="1594"/>
      <c r="FA83" s="1602"/>
      <c r="FB83" s="1415"/>
      <c r="FF83" s="1594"/>
      <c r="FG83" s="1602"/>
      <c r="FH83" s="1415"/>
      <c r="FL83" s="1594"/>
      <c r="FM83" s="1602"/>
      <c r="FN83" s="1415"/>
      <c r="FR83" s="1594"/>
      <c r="FS83" s="1602"/>
      <c r="FT83" s="1415"/>
      <c r="FX83" s="1594"/>
      <c r="FY83" s="1602"/>
      <c r="FZ83" s="1415"/>
      <c r="GD83" s="1594"/>
      <c r="GE83" s="1602"/>
      <c r="GG83" s="1415"/>
      <c r="GJ83" s="1594"/>
      <c r="GK83" s="1602"/>
      <c r="GM83" s="1415"/>
      <c r="GO83" s="1415"/>
      <c r="GP83" s="1594"/>
      <c r="GQ83" s="1602"/>
      <c r="GS83" s="1415"/>
      <c r="GT83" s="1415"/>
    </row>
    <row r="84" spans="1:209" ht="17" outlineLevel="2" thickBot="1" x14ac:dyDescent="0.25">
      <c r="A84" s="2828">
        <f>IF(E82=0,0,GT$22)</f>
        <v>78</v>
      </c>
      <c r="B84" s="3088" t="str">
        <f>"Install ("&amp;C85&amp;M82&amp;N82&amp;O82&amp;M83&amp;N83&amp;M84&amp;N84&amp;")"</f>
        <v>Install (Physical/DBMS)</v>
      </c>
      <c r="C84" s="258">
        <f>IF(E82=0,0, IF(I84=Calculator!$H$160,1,E84/O84)*H82)</f>
        <v>749.96910274367644</v>
      </c>
      <c r="D84" s="140">
        <f>IF(J84=$H$192,J85,0)+IF(E82=0,0,J82*E82)*($BO$2/F83)</f>
        <v>2.9539678465151216E-2</v>
      </c>
      <c r="E84" s="141">
        <f>IF(E82=0,0,L83*60/D84)</f>
        <v>8124.66527972316</v>
      </c>
      <c r="F84" s="142">
        <f>IF(L84=0,0,IF(H84,H84,IF(I84=Calculator!$H$160,A82,IF(N84="/DBMS",1,IF(H85=$I$191,IF(N83="",IF(L84=1,2,L84),L84+1),L84)))))</f>
        <v>1</v>
      </c>
      <c r="G84" s="158">
        <f>IF(E82=0,0,IF(F84&gt;0,+E84*F84,"Nodes?"))</f>
        <v>8124.66527972316</v>
      </c>
      <c r="H84" s="143"/>
      <c r="I84" s="1248" t="s">
        <v>408</v>
      </c>
      <c r="J84" s="2819" t="str">
        <f>J80</f>
        <v xml:space="preserve">Siloed </v>
      </c>
      <c r="K84" s="1604">
        <f>IF(AND(N84="",N83=""),2,4)</f>
        <v>4</v>
      </c>
      <c r="L84" s="1605">
        <f>IF(H84,H84,IF(E82=0,0,IF(A84&gt;0,+INT(A84/(E84*H82))+1,0)))</f>
        <v>1</v>
      </c>
      <c r="M84" s="469" t="str">
        <f>IF(ISERROR(VLOOKUP($K83,$O$5:$O$19,1,FALSE)),IF(ISERROR(VLOOKUP($K83,$O$5:$O$19,1,FALSE)),"","/"&amp;$O$4),"/"&amp;$O$4)</f>
        <v/>
      </c>
      <c r="N84" s="470" t="str">
        <f>IF(ISERROR(VLOOKUP($K83,$Q$5:$Q$19,1,FALSE)),IF(ISERROR(VLOOKUP($K83,$Q$5:$Q$19,1,FALSE)),"","/"&amp;$Q$4),"/"&amp;$Q$4)</f>
        <v>/DBMS</v>
      </c>
      <c r="O84" s="471">
        <f>IF($GS$22&gt;0,$GT$22/$GS$22,0)</f>
        <v>8.6666666666666661</v>
      </c>
      <c r="P84" s="886"/>
      <c r="Q84" s="1714">
        <f>D83/VLOOKUP(B83,HWRange,3,FALSE)</f>
        <v>1</v>
      </c>
      <c r="R84" s="1877">
        <f>P183</f>
        <v>0</v>
      </c>
      <c r="S84" s="1982">
        <f>IF(E82=0,0,H82*A82/A83)</f>
        <v>749.96910274367633</v>
      </c>
      <c r="T84" s="135">
        <v>10000</v>
      </c>
      <c r="U84" s="1608">
        <f>IF(E82=0,0,IF(U85=$I$192,U82,0))</f>
        <v>0</v>
      </c>
      <c r="V84" s="1826">
        <f>IF(G84&gt;0,1,0)</f>
        <v>1</v>
      </c>
      <c r="W84" s="1827">
        <f t="shared" ref="W84:AC84" si="63">IF(V84&gt;0,IF($F84&gt;V84,V84+1,0),0)</f>
        <v>0</v>
      </c>
      <c r="X84" s="1827">
        <f t="shared" si="63"/>
        <v>0</v>
      </c>
      <c r="Y84" s="1827">
        <f t="shared" si="63"/>
        <v>0</v>
      </c>
      <c r="Z84" s="1827">
        <f t="shared" si="63"/>
        <v>0</v>
      </c>
      <c r="AA84" s="1827">
        <f t="shared" si="63"/>
        <v>0</v>
      </c>
      <c r="AB84" s="1827">
        <f t="shared" si="63"/>
        <v>0</v>
      </c>
      <c r="AC84" s="1827">
        <f t="shared" si="63"/>
        <v>0</v>
      </c>
      <c r="AD84" s="1828">
        <f>IF(AC84&gt;0,IF($F84&gt;AC84,"…"&amp;$F84,0),0)</f>
        <v>0</v>
      </c>
      <c r="AE84" s="1829">
        <f>A83</f>
        <v>9.600395501174145E-3</v>
      </c>
      <c r="AF84" s="2978">
        <f>IF(AF83="","",IF(H84=0,0,H84/AF83+IF(H85=$I$191,1,0)))</f>
        <v>0</v>
      </c>
      <c r="AG84" s="1591"/>
      <c r="AH84" s="1591"/>
      <c r="AI84" s="1591"/>
      <c r="AJ84" s="1591"/>
      <c r="AK84" s="1591"/>
      <c r="AL84" s="1591"/>
      <c r="AM84" s="1591"/>
      <c r="AN84" s="1591"/>
      <c r="AO84" s="1591"/>
      <c r="AP84" s="1591"/>
      <c r="AQ84" s="1591"/>
      <c r="AR84" s="1591"/>
      <c r="AS84" s="1591"/>
      <c r="AT84" s="1591"/>
      <c r="AU84" s="1591"/>
      <c r="AV84" s="1591"/>
      <c r="AW84" s="1591"/>
      <c r="BC84" s="1602"/>
      <c r="BF84" s="1592"/>
      <c r="BG84" s="1601"/>
      <c r="BH84" s="1601"/>
      <c r="BI84" s="1601"/>
      <c r="BJ84" s="1601"/>
      <c r="BK84" s="1601"/>
      <c r="BL84" s="1601"/>
      <c r="BM84" s="1601"/>
      <c r="BN84" s="1601"/>
      <c r="BO84" s="1601"/>
      <c r="BP84" s="893"/>
      <c r="BQ84" s="1628"/>
      <c r="BR84" s="1628"/>
      <c r="BS84" s="1628"/>
      <c r="BT84" s="1628"/>
      <c r="BU84" s="1628"/>
      <c r="BV84" s="1629"/>
      <c r="BW84" s="1629"/>
      <c r="BX84" s="1629"/>
      <c r="BY84" s="1629"/>
      <c r="BZ84" s="1629"/>
      <c r="CA84" s="1629"/>
      <c r="CB84" s="1629"/>
      <c r="CC84" s="1629"/>
      <c r="CD84" s="1629"/>
      <c r="CE84" s="1629"/>
      <c r="CF84" s="894"/>
      <c r="CG84" s="1692">
        <f t="shared" si="61"/>
        <v>78</v>
      </c>
      <c r="CH84" s="1693" t="str">
        <f t="shared" si="61"/>
        <v>Install (Physical/DBMS)</v>
      </c>
      <c r="CI84" s="1181">
        <f>F84</f>
        <v>1</v>
      </c>
      <c r="CJ84" s="2719">
        <f>D83</f>
        <v>4</v>
      </c>
      <c r="CK84" s="2724">
        <f>T84</f>
        <v>10000</v>
      </c>
      <c r="CL84" s="1592"/>
      <c r="CM84" s="1594"/>
      <c r="CN84" s="1592"/>
      <c r="CQ84" s="1592"/>
      <c r="CR84" s="1594"/>
      <c r="CU84" s="1592"/>
      <c r="DA84" s="1592"/>
      <c r="DB84" s="1594"/>
      <c r="DE84" s="1592"/>
      <c r="DF84" s="1594"/>
      <c r="DI84" s="1592"/>
      <c r="DJ84" s="1602"/>
      <c r="DK84" s="1602"/>
      <c r="DL84" s="1592"/>
      <c r="DM84" s="1602"/>
      <c r="DN84" s="1594"/>
      <c r="DO84" s="1594"/>
      <c r="DP84" s="394"/>
      <c r="DQ84" s="1602"/>
      <c r="DR84" s="1597"/>
      <c r="DS84" s="1597"/>
      <c r="DT84" s="1415"/>
      <c r="DW84" s="1602"/>
      <c r="DX84" s="1597"/>
      <c r="DY84" s="1415"/>
      <c r="EC84" s="1602"/>
      <c r="ED84" s="1415"/>
      <c r="EH84" s="1597"/>
      <c r="EI84" s="1602"/>
      <c r="EJ84" s="1415"/>
      <c r="EN84" s="1597"/>
      <c r="EO84" s="1602"/>
      <c r="EP84" s="1415"/>
      <c r="ET84" s="1597"/>
      <c r="EU84" s="1602"/>
      <c r="EV84" s="1415"/>
      <c r="EZ84" s="1597"/>
      <c r="FA84" s="1602"/>
      <c r="FB84" s="1415"/>
      <c r="FF84" s="1597"/>
      <c r="FG84" s="1602"/>
      <c r="FH84" s="1415"/>
      <c r="FL84" s="1597"/>
      <c r="FM84" s="1602"/>
      <c r="FN84" s="1415"/>
      <c r="FR84" s="1597"/>
      <c r="FS84" s="1602"/>
      <c r="FT84" s="1415"/>
      <c r="FX84" s="1597"/>
      <c r="FY84" s="1602"/>
      <c r="FZ84" s="1415"/>
      <c r="GD84" s="1597"/>
      <c r="GE84" s="1602"/>
      <c r="GG84" s="1415"/>
      <c r="GJ84" s="1597"/>
      <c r="GK84" s="1602"/>
      <c r="GM84" s="1415"/>
      <c r="GO84" s="1415"/>
      <c r="GP84" s="1597"/>
      <c r="GQ84" s="1602"/>
      <c r="GS84" s="1415"/>
      <c r="GT84" s="1415"/>
    </row>
    <row r="85" spans="1:209" ht="16" outlineLevel="1" thickBot="1" x14ac:dyDescent="0.2">
      <c r="A85" s="916" t="str">
        <f>IF(A84=0,0,ROUND(100*A83,0)&amp;"% CPU")</f>
        <v>1% CPU</v>
      </c>
      <c r="B85" s="917" t="str">
        <f>IF(A84&gt;0,IF(I84=$J$167,K83&amp;": "&amp;F84&amp;"x "&amp;B83&amp;" "&amp;C83&amp;" GB RAM",$K83&amp;": "&amp;$F84&amp;"x VM ("&amp;I83&amp;" core "&amp;C83&amp;" GB RAM) "&amp;Q83&amp;" "&amp;L82&amp;" MHz"),0)</f>
        <v>DBMS: 1x Xeon Gold 5122 4 core (1 chip) 3600 MHz 67 GB RAM</v>
      </c>
      <c r="C85" s="1609" t="str">
        <f>IF(I84=$H$189,I84,I82)</f>
        <v>Physical</v>
      </c>
      <c r="D85" s="918">
        <f>A82</f>
        <v>9</v>
      </c>
      <c r="E85" s="919" t="str">
        <f>IF(E84&gt;0,ROUND(E84*60/1000,0)&amp;"K TPH",0)</f>
        <v>487K TPH</v>
      </c>
      <c r="F85" s="920">
        <f>+L84</f>
        <v>1</v>
      </c>
      <c r="G85" s="919" t="str">
        <f>IF(G84&gt;0,ROUND(G84*60/1000,0)&amp;"K TPH",0)</f>
        <v>487K TPH</v>
      </c>
      <c r="H85" s="921" t="str">
        <f>H$23</f>
        <v>Minimum</v>
      </c>
      <c r="I85" s="1736">
        <f>IF(I84=$J$167,0,I82)</f>
        <v>0</v>
      </c>
      <c r="J85" s="2086">
        <f>IF(AND(O82="/"&amp;$N$4,J84=$H$192),IF(F84&gt;0,(F84-1)*A84/(60*$H$194),0),0)</f>
        <v>0</v>
      </c>
      <c r="K85" s="2086">
        <f>IF(E82&gt;0,D84/E82,0)</f>
        <v>1.0609318996415771</v>
      </c>
      <c r="L85" s="2080">
        <f>IF($W83=$W$167,2,F84)</f>
        <v>1</v>
      </c>
      <c r="M85" s="3134">
        <f>IF(AND(S85&gt;0,I84=$H$189),1,0)</f>
        <v>0</v>
      </c>
      <c r="N85" s="1618"/>
      <c r="O85" s="1618"/>
      <c r="P85" s="922"/>
      <c r="Q85" s="1618"/>
      <c r="R85" s="1618"/>
      <c r="S85" s="3118">
        <f>IF(LEFT(B83,3)=S83,VLOOKUP(B83,HWRange,10,FALSE),0)</f>
        <v>0</v>
      </c>
      <c r="T85" s="940">
        <f>U85</f>
        <v>0</v>
      </c>
      <c r="U85" s="1591"/>
      <c r="V85" s="1918" t="str">
        <f>IF(A83&gt;0,B85&amp;" "&amp;C85&amp;IF(B85="",""," GB RAM"),0)</f>
        <v>DBMS: 1x Xeon Gold 5122 4 core (1 chip) 3600 MHz 67 GB RAM Physical GB RAM</v>
      </c>
      <c r="W85" s="1819"/>
      <c r="X85" s="1819"/>
      <c r="Y85" s="1819"/>
      <c r="Z85" s="1819"/>
      <c r="AA85" s="1819"/>
      <c r="AB85" s="1819"/>
      <c r="AC85" s="1819"/>
      <c r="AD85" s="1819"/>
      <c r="AE85" s="1919">
        <f>IF(A83&gt;0,F83,0)</f>
        <v>69.75</v>
      </c>
      <c r="AF85" s="2876">
        <f>IF(A82=0,0,IF(LEFT(B83,3)=S83,VLOOKUP(B83,HWRange,12,FALSE),0)*F84)</f>
        <v>0</v>
      </c>
      <c r="AG85" s="2877" t="str">
        <f>IF(AF85&gt;0,S83&amp;" 3-yr Pricing","")</f>
        <v/>
      </c>
      <c r="AH85" s="2882"/>
      <c r="AI85" s="2883"/>
      <c r="AJ85" s="1591"/>
      <c r="AK85" s="1591"/>
      <c r="AL85" s="1591"/>
      <c r="AM85" s="1591"/>
      <c r="AN85" s="1591"/>
      <c r="AO85" s="1591"/>
      <c r="AP85" s="1591"/>
      <c r="AQ85" s="1591"/>
      <c r="AR85" s="1591"/>
      <c r="AS85" s="1591"/>
      <c r="AT85" s="1591"/>
      <c r="AU85" s="1591"/>
      <c r="AV85" s="1591"/>
      <c r="AW85" s="1591"/>
      <c r="AX85" s="1601"/>
      <c r="AY85" s="1601"/>
      <c r="BC85" s="1614"/>
      <c r="BF85" s="1592"/>
      <c r="BG85" s="1601"/>
      <c r="BH85" s="1601"/>
      <c r="BI85" s="1906"/>
      <c r="BJ85" s="1601"/>
      <c r="BK85" s="1601"/>
      <c r="BL85" s="1601"/>
      <c r="BM85" s="1601"/>
      <c r="BN85" s="1601"/>
      <c r="BO85" s="1601"/>
      <c r="BP85" s="1773" t="s">
        <v>273</v>
      </c>
      <c r="BQ85" s="1774" t="str">
        <f t="shared" ref="BQ85:BW86" si="64">CY185</f>
        <v>Tier01</v>
      </c>
      <c r="BR85" s="1774" t="str">
        <f t="shared" si="64"/>
        <v>Tier02</v>
      </c>
      <c r="BS85" s="1774" t="str">
        <f t="shared" si="64"/>
        <v>Tier03</v>
      </c>
      <c r="BT85" s="1774" t="str">
        <f t="shared" si="64"/>
        <v>Tier04</v>
      </c>
      <c r="BU85" s="1774" t="str">
        <f t="shared" si="64"/>
        <v>Tier05</v>
      </c>
      <c r="BV85" s="1774" t="str">
        <f t="shared" si="64"/>
        <v>Tier06</v>
      </c>
      <c r="BW85" s="1774" t="str">
        <f t="shared" si="64"/>
        <v>Tier12</v>
      </c>
      <c r="BX85" s="1774" t="str">
        <f t="shared" ref="BX85:CB86" si="65">DB185</f>
        <v>Tier04</v>
      </c>
      <c r="BY85" s="1774" t="str">
        <f t="shared" si="65"/>
        <v>Tier05</v>
      </c>
      <c r="BZ85" s="1774" t="str">
        <f t="shared" si="65"/>
        <v>Tier06</v>
      </c>
      <c r="CA85" s="1774" t="str">
        <f t="shared" si="65"/>
        <v>Tier12</v>
      </c>
      <c r="CB85" s="1774" t="str">
        <f t="shared" si="65"/>
        <v>Web</v>
      </c>
      <c r="CC85" s="1774" t="str">
        <f t="shared" ref="CC85:CE86" si="66">DF185</f>
        <v>Web</v>
      </c>
      <c r="CD85" s="1774" t="str">
        <f t="shared" si="66"/>
        <v>GIS</v>
      </c>
      <c r="CE85" s="1774" t="str">
        <f t="shared" si="66"/>
        <v>DBMS</v>
      </c>
      <c r="CF85" s="1619"/>
      <c r="CG85" s="3403" t="str">
        <f>B85</f>
        <v>DBMS: 1x Xeon Gold 5122 4 core (1 chip) 3600 MHz 67 GB RAM</v>
      </c>
      <c r="CH85" s="3404"/>
      <c r="CI85" s="3404"/>
      <c r="CJ85" s="3404"/>
      <c r="CK85" s="2723"/>
      <c r="CL85" s="1592"/>
      <c r="CM85" s="1594"/>
      <c r="CN85" s="1592"/>
      <c r="CQ85" s="1592"/>
      <c r="CR85" s="1594"/>
      <c r="CU85" s="1592"/>
      <c r="DA85" s="1592"/>
      <c r="DB85" s="1594"/>
      <c r="DE85" s="1592"/>
      <c r="DF85" s="1594"/>
      <c r="DI85" s="1592"/>
      <c r="DJ85" s="1614"/>
      <c r="DK85" s="1614"/>
      <c r="DL85" s="1592"/>
      <c r="DM85" s="1614"/>
      <c r="DN85" s="1594"/>
      <c r="DO85" s="1594"/>
      <c r="DP85" s="394"/>
      <c r="DQ85" s="1614"/>
      <c r="DR85" s="1597"/>
      <c r="DS85" s="1597"/>
      <c r="DT85" s="1415"/>
      <c r="DW85" s="1614"/>
      <c r="DX85" s="1597"/>
      <c r="DY85" s="1415"/>
      <c r="EC85" s="1614"/>
      <c r="ED85" s="1415"/>
      <c r="EH85" s="1597"/>
      <c r="EI85" s="1614"/>
      <c r="EJ85" s="1415"/>
      <c r="EN85" s="1597"/>
      <c r="EO85" s="1614"/>
      <c r="EP85" s="1415"/>
      <c r="ET85" s="1597"/>
      <c r="EU85" s="1614"/>
      <c r="EV85" s="1415"/>
      <c r="EZ85" s="1597"/>
      <c r="FA85" s="1614"/>
      <c r="FB85" s="1415"/>
      <c r="FF85" s="1597"/>
      <c r="FG85" s="1614"/>
      <c r="FH85" s="1415"/>
      <c r="FL85" s="1597"/>
      <c r="FM85" s="1614"/>
      <c r="FN85" s="1415"/>
      <c r="FR85" s="1597"/>
      <c r="FS85" s="1614"/>
      <c r="FT85" s="1415"/>
      <c r="FX85" s="1597"/>
      <c r="FY85" s="1614"/>
      <c r="FZ85" s="1415"/>
      <c r="GD85" s="1597"/>
      <c r="GE85" s="1614"/>
      <c r="GG85" s="1415"/>
      <c r="GJ85" s="1597"/>
      <c r="GK85" s="1614"/>
      <c r="GM85" s="1415"/>
      <c r="GO85" s="1415"/>
      <c r="GP85" s="1597"/>
      <c r="GQ85" s="1614"/>
      <c r="GS85" s="1415"/>
      <c r="GT85" s="1415"/>
    </row>
    <row r="86" spans="1:209" ht="16" thickTop="1" thickBot="1" x14ac:dyDescent="0.2">
      <c r="A86" s="2806" t="s">
        <v>1461</v>
      </c>
      <c r="B86" s="2807" t="s">
        <v>371</v>
      </c>
      <c r="C86" s="2808"/>
      <c r="D86" s="2809"/>
      <c r="E86" s="2810"/>
      <c r="F86" s="2811"/>
      <c r="G86" s="2810"/>
      <c r="H86" s="2812"/>
      <c r="I86" s="2812"/>
      <c r="J86" s="2812"/>
      <c r="K86" s="2812"/>
      <c r="L86" s="2812"/>
      <c r="M86" s="2812"/>
      <c r="N86" s="2812"/>
      <c r="O86" s="2812"/>
      <c r="P86" s="2812"/>
      <c r="Q86" s="2812"/>
      <c r="R86" s="2812"/>
      <c r="S86" s="2813"/>
      <c r="T86" s="135">
        <v>10000</v>
      </c>
      <c r="U86" s="1917">
        <f>GX22</f>
        <v>0</v>
      </c>
      <c r="V86" s="2313"/>
      <c r="W86" s="2314"/>
      <c r="X86" s="2315" t="str">
        <f>B131</f>
        <v>TOTAL HARDWARE =</v>
      </c>
      <c r="Y86" s="2871">
        <f>C131</f>
        <v>40234</v>
      </c>
      <c r="Z86" s="3405" t="s">
        <v>1219</v>
      </c>
      <c r="AA86" s="3405"/>
      <c r="AB86" s="2871">
        <f>G131</f>
        <v>0</v>
      </c>
      <c r="AC86" s="2872"/>
      <c r="AD86" s="2872" t="s">
        <v>1550</v>
      </c>
      <c r="AE86" s="2996">
        <f>I131</f>
        <v>5785.5477862682101</v>
      </c>
      <c r="AF86" s="2879">
        <f>AF85+AF81+AF77+AF73+AF69+AF64+AF60+AF56+AF52+AF48+AF43+AF39+AF35+AF31+AF27</f>
        <v>0</v>
      </c>
      <c r="AG86" s="2880" t="str">
        <f>IF(AF86&gt;0,"Total AMI 3-yr Pricing","")</f>
        <v/>
      </c>
      <c r="AH86" s="2878"/>
      <c r="AI86" s="2855"/>
      <c r="BG86" s="1590"/>
      <c r="BH86" s="1590"/>
      <c r="BI86" s="1590"/>
      <c r="BJ86" s="1590"/>
      <c r="BK86" s="1590"/>
      <c r="BL86" s="1590"/>
      <c r="BM86" s="1590"/>
      <c r="BN86" s="1590"/>
      <c r="BO86" s="1590"/>
      <c r="BP86" s="1724">
        <f>SUM(BQ86:CE86)</f>
        <v>4</v>
      </c>
      <c r="BQ86" s="1725">
        <f t="shared" si="64"/>
        <v>0</v>
      </c>
      <c r="BR86" s="1725">
        <f t="shared" si="64"/>
        <v>0</v>
      </c>
      <c r="BS86" s="1725">
        <f t="shared" si="64"/>
        <v>0</v>
      </c>
      <c r="BT86" s="1725">
        <f t="shared" si="64"/>
        <v>0</v>
      </c>
      <c r="BU86" s="1725">
        <f t="shared" si="64"/>
        <v>0</v>
      </c>
      <c r="BV86" s="1725">
        <f t="shared" si="64"/>
        <v>0</v>
      </c>
      <c r="BW86" s="1725">
        <f t="shared" si="64"/>
        <v>0</v>
      </c>
      <c r="BX86" s="1725">
        <f t="shared" si="65"/>
        <v>0</v>
      </c>
      <c r="BY86" s="1725">
        <f t="shared" si="65"/>
        <v>0</v>
      </c>
      <c r="BZ86" s="1725">
        <f t="shared" si="65"/>
        <v>0</v>
      </c>
      <c r="CA86" s="1725">
        <f t="shared" si="65"/>
        <v>0</v>
      </c>
      <c r="CB86" s="1725">
        <f t="shared" si="65"/>
        <v>1</v>
      </c>
      <c r="CC86" s="1725">
        <f t="shared" si="66"/>
        <v>1</v>
      </c>
      <c r="CD86" s="1725">
        <f t="shared" si="66"/>
        <v>1</v>
      </c>
      <c r="CE86" s="1725">
        <f t="shared" si="66"/>
        <v>1</v>
      </c>
      <c r="CF86" s="1726"/>
      <c r="CG86" s="1694"/>
      <c r="CH86" s="1695" t="s">
        <v>525</v>
      </c>
      <c r="CI86" s="1696">
        <f>CI84+CI80+CI76+CI72+CI47+CI42+CI38+CI34+CI30+CI26</f>
        <v>3</v>
      </c>
      <c r="CJ86" s="2720">
        <f>CJ84+CJ80+CJ76+CJ72+CJ47+CJ42+CJ38+CJ34+CJ30+CJ26</f>
        <v>12</v>
      </c>
      <c r="CK86" s="2723"/>
      <c r="DL86" s="1630"/>
      <c r="DM86" s="1590"/>
      <c r="DN86" s="1590"/>
      <c r="DO86" s="1590"/>
      <c r="DP86" s="1590"/>
      <c r="DS86" s="1415"/>
      <c r="DT86" s="1597"/>
      <c r="DU86" s="1597"/>
      <c r="DV86" s="1592"/>
      <c r="DX86" s="1415"/>
      <c r="DY86" s="1597"/>
      <c r="DZ86" s="1597"/>
      <c r="EA86" s="1592"/>
      <c r="ED86" s="1597"/>
      <c r="EE86" s="1597"/>
      <c r="EF86" s="1592"/>
      <c r="EH86" s="1415"/>
      <c r="EJ86" s="1597"/>
      <c r="EK86" s="1597"/>
      <c r="EL86" s="1592"/>
      <c r="EN86" s="1415"/>
      <c r="EP86" s="1597"/>
      <c r="EQ86" s="1597"/>
      <c r="ER86" s="1592"/>
      <c r="ET86" s="1415"/>
      <c r="EV86" s="1597"/>
      <c r="EW86" s="1597"/>
      <c r="EX86" s="1592"/>
      <c r="EZ86" s="1415"/>
      <c r="FB86" s="1597"/>
      <c r="FC86" s="1597"/>
      <c r="FD86" s="1592"/>
      <c r="FF86" s="1415"/>
      <c r="FH86" s="1597"/>
      <c r="FI86" s="1597"/>
      <c r="FJ86" s="1592"/>
      <c r="FL86" s="1415"/>
      <c r="FN86" s="1597"/>
      <c r="FO86" s="1597"/>
      <c r="FP86" s="1592"/>
      <c r="FR86" s="1415"/>
      <c r="FT86" s="1597"/>
      <c r="FU86" s="1597"/>
      <c r="FV86" s="1592"/>
      <c r="FX86" s="1415"/>
      <c r="FZ86" s="1597"/>
      <c r="GA86" s="1597"/>
      <c r="GB86" s="1592"/>
      <c r="GD86" s="1415"/>
      <c r="GF86" s="1597"/>
      <c r="GG86" s="1597"/>
      <c r="GH86" s="1590"/>
      <c r="GI86" s="1592"/>
      <c r="GJ86" s="1415"/>
      <c r="GL86" s="1597"/>
      <c r="GM86" s="1597"/>
      <c r="GN86" s="1590"/>
      <c r="GP86" s="1415"/>
      <c r="GR86" s="1597"/>
      <c r="GU86" s="1590"/>
      <c r="GV86" s="1600"/>
      <c r="HA86" s="390"/>
    </row>
    <row r="87" spans="1:209" s="390" customFormat="1" x14ac:dyDescent="0.15">
      <c r="A87" s="2311" t="str">
        <f>BP87&amp;" Tier"</f>
        <v>0 Tier</v>
      </c>
      <c r="B87" s="2310" t="s">
        <v>1211</v>
      </c>
      <c r="C87" s="1707" t="s">
        <v>723</v>
      </c>
      <c r="D87" s="1708" t="s">
        <v>1241</v>
      </c>
      <c r="E87" s="1708" t="s">
        <v>724</v>
      </c>
      <c r="F87" s="1709" t="s">
        <v>725</v>
      </c>
      <c r="G87" s="1709"/>
      <c r="H87" s="1708" t="s">
        <v>65</v>
      </c>
      <c r="I87" s="1708" t="s">
        <v>726</v>
      </c>
      <c r="J87" s="1710" t="s">
        <v>408</v>
      </c>
      <c r="K87" s="1711" t="s">
        <v>718</v>
      </c>
      <c r="L87" s="1712"/>
      <c r="M87" s="1712"/>
      <c r="N87" s="1712"/>
      <c r="O87" s="1712"/>
      <c r="P87" s="1712"/>
      <c r="Q87" s="1713"/>
      <c r="R87" s="1712"/>
      <c r="S87" s="1713"/>
      <c r="T87" s="1712"/>
      <c r="U87" s="1735"/>
      <c r="V87" s="1864" t="str">
        <f>BP87&amp;" Tier Host Platform Solution"</f>
        <v>0 Tier Host Platform Solution</v>
      </c>
      <c r="W87" s="1183"/>
      <c r="X87" s="1183"/>
      <c r="Y87" s="1183"/>
      <c r="Z87" s="1188"/>
      <c r="AA87" s="3406">
        <f>F89+F92+F95</f>
        <v>0</v>
      </c>
      <c r="AB87" s="3407"/>
      <c r="AC87" s="3408">
        <f>R89+R92+R95</f>
        <v>0</v>
      </c>
      <c r="AD87" s="3408"/>
      <c r="AE87" s="2854">
        <f>AE88+AE91+AE94</f>
        <v>0</v>
      </c>
      <c r="AF87" s="2199" t="s">
        <v>1491</v>
      </c>
      <c r="AG87" s="1415"/>
      <c r="AH87" s="1415"/>
      <c r="AI87" s="1415"/>
      <c r="AJ87" s="1415"/>
      <c r="AK87" s="1415"/>
      <c r="AL87" s="1415"/>
      <c r="AM87" s="1415"/>
      <c r="AN87" s="1415"/>
      <c r="AO87" s="1415"/>
      <c r="AP87" s="1415"/>
      <c r="AQ87" s="1415"/>
      <c r="AR87" s="1415"/>
      <c r="AS87" s="1415"/>
      <c r="AT87" s="1415"/>
      <c r="AU87" s="1415"/>
      <c r="AV87" s="1415"/>
      <c r="AW87" s="1415"/>
      <c r="AX87" s="1415"/>
      <c r="AY87" s="1415"/>
      <c r="AZ87" s="1415"/>
      <c r="BA87" s="1415"/>
      <c r="BB87" s="1415"/>
      <c r="BC87" s="392"/>
      <c r="BD87" s="392"/>
      <c r="BE87" s="392"/>
      <c r="BG87" s="393"/>
      <c r="BH87" s="393"/>
      <c r="BI87" s="393"/>
      <c r="BJ87" s="393"/>
      <c r="BK87" s="393"/>
      <c r="BL87" s="393"/>
      <c r="BM87" s="393"/>
      <c r="BN87" s="393"/>
      <c r="BO87" s="393"/>
      <c r="BP87" s="1741">
        <f>SUM(BP88:BP102)</f>
        <v>0</v>
      </c>
      <c r="BQ87" s="1742"/>
      <c r="BR87" s="1742"/>
      <c r="BS87" s="1742"/>
      <c r="BT87" s="1742"/>
      <c r="BU87" s="1742"/>
      <c r="BV87" s="1743"/>
      <c r="BW87" s="1743"/>
      <c r="BX87" s="1743"/>
      <c r="BY87" s="1743"/>
      <c r="BZ87" s="1743"/>
      <c r="CA87" s="1743"/>
      <c r="CB87" s="1743"/>
      <c r="CC87" s="1743"/>
      <c r="CD87" s="1743"/>
      <c r="CE87" s="1743"/>
      <c r="CF87" s="1743"/>
      <c r="CG87" s="1685" t="str">
        <f>BP87&amp;" Tier"</f>
        <v>0 Tier</v>
      </c>
      <c r="CH87" s="1686" t="s">
        <v>729</v>
      </c>
      <c r="CI87" s="1687"/>
      <c r="CJ87" s="2721"/>
      <c r="CK87" s="2725"/>
      <c r="DJ87" s="392"/>
      <c r="DK87" s="392"/>
      <c r="DL87" s="392"/>
      <c r="DM87" s="392"/>
      <c r="DN87" s="392"/>
      <c r="DO87" s="392"/>
      <c r="DP87" s="392"/>
      <c r="DQ87" s="392"/>
      <c r="DT87" s="394"/>
      <c r="DU87" s="394"/>
      <c r="DW87" s="392"/>
      <c r="DY87" s="394"/>
      <c r="DZ87" s="394"/>
      <c r="EC87" s="392"/>
      <c r="ED87" s="394"/>
      <c r="EE87" s="394"/>
      <c r="EI87" s="392"/>
      <c r="EJ87" s="394"/>
      <c r="EK87" s="394"/>
      <c r="EO87" s="392"/>
      <c r="EP87" s="394"/>
      <c r="EQ87" s="394"/>
      <c r="EU87" s="392"/>
      <c r="EV87" s="394"/>
      <c r="EW87" s="394"/>
      <c r="FA87" s="392"/>
      <c r="FB87" s="394"/>
      <c r="FC87" s="394"/>
      <c r="FG87" s="392"/>
      <c r="FH87" s="394"/>
      <c r="FI87" s="394"/>
      <c r="FM87" s="392"/>
      <c r="FN87" s="394"/>
      <c r="FO87" s="394"/>
      <c r="FS87" s="392"/>
      <c r="FT87" s="394"/>
      <c r="FU87" s="394"/>
      <c r="FY87" s="392"/>
      <c r="FZ87" s="394"/>
      <c r="GA87" s="394"/>
      <c r="GE87" s="392"/>
      <c r="GF87" s="394"/>
      <c r="GG87" s="392"/>
      <c r="GH87" s="394"/>
      <c r="GK87" s="392"/>
      <c r="GL87" s="394"/>
      <c r="GM87" s="392"/>
      <c r="GN87" s="394"/>
      <c r="GP87" s="394"/>
      <c r="GQ87" s="392"/>
      <c r="GR87" s="394"/>
      <c r="GS87" s="392"/>
      <c r="GT87" s="392"/>
      <c r="GU87" s="394"/>
      <c r="HA87" s="12"/>
    </row>
    <row r="88" spans="1:209" s="12" customFormat="1" ht="16" hidden="1" outlineLevel="2" thickBot="1" x14ac:dyDescent="0.25">
      <c r="A88" s="1786">
        <f>IF(J89=0,0,D89/G89)</f>
        <v>0</v>
      </c>
      <c r="B88" s="2967" t="s">
        <v>716</v>
      </c>
      <c r="C88" s="1787">
        <f>IF(F89=0,0,ROUNDUP(MAX(L88*3,$N$185/L89),0)+L88)</f>
        <v>0</v>
      </c>
      <c r="D88" s="1788">
        <f>F89*L88</f>
        <v>0</v>
      </c>
      <c r="E88" s="1789">
        <f>O185</f>
        <v>0</v>
      </c>
      <c r="F88" s="1790">
        <f>VLOOKUP(B89,HWRange,7,FALSE)</f>
        <v>69.75</v>
      </c>
      <c r="G88" s="1791">
        <f>VLOOKUP(B89,HWRange,6,FALSE)</f>
        <v>279</v>
      </c>
      <c r="H88" s="161" t="s">
        <v>365</v>
      </c>
      <c r="I88" s="1792">
        <v>0.8</v>
      </c>
      <c r="J88" s="1793"/>
      <c r="K88" s="1877">
        <f>IF(LEFT(B89,3)=S90,1,P185)</f>
        <v>0</v>
      </c>
      <c r="L88" s="491">
        <f>VLOOKUP(B89,HWRange,3,FALSE)</f>
        <v>4</v>
      </c>
      <c r="M88" s="1794"/>
      <c r="N88" s="1795"/>
      <c r="O88" s="1796"/>
      <c r="P88" s="1797"/>
      <c r="Q88" s="1734">
        <f>IF($A88&lt;0.9999, $A88/((1+$CJ$2*$A88*($L88-1))*(1-$A88)),2000)</f>
        <v>0</v>
      </c>
      <c r="R88" s="1588" t="s">
        <v>412</v>
      </c>
      <c r="S88" s="1798" t="s">
        <v>366</v>
      </c>
      <c r="T88" s="135">
        <v>10000</v>
      </c>
      <c r="U88" s="1831">
        <f>IF(J89&gt;0,IF(AND(M89="",N89=""),GI$22/F89,GJ$22/F89),0)</f>
        <v>0</v>
      </c>
      <c r="V88" s="2968">
        <f>IF(V89=0,0,$A88)</f>
        <v>0</v>
      </c>
      <c r="W88" s="2969">
        <f t="shared" ref="W88:AB88" si="67">IF(W89=0,0,$A88)</f>
        <v>0</v>
      </c>
      <c r="X88" s="2968">
        <f t="shared" si="67"/>
        <v>0</v>
      </c>
      <c r="Y88" s="2968">
        <f t="shared" si="67"/>
        <v>0</v>
      </c>
      <c r="Z88" s="2968">
        <f t="shared" si="67"/>
        <v>0</v>
      </c>
      <c r="AA88" s="2968">
        <f t="shared" si="67"/>
        <v>0</v>
      </c>
      <c r="AB88" s="2968">
        <f t="shared" si="67"/>
        <v>0</v>
      </c>
      <c r="AC88" s="2970">
        <f>IF(AC89=0,0,$A88)</f>
        <v>0</v>
      </c>
      <c r="AD88" s="1830">
        <f>E88</f>
        <v>0</v>
      </c>
      <c r="AE88" s="2856">
        <f>D88</f>
        <v>0</v>
      </c>
      <c r="AF88" s="2975" t="str">
        <f>IF(H89&gt;0,D88*(1-A88)*(2-$H$195),"")</f>
        <v/>
      </c>
      <c r="AG88" s="1415"/>
      <c r="AH88" s="1415"/>
      <c r="AI88" s="1415"/>
      <c r="AJ88" s="1415"/>
      <c r="AK88" s="1415"/>
      <c r="AL88" s="1415"/>
      <c r="AM88" s="1415"/>
      <c r="AN88" s="1415"/>
      <c r="AO88" s="1415"/>
      <c r="AP88" s="1415"/>
      <c r="AQ88" s="1415"/>
      <c r="AR88" s="1415"/>
      <c r="AS88" s="1415"/>
      <c r="AT88" s="1415"/>
      <c r="AU88" s="1415"/>
      <c r="AV88" s="1415"/>
      <c r="AW88" s="1415"/>
      <c r="AX88" s="1415"/>
      <c r="AY88" s="1415"/>
      <c r="AZ88" s="1415"/>
      <c r="BA88" s="1415"/>
      <c r="BB88" s="1415"/>
      <c r="BC88" s="20"/>
      <c r="BF88" s="13"/>
      <c r="BG88" s="15"/>
      <c r="BH88" s="15"/>
      <c r="BI88" s="15"/>
      <c r="BJ88" s="15"/>
      <c r="BK88" s="15"/>
      <c r="BL88" s="15"/>
      <c r="BM88" s="15"/>
      <c r="BN88" s="15"/>
      <c r="BO88" s="15"/>
      <c r="BP88" s="1799">
        <f>IF(A88&gt;0,1,0)</f>
        <v>0</v>
      </c>
      <c r="BQ88" s="892"/>
      <c r="BR88" s="892"/>
      <c r="BS88" s="892"/>
      <c r="BT88" s="892"/>
      <c r="BU88" s="892"/>
      <c r="BV88" s="892"/>
      <c r="BW88" s="892"/>
      <c r="BX88" s="892"/>
      <c r="BY88" s="892"/>
      <c r="BZ88" s="892"/>
      <c r="CA88" s="892"/>
      <c r="CB88" s="892"/>
      <c r="CC88" s="892"/>
      <c r="CD88" s="892"/>
      <c r="CE88" s="892"/>
      <c r="CF88" s="892"/>
      <c r="CG88" s="1691">
        <f>A88</f>
        <v>0</v>
      </c>
      <c r="CH88" s="14" t="str">
        <f>B89</f>
        <v>Xeon Gold 5122 4 core (1 chip) 3600 MHz</v>
      </c>
      <c r="CI88" s="1180">
        <f>F88</f>
        <v>69.75</v>
      </c>
      <c r="CJ88" s="1180">
        <f>G88</f>
        <v>279</v>
      </c>
      <c r="CK88" s="2724">
        <f>T88</f>
        <v>10000</v>
      </c>
      <c r="CL88" s="13"/>
      <c r="CM88" s="18"/>
      <c r="CN88" s="13"/>
      <c r="CQ88" s="13"/>
      <c r="CR88" s="18"/>
      <c r="CU88" s="13"/>
      <c r="DA88" s="13"/>
      <c r="DB88" s="18"/>
      <c r="DE88" s="13"/>
      <c r="DF88" s="18"/>
      <c r="DI88" s="13"/>
      <c r="DJ88" s="20"/>
      <c r="DK88" s="20"/>
      <c r="DL88" s="13"/>
      <c r="DM88" s="20"/>
      <c r="DN88" s="18"/>
      <c r="DO88" s="18"/>
      <c r="DP88" s="19"/>
      <c r="DQ88" s="20"/>
      <c r="DR88" s="18"/>
      <c r="DS88" s="18"/>
      <c r="DW88" s="20"/>
      <c r="DX88" s="18"/>
      <c r="EC88" s="20"/>
      <c r="EH88" s="18"/>
      <c r="EI88" s="20"/>
      <c r="EN88" s="18"/>
      <c r="EO88" s="20"/>
      <c r="ET88" s="18"/>
      <c r="EU88" s="20"/>
      <c r="EZ88" s="18"/>
      <c r="FA88" s="20"/>
      <c r="FF88" s="18"/>
      <c r="FG88" s="20"/>
      <c r="FL88" s="18"/>
      <c r="FM88" s="20"/>
      <c r="FR88" s="18"/>
      <c r="FS88" s="20"/>
      <c r="FX88" s="18"/>
      <c r="FY88" s="20"/>
      <c r="GD88" s="18"/>
      <c r="GE88" s="20"/>
      <c r="GJ88" s="18"/>
      <c r="GK88" s="20"/>
      <c r="GP88" s="18"/>
      <c r="GQ88" s="20"/>
    </row>
    <row r="89" spans="1:209" s="12" customFormat="1" ht="14" hidden="1" outlineLevel="2" thickBot="1" x14ac:dyDescent="0.2">
      <c r="A89" s="1800"/>
      <c r="B89" s="156" t="str">
        <f>B67</f>
        <v>Xeon Gold 5122 4 core (1 chip) 3600 MHz</v>
      </c>
      <c r="C89" s="258" t="str">
        <f>A188</f>
        <v>Host01</v>
      </c>
      <c r="D89" s="1801">
        <f>IF(J89=0,0,J89*($BO$2/F88))</f>
        <v>0</v>
      </c>
      <c r="E89" s="1802">
        <f>IF(J89=0,0,L88*60)</f>
        <v>0</v>
      </c>
      <c r="F89" s="142">
        <f>IF(J89=0,0,IF(H89,H89,IF(H90=$I$191,L89+1,L89)))</f>
        <v>0</v>
      </c>
      <c r="G89" s="1803">
        <f>IF(J89=0,0,IF(F89&gt;0,+E89*F89,"Nodes?"))</f>
        <v>0</v>
      </c>
      <c r="H89" s="143"/>
      <c r="I89" s="1861" t="s">
        <v>408</v>
      </c>
      <c r="J89" s="2391">
        <f>$H$195*$M$185</f>
        <v>0</v>
      </c>
      <c r="K89" s="1804">
        <f>IF(AND(N89="",N88=""),2,4)</f>
        <v>2</v>
      </c>
      <c r="L89" s="1805">
        <f>IF(H89,H89,IF(J89=0,1,IF(D89&gt;0,+INT(D89/(E89*I88))+1,1)))</f>
        <v>1</v>
      </c>
      <c r="M89" s="1806"/>
      <c r="N89" s="1807"/>
      <c r="O89" s="1808"/>
      <c r="P89" s="1809"/>
      <c r="Q89" s="1246" t="str">
        <f>VLOOKUP(B89,HWRange,2,FALSE)</f>
        <v>Xeon Gold 5122</v>
      </c>
      <c r="R89" s="1810">
        <f>F89*VLOOKUP(B89,HWRange,8,FALSE)</f>
        <v>0</v>
      </c>
      <c r="S89" s="1981" t="str">
        <f>IF(D89&gt;0,I88*$Q$185/A88-1,"")</f>
        <v/>
      </c>
      <c r="T89" s="135">
        <v>10000</v>
      </c>
      <c r="U89" s="1608">
        <f>IF(J89=0,0,IF(U90=$I$192,U88,0))</f>
        <v>0</v>
      </c>
      <c r="V89" s="2971">
        <f>IF(G89&gt;0,1,0)</f>
        <v>0</v>
      </c>
      <c r="W89" s="2972">
        <f t="shared" ref="W89:AB89" si="68">IF(V89&gt;0,IF($F89&gt;V89,V89+1,0),0)</f>
        <v>0</v>
      </c>
      <c r="X89" s="2972">
        <f t="shared" si="68"/>
        <v>0</v>
      </c>
      <c r="Y89" s="2972">
        <f t="shared" si="68"/>
        <v>0</v>
      </c>
      <c r="Z89" s="2972">
        <f t="shared" si="68"/>
        <v>0</v>
      </c>
      <c r="AA89" s="2972">
        <f t="shared" si="68"/>
        <v>0</v>
      </c>
      <c r="AB89" s="2972">
        <f t="shared" si="68"/>
        <v>0</v>
      </c>
      <c r="AC89" s="2973">
        <f>IF(AB89&gt;0,IF($F89&gt;AB89,"…"&amp;$F89,0),0)</f>
        <v>0</v>
      </c>
      <c r="AD89" s="1916">
        <f>F89</f>
        <v>0</v>
      </c>
      <c r="AE89" s="2857">
        <f>A88</f>
        <v>0</v>
      </c>
      <c r="AF89" s="2998">
        <f>AF$23</f>
        <v>24</v>
      </c>
      <c r="AG89" s="1415"/>
      <c r="AH89" s="1415"/>
      <c r="AI89" s="1415"/>
      <c r="AJ89" s="1415"/>
      <c r="AK89" s="1415"/>
      <c r="AL89" s="1415"/>
      <c r="AM89" s="1415"/>
      <c r="AN89" s="1415"/>
      <c r="AO89" s="1415"/>
      <c r="AP89" s="1415"/>
      <c r="AQ89" s="1415"/>
      <c r="AR89" s="1415"/>
      <c r="AS89" s="1415"/>
      <c r="AT89" s="1415"/>
      <c r="AU89" s="1415"/>
      <c r="AV89" s="1415"/>
      <c r="AW89" s="1415"/>
      <c r="AX89" s="1415"/>
      <c r="AY89" s="1415"/>
      <c r="AZ89" s="1415"/>
      <c r="BA89" s="1415"/>
      <c r="BB89" s="1415"/>
      <c r="BC89" s="20"/>
      <c r="BF89" s="13"/>
      <c r="BG89" s="15"/>
      <c r="BH89" s="15"/>
      <c r="BI89" s="15"/>
      <c r="BJ89" s="15"/>
      <c r="BK89" s="15"/>
      <c r="BL89" s="15"/>
      <c r="BM89" s="15"/>
      <c r="BN89" s="15"/>
      <c r="BO89" s="15"/>
      <c r="BP89" s="1811"/>
      <c r="BQ89" s="890"/>
      <c r="BR89" s="890"/>
      <c r="BS89" s="890"/>
      <c r="BT89" s="890"/>
      <c r="BU89" s="890"/>
      <c r="BV89" s="890"/>
      <c r="BW89" s="890"/>
      <c r="BX89" s="890"/>
      <c r="BY89" s="890"/>
      <c r="BZ89" s="890"/>
      <c r="CA89" s="890"/>
      <c r="CB89" s="890"/>
      <c r="CC89" s="890"/>
      <c r="CD89" s="890"/>
      <c r="CE89" s="890"/>
      <c r="CF89" s="1811"/>
      <c r="CG89" s="1697" t="str">
        <f>IF(ISERROR(FIND(":",B88)),B88,LEFT(B88,FIND(":",B88)-1))</f>
        <v>Host01</v>
      </c>
      <c r="CH89" s="1698" t="str">
        <f>J90&amp;" physical and "&amp;K90&amp;" virtual core"</f>
        <v>0 physical and 0 virtual core</v>
      </c>
      <c r="CI89" s="1181">
        <f>F89</f>
        <v>0</v>
      </c>
      <c r="CJ89" s="2719">
        <f>D88</f>
        <v>0</v>
      </c>
      <c r="CK89" s="2724">
        <f>T89</f>
        <v>10000</v>
      </c>
      <c r="CL89" s="13"/>
      <c r="CM89" s="18"/>
      <c r="CN89" s="13"/>
      <c r="CQ89" s="13"/>
      <c r="CR89" s="18"/>
      <c r="CU89" s="13"/>
      <c r="DA89" s="13"/>
      <c r="DB89" s="18"/>
      <c r="DE89" s="13"/>
      <c r="DF89" s="18"/>
      <c r="DI89" s="13"/>
      <c r="DJ89" s="20"/>
      <c r="DK89" s="20"/>
      <c r="DL89" s="13"/>
      <c r="DM89" s="20"/>
      <c r="DN89" s="18"/>
      <c r="DO89" s="18"/>
      <c r="DP89" s="19"/>
      <c r="DQ89" s="20"/>
      <c r="DR89" s="21"/>
      <c r="DS89" s="21"/>
      <c r="DW89" s="20"/>
      <c r="DX89" s="21"/>
      <c r="EC89" s="20"/>
      <c r="EH89" s="21"/>
      <c r="EI89" s="20"/>
      <c r="EN89" s="21"/>
      <c r="EO89" s="20"/>
      <c r="ET89" s="21"/>
      <c r="EU89" s="20"/>
      <c r="EZ89" s="21"/>
      <c r="FA89" s="20"/>
      <c r="FF89" s="21"/>
      <c r="FG89" s="20"/>
      <c r="FL89" s="21"/>
      <c r="FM89" s="20"/>
      <c r="FR89" s="21"/>
      <c r="FS89" s="20"/>
      <c r="FX89" s="21"/>
      <c r="FY89" s="20"/>
      <c r="GD89" s="21"/>
      <c r="GE89" s="20"/>
      <c r="GJ89" s="21"/>
      <c r="GK89" s="20"/>
      <c r="GP89" s="21"/>
      <c r="GQ89" s="20"/>
    </row>
    <row r="90" spans="1:209" s="12" customFormat="1" ht="14" hidden="1" outlineLevel="1" collapsed="1" x14ac:dyDescent="0.2">
      <c r="A90" s="916">
        <f>IF(A88=0,0,ROUND(100*A88,0)&amp;"% CPU")</f>
        <v>0</v>
      </c>
      <c r="B90" s="917">
        <f>IF(A88&gt;0,$A$188&amp;": "&amp;F89&amp;"x "&amp;B89&amp;" "&amp;C88&amp;" GB RAM",0)</f>
        <v>0</v>
      </c>
      <c r="C90" s="1775">
        <f>IF(A88&gt;0,IF(B90="","",R88),0)</f>
        <v>0</v>
      </c>
      <c r="D90" s="1776">
        <f>IF(D89&gt;0,ROUND(D89*60/1000,0)&amp;"K sec",0)</f>
        <v>0</v>
      </c>
      <c r="E90" s="1777">
        <f>IF(E89&gt;0,ROUND(E89*60/1000,0)&amp;"K sec/hr",0)</f>
        <v>0</v>
      </c>
      <c r="F90" s="920">
        <f>F89</f>
        <v>0</v>
      </c>
      <c r="G90" s="1777">
        <f>IF(G89&gt;0,ROUND(G89*60/1000,0)&amp;"K sec/hr",0)</f>
        <v>0</v>
      </c>
      <c r="H90" s="921" t="str">
        <f>H85</f>
        <v>Minimum</v>
      </c>
      <c r="I90" s="1778">
        <f>IF(J90&gt;0,K90&amp;":"&amp;J90,0)</f>
        <v>0</v>
      </c>
      <c r="J90" s="1779">
        <f>D88</f>
        <v>0</v>
      </c>
      <c r="K90" s="1980">
        <f>E88</f>
        <v>0</v>
      </c>
      <c r="L90" s="1780"/>
      <c r="M90" s="2317" t="str">
        <f>A188</f>
        <v>Host01</v>
      </c>
      <c r="N90" s="1781"/>
      <c r="O90" s="1781"/>
      <c r="P90" s="922"/>
      <c r="Q90" s="3110">
        <f>IF(A88&gt;0,R90*F90/D88,0)</f>
        <v>0</v>
      </c>
      <c r="R90" s="3110">
        <f>O185</f>
        <v>0</v>
      </c>
      <c r="S90" s="3109" t="str">
        <f>IF(OR(LEFT(B89,3)="AMI",LEFT(B89,3)="AZI"),LEFT(B89,3),"")</f>
        <v/>
      </c>
      <c r="T90" s="1783" t="str">
        <f>U90</f>
        <v>Data</v>
      </c>
      <c r="U90" s="1821" t="s">
        <v>329</v>
      </c>
      <c r="V90" s="1920">
        <f>IF(A88&gt;0,B90&amp;" "&amp;C90&amp;IF(B90="",""," GB RAM"),0)</f>
        <v>0</v>
      </c>
      <c r="W90" s="1921"/>
      <c r="X90" s="1921"/>
      <c r="Y90" s="1921"/>
      <c r="Z90" s="1921"/>
      <c r="AA90" s="1921"/>
      <c r="AB90" s="1921"/>
      <c r="AC90" s="1921"/>
      <c r="AD90" s="1921"/>
      <c r="AE90" s="2858">
        <f>IF(A88&gt;0,F88,0)</f>
        <v>0</v>
      </c>
      <c r="AF90" s="2875">
        <f>H89*(HWPricing!$I$5+VLOOKUP(AF89,GPU_Pricing,2,FALSE))</f>
        <v>0</v>
      </c>
      <c r="AG90" s="1415"/>
      <c r="AH90" s="1415"/>
      <c r="AI90" s="1415"/>
      <c r="AJ90" s="1415"/>
      <c r="AK90" s="1415"/>
      <c r="AL90" s="1415"/>
      <c r="AM90" s="1415"/>
      <c r="AN90" s="1415"/>
      <c r="AO90" s="1415"/>
      <c r="AP90" s="1415"/>
      <c r="AQ90" s="1415"/>
      <c r="AR90" s="1415"/>
      <c r="AS90" s="1415"/>
      <c r="AT90" s="1415"/>
      <c r="AU90" s="1415"/>
      <c r="AV90" s="1415"/>
      <c r="AW90" s="1415"/>
      <c r="AX90" s="1415"/>
      <c r="AY90" s="1415"/>
      <c r="AZ90" s="1415"/>
      <c r="BA90" s="1415"/>
      <c r="BB90" s="1415"/>
      <c r="BC90" s="4"/>
      <c r="BF90" s="13"/>
      <c r="BG90" s="15"/>
      <c r="BH90" s="15"/>
      <c r="BI90" s="15"/>
      <c r="BJ90" s="15"/>
      <c r="BK90" s="15"/>
      <c r="BL90" s="15"/>
      <c r="BM90" s="15"/>
      <c r="BN90" s="15"/>
      <c r="BO90" s="15"/>
      <c r="BP90" s="1782"/>
      <c r="BQ90" s="923"/>
      <c r="BR90" s="923"/>
      <c r="BS90" s="923"/>
      <c r="BT90" s="923"/>
      <c r="BU90" s="923"/>
      <c r="BV90" s="923"/>
      <c r="BW90" s="923"/>
      <c r="BX90" s="923"/>
      <c r="BY90" s="923"/>
      <c r="BZ90" s="923"/>
      <c r="CA90" s="923"/>
      <c r="CB90" s="923"/>
      <c r="CC90" s="923"/>
      <c r="CD90" s="923"/>
      <c r="CE90" s="923"/>
      <c r="CF90" s="1782"/>
      <c r="CG90" s="3403">
        <f>B90</f>
        <v>0</v>
      </c>
      <c r="CH90" s="3404"/>
      <c r="CI90" s="3404"/>
      <c r="CJ90" s="3404"/>
      <c r="CK90" s="2726"/>
      <c r="CL90" s="13"/>
      <c r="CM90" s="18"/>
      <c r="CN90" s="13"/>
      <c r="CQ90" s="13"/>
      <c r="CR90" s="18"/>
      <c r="CU90" s="13"/>
      <c r="DA90" s="13"/>
      <c r="DB90" s="18"/>
      <c r="DE90" s="13"/>
      <c r="DF90" s="18"/>
      <c r="DI90" s="13"/>
      <c r="DJ90" s="4"/>
      <c r="DK90" s="4"/>
      <c r="DL90" s="13"/>
      <c r="DM90" s="4"/>
      <c r="DN90" s="18"/>
      <c r="DO90" s="18"/>
      <c r="DP90" s="19"/>
      <c r="DQ90" s="4"/>
      <c r="DR90" s="21"/>
      <c r="DS90" s="21"/>
      <c r="DW90" s="4"/>
      <c r="DX90" s="21"/>
      <c r="EC90" s="4"/>
      <c r="EH90" s="21"/>
      <c r="EI90" s="4"/>
      <c r="EN90" s="21"/>
      <c r="EO90" s="4"/>
      <c r="ET90" s="21"/>
      <c r="EU90" s="4"/>
      <c r="EZ90" s="21"/>
      <c r="FA90" s="4"/>
      <c r="FF90" s="21"/>
      <c r="FG90" s="4"/>
      <c r="FL90" s="21"/>
      <c r="FM90" s="4"/>
      <c r="FR90" s="21"/>
      <c r="FS90" s="4"/>
      <c r="FX90" s="21"/>
      <c r="FY90" s="4"/>
      <c r="GD90" s="21"/>
      <c r="GE90" s="4"/>
      <c r="GJ90" s="21"/>
      <c r="GK90" s="4"/>
      <c r="GP90" s="21"/>
      <c r="GQ90" s="4"/>
    </row>
    <row r="91" spans="1:209" s="12" customFormat="1" ht="16" hidden="1" outlineLevel="2" thickBot="1" x14ac:dyDescent="0.25">
      <c r="A91" s="1786">
        <f>IF(J92=0,0,D92/G92)</f>
        <v>0</v>
      </c>
      <c r="B91" s="2967" t="s">
        <v>715</v>
      </c>
      <c r="C91" s="1787">
        <f>IF(F92=0,0,ROUNDUP(MAX(L91*3,$N$186/L92),0)+L91)</f>
        <v>0</v>
      </c>
      <c r="D91" s="1788">
        <f>F92*L91</f>
        <v>0</v>
      </c>
      <c r="E91" s="1789">
        <f>O186</f>
        <v>0</v>
      </c>
      <c r="F91" s="1790">
        <f>VLOOKUP(B92,HWRange,7,FALSE)</f>
        <v>69.75</v>
      </c>
      <c r="G91" s="1791">
        <f>VLOOKUP(B92,HWRange,6,FALSE)</f>
        <v>279</v>
      </c>
      <c r="H91" s="161" t="s">
        <v>365</v>
      </c>
      <c r="I91" s="1792">
        <v>0.8</v>
      </c>
      <c r="J91" s="1793"/>
      <c r="K91" s="1877">
        <f>IF(LEFT(B92,3)=S93,1,P186)</f>
        <v>0</v>
      </c>
      <c r="L91" s="491">
        <f>VLOOKUP(B92,HWRange,3,FALSE)</f>
        <v>4</v>
      </c>
      <c r="M91" s="1794"/>
      <c r="N91" s="1795"/>
      <c r="O91" s="1796"/>
      <c r="P91" s="1797"/>
      <c r="Q91" s="1734">
        <f>IF($A91&lt;0.9999, $A91/((1+$CJ$2*$A91*($L91-1))*(1-$A91)),2000)</f>
        <v>0</v>
      </c>
      <c r="R91" s="1588" t="s">
        <v>412</v>
      </c>
      <c r="S91" s="1812" t="s">
        <v>366</v>
      </c>
      <c r="T91" s="135">
        <v>10000</v>
      </c>
      <c r="U91" s="1831">
        <f>IF(J92&gt;0,IF(AND(M92="",N92=""),GO$22/F92,GP$22/F92),0)</f>
        <v>0</v>
      </c>
      <c r="V91" s="2968">
        <f>IF(V92=0,0,$A91)</f>
        <v>0</v>
      </c>
      <c r="W91" s="2968">
        <f t="shared" ref="W91:AB91" si="69">IF(W92=0,0,$A91)</f>
        <v>0</v>
      </c>
      <c r="X91" s="2968">
        <f t="shared" si="69"/>
        <v>0</v>
      </c>
      <c r="Y91" s="2968">
        <f t="shared" si="69"/>
        <v>0</v>
      </c>
      <c r="Z91" s="2968">
        <f t="shared" si="69"/>
        <v>0</v>
      </c>
      <c r="AA91" s="2968">
        <f t="shared" si="69"/>
        <v>0</v>
      </c>
      <c r="AB91" s="2968">
        <f t="shared" si="69"/>
        <v>0</v>
      </c>
      <c r="AC91" s="2970">
        <f>IF(AC92=0,0,$A91)</f>
        <v>0</v>
      </c>
      <c r="AD91" s="1830">
        <f>E91</f>
        <v>0</v>
      </c>
      <c r="AE91" s="2856">
        <f>D91</f>
        <v>0</v>
      </c>
      <c r="AF91" s="2975" t="str">
        <f>IF(H92&gt;0,D91*(1-A91)*(2-$H$195),"")</f>
        <v/>
      </c>
      <c r="AG91" s="1415"/>
      <c r="AH91" s="1415"/>
      <c r="AI91" s="1415"/>
      <c r="AJ91" s="1415"/>
      <c r="AK91" s="1415"/>
      <c r="AL91" s="1415"/>
      <c r="AM91" s="1415"/>
      <c r="AN91" s="1415"/>
      <c r="AO91" s="1415"/>
      <c r="AP91" s="1415"/>
      <c r="AQ91" s="1415"/>
      <c r="AR91" s="1415"/>
      <c r="AS91" s="1415"/>
      <c r="AT91" s="1415"/>
      <c r="AU91" s="1415"/>
      <c r="AV91" s="1415"/>
      <c r="AW91" s="1415"/>
      <c r="AX91" s="1415"/>
      <c r="AY91" s="1415"/>
      <c r="AZ91" s="1415"/>
      <c r="BA91" s="1415"/>
      <c r="BB91" s="1415"/>
      <c r="BC91" s="20"/>
      <c r="BF91" s="13"/>
      <c r="BG91" s="15"/>
      <c r="BH91" s="15"/>
      <c r="BI91" s="15"/>
      <c r="BJ91" s="15"/>
      <c r="BK91" s="15"/>
      <c r="BL91" s="15"/>
      <c r="BM91" s="15"/>
      <c r="BN91" s="15"/>
      <c r="BO91" s="15"/>
      <c r="BP91" s="1799">
        <f>IF(A91&gt;0,1,0)</f>
        <v>0</v>
      </c>
      <c r="BQ91" s="1813"/>
      <c r="BR91" s="1813"/>
      <c r="BS91" s="1813"/>
      <c r="BT91" s="1813"/>
      <c r="BU91" s="1814"/>
      <c r="BV91" s="1814"/>
      <c r="BW91" s="1814"/>
      <c r="BX91" s="1814"/>
      <c r="BY91" s="1814"/>
      <c r="BZ91" s="1814"/>
      <c r="CA91" s="1814"/>
      <c r="CB91" s="1814"/>
      <c r="CC91" s="1814"/>
      <c r="CD91" s="1814"/>
      <c r="CE91" s="1814"/>
      <c r="CF91" s="892"/>
      <c r="CG91" s="1691">
        <f>A91</f>
        <v>0</v>
      </c>
      <c r="CH91" s="14" t="str">
        <f>B92</f>
        <v>Xeon Gold 5122 4 core (1 chip) 3600 MHz</v>
      </c>
      <c r="CI91" s="1180">
        <f>F91</f>
        <v>69.75</v>
      </c>
      <c r="CJ91" s="1180">
        <f>G91</f>
        <v>279</v>
      </c>
      <c r="CK91" s="2724">
        <f>T91</f>
        <v>10000</v>
      </c>
      <c r="CL91" s="13"/>
      <c r="CM91" s="18"/>
      <c r="CN91" s="13"/>
      <c r="CQ91" s="13"/>
      <c r="CR91" s="18"/>
      <c r="CU91" s="13"/>
      <c r="DA91" s="13"/>
      <c r="DB91" s="18"/>
      <c r="DE91" s="13"/>
      <c r="DF91" s="18"/>
      <c r="DI91" s="13"/>
      <c r="DJ91" s="20"/>
      <c r="DK91" s="20"/>
      <c r="DL91" s="13"/>
      <c r="DM91" s="20"/>
      <c r="DN91" s="18"/>
      <c r="DO91" s="18"/>
      <c r="DP91" s="19"/>
      <c r="DQ91" s="20"/>
      <c r="DR91" s="18"/>
      <c r="DS91" s="18"/>
      <c r="DW91" s="20"/>
      <c r="DX91" s="18"/>
      <c r="EC91" s="20"/>
      <c r="EH91" s="18"/>
      <c r="EI91" s="20"/>
      <c r="EN91" s="18"/>
      <c r="EO91" s="20"/>
      <c r="ET91" s="18"/>
      <c r="EU91" s="20"/>
      <c r="EZ91" s="18"/>
      <c r="FA91" s="20"/>
      <c r="FF91" s="18"/>
      <c r="FG91" s="20"/>
      <c r="FL91" s="18"/>
      <c r="FM91" s="20"/>
      <c r="FR91" s="18"/>
      <c r="FS91" s="20"/>
      <c r="FX91" s="18"/>
      <c r="FY91" s="20"/>
      <c r="GD91" s="18"/>
      <c r="GE91" s="20"/>
      <c r="GJ91" s="18"/>
      <c r="GK91" s="20"/>
      <c r="GP91" s="18"/>
      <c r="GQ91" s="20"/>
    </row>
    <row r="92" spans="1:209" s="12" customFormat="1" ht="14" hidden="1" outlineLevel="2" thickBot="1" x14ac:dyDescent="0.2">
      <c r="A92" s="1800"/>
      <c r="B92" s="156" t="str">
        <f>B75</f>
        <v>Xeon Gold 5122 4 core (1 chip) 3600 MHz</v>
      </c>
      <c r="C92" s="258" t="str">
        <f>A189</f>
        <v>Host02</v>
      </c>
      <c r="D92" s="1801">
        <f>IF(J92=0,0,J92*($BO$2/F91))</f>
        <v>0</v>
      </c>
      <c r="E92" s="1802">
        <f>IF(J92=0,0,L91*60)</f>
        <v>0</v>
      </c>
      <c r="F92" s="142">
        <f>IF(J92=0,0,IF(H92,H92,IF(H93=$I$191,L92+1,L92)))</f>
        <v>0</v>
      </c>
      <c r="G92" s="1803">
        <f>IF(J92=0,0,IF(F92&gt;0,+E92*F92,"Nodes?"))</f>
        <v>0</v>
      </c>
      <c r="H92" s="143"/>
      <c r="I92" s="1861" t="s">
        <v>408</v>
      </c>
      <c r="J92" s="2391">
        <f>$H$195*$M$186</f>
        <v>0</v>
      </c>
      <c r="K92" s="1804">
        <f>IF(AND(N92="",N91=""),2,4)</f>
        <v>2</v>
      </c>
      <c r="L92" s="1805">
        <f>IF(H92,H92,IF(J92=0,1,IF(D92&gt;0,+INT(D92/(E92*I91))+1,1)))</f>
        <v>1</v>
      </c>
      <c r="M92" s="1806"/>
      <c r="N92" s="1807"/>
      <c r="O92" s="1808"/>
      <c r="P92" s="1809"/>
      <c r="Q92" s="1246" t="str">
        <f>VLOOKUP(B92,HWRange,2,FALSE)</f>
        <v>Xeon Gold 5122</v>
      </c>
      <c r="R92" s="1810">
        <f>F92*VLOOKUP(B92,HWRange,8,FALSE)</f>
        <v>0</v>
      </c>
      <c r="S92" s="1981" t="str">
        <f>IF(D92&gt;0,I91*$Q$186/A91-1,"")</f>
        <v/>
      </c>
      <c r="T92" s="135">
        <v>10000</v>
      </c>
      <c r="U92" s="1608">
        <f>IF(J92=0,0,IF(U93=$I$192,U91,0))</f>
        <v>0</v>
      </c>
      <c r="V92" s="2971">
        <f>IF(G92&gt;0,1,0)</f>
        <v>0</v>
      </c>
      <c r="W92" s="2972">
        <f t="shared" ref="W92:AB92" si="70">IF(V92&gt;0,IF($F92&gt;V92,V92+1,0),0)</f>
        <v>0</v>
      </c>
      <c r="X92" s="2972">
        <f t="shared" si="70"/>
        <v>0</v>
      </c>
      <c r="Y92" s="2972">
        <f t="shared" si="70"/>
        <v>0</v>
      </c>
      <c r="Z92" s="2972">
        <f t="shared" si="70"/>
        <v>0</v>
      </c>
      <c r="AA92" s="2972">
        <f t="shared" si="70"/>
        <v>0</v>
      </c>
      <c r="AB92" s="2972">
        <f t="shared" si="70"/>
        <v>0</v>
      </c>
      <c r="AC92" s="2973">
        <f>IF(AB92&gt;0,IF($F92&gt;AB92,"…"&amp;$F92,0),0)</f>
        <v>0</v>
      </c>
      <c r="AD92" s="2974">
        <f>F92</f>
        <v>0</v>
      </c>
      <c r="AE92" s="2857">
        <f>A91</f>
        <v>0</v>
      </c>
      <c r="AF92" s="2998">
        <f>AF$23</f>
        <v>24</v>
      </c>
      <c r="AG92" s="1415"/>
      <c r="AH92" s="1415"/>
      <c r="AI92" s="1415"/>
      <c r="AJ92" s="1415"/>
      <c r="AK92" s="1415"/>
      <c r="AL92" s="1415"/>
      <c r="AM92" s="1415"/>
      <c r="AN92" s="1415"/>
      <c r="AO92" s="1415"/>
      <c r="AP92" s="1415"/>
      <c r="AQ92" s="1415"/>
      <c r="AR92" s="1415"/>
      <c r="AS92" s="1415"/>
      <c r="AT92" s="1415"/>
      <c r="AU92" s="1415"/>
      <c r="AV92" s="1415"/>
      <c r="AW92" s="1415"/>
      <c r="AX92" s="1415"/>
      <c r="AY92" s="1415"/>
      <c r="AZ92" s="1415"/>
      <c r="BA92" s="1415"/>
      <c r="BB92" s="1415"/>
      <c r="BC92" s="20"/>
      <c r="BF92" s="13"/>
      <c r="BG92" s="15"/>
      <c r="BH92" s="15"/>
      <c r="BI92" s="15"/>
      <c r="BJ92" s="15"/>
      <c r="BK92" s="15"/>
      <c r="BL92" s="15"/>
      <c r="BM92" s="15"/>
      <c r="BN92" s="15"/>
      <c r="BO92" s="15"/>
      <c r="BP92" s="1811"/>
      <c r="BQ92" s="1811"/>
      <c r="BR92" s="1811"/>
      <c r="BS92" s="1811"/>
      <c r="BT92" s="1811"/>
      <c r="BU92" s="1811"/>
      <c r="BV92" s="1811"/>
      <c r="BW92" s="1811"/>
      <c r="BX92" s="1811"/>
      <c r="BY92" s="1811"/>
      <c r="BZ92" s="1811"/>
      <c r="CA92" s="1811"/>
      <c r="CB92" s="1811"/>
      <c r="CC92" s="1811"/>
      <c r="CD92" s="1811"/>
      <c r="CE92" s="1811"/>
      <c r="CF92" s="1811"/>
      <c r="CG92" s="1697" t="str">
        <f>IF(ISERROR(FIND(":",B91)),B91,LEFT(B91,FIND(":",B91)-1))</f>
        <v>Host02</v>
      </c>
      <c r="CH92" s="1698" t="str">
        <f>J93&amp;" physical and "&amp;K93&amp;" virtual core"</f>
        <v>0 physical and 0 virtual core</v>
      </c>
      <c r="CI92" s="1181">
        <f>F92</f>
        <v>0</v>
      </c>
      <c r="CJ92" s="2719">
        <f>D91</f>
        <v>0</v>
      </c>
      <c r="CK92" s="2724">
        <f>T92</f>
        <v>10000</v>
      </c>
      <c r="CL92" s="13"/>
      <c r="CM92" s="18"/>
      <c r="CN92" s="13"/>
      <c r="CQ92" s="13"/>
      <c r="CR92" s="18"/>
      <c r="CU92" s="13"/>
      <c r="DA92" s="13"/>
      <c r="DB92" s="18"/>
      <c r="DE92" s="13"/>
      <c r="DF92" s="18"/>
      <c r="DI92" s="13"/>
      <c r="DJ92" s="20"/>
      <c r="DK92" s="20"/>
      <c r="DL92" s="13"/>
      <c r="DM92" s="20"/>
      <c r="DN92" s="18"/>
      <c r="DO92" s="18"/>
      <c r="DP92" s="19"/>
      <c r="DQ92" s="20"/>
      <c r="DR92" s="21"/>
      <c r="DS92" s="21"/>
      <c r="DW92" s="20"/>
      <c r="DX92" s="21"/>
      <c r="EC92" s="20"/>
      <c r="EH92" s="21"/>
      <c r="EI92" s="20"/>
      <c r="EN92" s="21"/>
      <c r="EO92" s="20"/>
      <c r="ET92" s="21"/>
      <c r="EU92" s="20"/>
      <c r="EZ92" s="21"/>
      <c r="FA92" s="20"/>
      <c r="FF92" s="21"/>
      <c r="FG92" s="20"/>
      <c r="FL92" s="21"/>
      <c r="FM92" s="20"/>
      <c r="FR92" s="21"/>
      <c r="FS92" s="20"/>
      <c r="FX92" s="21"/>
      <c r="FY92" s="20"/>
      <c r="GD92" s="21"/>
      <c r="GE92" s="20"/>
      <c r="GJ92" s="21"/>
      <c r="GK92" s="20"/>
      <c r="GP92" s="21"/>
      <c r="GQ92" s="20"/>
    </row>
    <row r="93" spans="1:209" s="12" customFormat="1" ht="14" hidden="1" outlineLevel="1" collapsed="1" x14ac:dyDescent="0.2">
      <c r="A93" s="916">
        <f>IF(A91=0,0,ROUND(100*A91,0)&amp;"% CPU")</f>
        <v>0</v>
      </c>
      <c r="B93" s="917">
        <f>IF(A91&gt;0,$A$189&amp;": "&amp;F92&amp;"x "&amp;B92&amp;" "&amp;C91&amp;" GB RAM",0)</f>
        <v>0</v>
      </c>
      <c r="C93" s="1775">
        <f>IF(A91&gt;0,IF(B93="","",R91),0)</f>
        <v>0</v>
      </c>
      <c r="D93" s="1776">
        <f>IF(D92&gt;0,ROUND(D92*60/1000,0)&amp;"K sec",0)</f>
        <v>0</v>
      </c>
      <c r="E93" s="1777">
        <f>IF(E92&gt;0,ROUND(E92*60/1000,0)&amp;"K sec/hr",0)</f>
        <v>0</v>
      </c>
      <c r="F93" s="920">
        <f>F92</f>
        <v>0</v>
      </c>
      <c r="G93" s="1784">
        <f>IF(G92&gt;0,ROUND(G92*60/1000,0)&amp;"K sec/hr",0)</f>
        <v>0</v>
      </c>
      <c r="H93" s="921" t="str">
        <f>H90</f>
        <v>Minimum</v>
      </c>
      <c r="I93" s="1778">
        <f>IF(J93&gt;0,K93&amp;":"&amp;J93,0)</f>
        <v>0</v>
      </c>
      <c r="J93" s="1779">
        <f>D91</f>
        <v>0</v>
      </c>
      <c r="K93" s="1980">
        <f>E91</f>
        <v>0</v>
      </c>
      <c r="L93" s="1780"/>
      <c r="M93" s="2317" t="str">
        <f>A189</f>
        <v>Host02</v>
      </c>
      <c r="N93" s="1781"/>
      <c r="O93" s="1781"/>
      <c r="P93" s="922"/>
      <c r="Q93" s="3110">
        <f>IF(A91&gt;0,R93*F93/D91,0)</f>
        <v>0</v>
      </c>
      <c r="R93" s="3110">
        <f>O186</f>
        <v>0</v>
      </c>
      <c r="S93" s="3109" t="str">
        <f>IF(OR(LEFT(B92,3)="AMI",LEFT(B92,3)="AZI"),LEFT(B92,3),"")</f>
        <v/>
      </c>
      <c r="T93" s="1783" t="str">
        <f>U93</f>
        <v>Data</v>
      </c>
      <c r="U93" s="1821" t="s">
        <v>329</v>
      </c>
      <c r="V93" s="1819">
        <f>IF(A91&gt;0,B93&amp;" "&amp;C93&amp;IF(B93="",""," GB RAM"),0)</f>
        <v>0</v>
      </c>
      <c r="W93" s="1819"/>
      <c r="X93" s="1819"/>
      <c r="Y93" s="1819"/>
      <c r="Z93" s="1819"/>
      <c r="AA93" s="1819"/>
      <c r="AB93" s="1819"/>
      <c r="AC93" s="1819"/>
      <c r="AD93" s="1819"/>
      <c r="AE93" s="1820">
        <f>IF(A91&gt;0,F91,0)</f>
        <v>0</v>
      </c>
      <c r="AF93" s="2875">
        <f>H92*(HWPricing!$I$5+VLOOKUP(AF92,GPU_Pricing,2,FALSE))</f>
        <v>0</v>
      </c>
      <c r="AG93" s="1415">
        <f>IF(S69&gt;0,AND(S69&gt;0,I68=H189),0)</f>
        <v>0</v>
      </c>
      <c r="AH93" s="1415"/>
      <c r="AI93" s="1415"/>
      <c r="AJ93" s="1415"/>
      <c r="AK93" s="1415"/>
      <c r="AL93" s="1415"/>
      <c r="AM93" s="1415"/>
      <c r="AN93" s="1415"/>
      <c r="AO93" s="1415"/>
      <c r="AP93" s="1415"/>
      <c r="AQ93" s="1415"/>
      <c r="AR93" s="1415"/>
      <c r="AS93" s="1415"/>
      <c r="AT93" s="1415"/>
      <c r="AU93" s="1415"/>
      <c r="AV93" s="1415"/>
      <c r="AW93" s="1415"/>
      <c r="AX93" s="1415"/>
      <c r="AY93" s="1415"/>
      <c r="AZ93" s="1415"/>
      <c r="BA93" s="1415"/>
      <c r="BB93" s="1415"/>
      <c r="BC93" s="4"/>
      <c r="BF93" s="13"/>
      <c r="BG93" s="15"/>
      <c r="BH93" s="15"/>
      <c r="BI93" s="15"/>
      <c r="BJ93" s="15"/>
      <c r="BK93" s="15"/>
      <c r="BL93" s="15"/>
      <c r="BM93" s="15"/>
      <c r="BN93" s="15"/>
      <c r="BO93" s="15"/>
      <c r="BP93" s="1782"/>
      <c r="BQ93" s="1782"/>
      <c r="BR93" s="1782"/>
      <c r="BS93" s="1782"/>
      <c r="BT93" s="1782"/>
      <c r="BU93" s="1782"/>
      <c r="BV93" s="1782"/>
      <c r="BW93" s="1782"/>
      <c r="BX93" s="1782"/>
      <c r="BY93" s="1782"/>
      <c r="BZ93" s="1782"/>
      <c r="CA93" s="1782"/>
      <c r="CB93" s="1782"/>
      <c r="CC93" s="1782"/>
      <c r="CD93" s="1782"/>
      <c r="CE93" s="1782"/>
      <c r="CF93" s="1782"/>
      <c r="CG93" s="3403">
        <f>B93</f>
        <v>0</v>
      </c>
      <c r="CH93" s="3404"/>
      <c r="CI93" s="3404"/>
      <c r="CJ93" s="3404"/>
      <c r="CK93" s="2726"/>
      <c r="CL93" s="13"/>
      <c r="CM93" s="18"/>
      <c r="CN93" s="13"/>
      <c r="CQ93" s="13"/>
      <c r="CR93" s="18"/>
      <c r="CU93" s="13"/>
      <c r="DA93" s="13"/>
      <c r="DB93" s="18"/>
      <c r="DE93" s="13"/>
      <c r="DF93" s="18"/>
      <c r="DI93" s="13"/>
      <c r="DJ93" s="4"/>
      <c r="DK93" s="4"/>
      <c r="DL93" s="13"/>
      <c r="DM93" s="4"/>
      <c r="DN93" s="18"/>
      <c r="DO93" s="18"/>
      <c r="DP93" s="19"/>
      <c r="DQ93" s="4"/>
      <c r="DR93" s="21"/>
      <c r="DS93" s="21"/>
      <c r="DW93" s="4"/>
      <c r="DX93" s="21"/>
      <c r="EC93" s="4"/>
      <c r="EH93" s="21"/>
      <c r="EI93" s="4"/>
      <c r="EN93" s="21"/>
      <c r="EO93" s="4"/>
      <c r="ET93" s="21"/>
      <c r="EU93" s="4"/>
      <c r="EZ93" s="21"/>
      <c r="FA93" s="4"/>
      <c r="FF93" s="21"/>
      <c r="FG93" s="4"/>
      <c r="FL93" s="21"/>
      <c r="FM93" s="4"/>
      <c r="FR93" s="21"/>
      <c r="FS93" s="4"/>
      <c r="FX93" s="21"/>
      <c r="FY93" s="4"/>
      <c r="GD93" s="21"/>
      <c r="GE93" s="4"/>
      <c r="GJ93" s="21"/>
      <c r="GK93" s="4"/>
      <c r="GP93" s="21"/>
      <c r="GQ93" s="4"/>
    </row>
    <row r="94" spans="1:209" s="12" customFormat="1" ht="16" hidden="1" outlineLevel="2" thickBot="1" x14ac:dyDescent="0.25">
      <c r="A94" s="1786">
        <f>IF(J95=0,0,D95/G95)</f>
        <v>0</v>
      </c>
      <c r="B94" s="2967" t="s">
        <v>717</v>
      </c>
      <c r="C94" s="1787">
        <f>IF(F95=0,0,ROUNDUP(MAX(L94*3,$N$187/L95),0)+L94)</f>
        <v>0</v>
      </c>
      <c r="D94" s="1788">
        <f>F95*L94</f>
        <v>0</v>
      </c>
      <c r="E94" s="1789">
        <f>O187</f>
        <v>0</v>
      </c>
      <c r="F94" s="1790">
        <f>VLOOKUP(B95,HWRange,7,FALSE)</f>
        <v>69.75</v>
      </c>
      <c r="G94" s="1791">
        <f>VLOOKUP(B95,HWRange,6,FALSE)</f>
        <v>279</v>
      </c>
      <c r="H94" s="161" t="s">
        <v>365</v>
      </c>
      <c r="I94" s="1792">
        <v>0.8</v>
      </c>
      <c r="J94" s="1793"/>
      <c r="K94" s="1877">
        <f>IF(LEFT(B95,3)=S96,1,P187)</f>
        <v>0</v>
      </c>
      <c r="L94" s="491">
        <f>VLOOKUP(B95,HWRange,3,FALSE)</f>
        <v>4</v>
      </c>
      <c r="M94" s="1794"/>
      <c r="N94" s="1795"/>
      <c r="O94" s="1796"/>
      <c r="P94" s="1797"/>
      <c r="Q94" s="1734">
        <f>IF($A94&lt;0.9999, $A94/((1+$CJ$2*$A94*($L94-1))*(1-$A94)),2000)</f>
        <v>0</v>
      </c>
      <c r="R94" s="1588" t="s">
        <v>412</v>
      </c>
      <c r="S94" s="1815" t="s">
        <v>366</v>
      </c>
      <c r="T94" s="135">
        <v>10000</v>
      </c>
      <c r="U94" s="1831">
        <f>IF(J95&gt;0,IF(AND(M95="",N95=""),GU$22/F95,GU$22/F95),0)</f>
        <v>0</v>
      </c>
      <c r="V94" s="2968">
        <f>IF(V95=0,0,$A94)</f>
        <v>0</v>
      </c>
      <c r="W94" s="2968">
        <f t="shared" ref="W94:AB94" si="71">IF(W95=0,0,$A94)</f>
        <v>0</v>
      </c>
      <c r="X94" s="2968">
        <f t="shared" si="71"/>
        <v>0</v>
      </c>
      <c r="Y94" s="2968">
        <f t="shared" si="71"/>
        <v>0</v>
      </c>
      <c r="Z94" s="2968">
        <f t="shared" si="71"/>
        <v>0</v>
      </c>
      <c r="AA94" s="2968">
        <f t="shared" si="71"/>
        <v>0</v>
      </c>
      <c r="AB94" s="2968">
        <f t="shared" si="71"/>
        <v>0</v>
      </c>
      <c r="AC94" s="2970">
        <f>IF(AC95=0,0,$A94)</f>
        <v>0</v>
      </c>
      <c r="AD94" s="1830">
        <f>E94</f>
        <v>0</v>
      </c>
      <c r="AE94" s="2856">
        <f>D94</f>
        <v>0</v>
      </c>
      <c r="AF94" s="2975" t="str">
        <f>IF(H95&gt;0,D94*(1-A94)*(2-$H$195),"")</f>
        <v/>
      </c>
      <c r="AG94" s="1415"/>
      <c r="AH94" s="1415"/>
      <c r="AI94" s="1415"/>
      <c r="AJ94" s="1415"/>
      <c r="AK94" s="1415"/>
      <c r="AL94" s="1415"/>
      <c r="AM94" s="1415"/>
      <c r="AN94" s="1415"/>
      <c r="AO94" s="1415"/>
      <c r="AP94" s="1415"/>
      <c r="AQ94" s="1415"/>
      <c r="AR94" s="1415"/>
      <c r="AS94" s="1415"/>
      <c r="AT94" s="1415"/>
      <c r="AU94" s="1415"/>
      <c r="AV94" s="1415"/>
      <c r="AW94" s="1415"/>
      <c r="AX94" s="1415"/>
      <c r="AY94" s="1415"/>
      <c r="AZ94" s="1415"/>
      <c r="BA94" s="1415"/>
      <c r="BB94" s="1415"/>
      <c r="BC94" s="20"/>
      <c r="BF94" s="13"/>
      <c r="BG94" s="15"/>
      <c r="BH94" s="15"/>
      <c r="BI94" s="15"/>
      <c r="BJ94" s="15"/>
      <c r="BK94" s="15"/>
      <c r="BL94" s="15"/>
      <c r="BM94" s="15"/>
      <c r="BN94" s="15"/>
      <c r="BO94" s="15"/>
      <c r="BP94" s="1799">
        <f>IF(A94&gt;0,1,0)</f>
        <v>0</v>
      </c>
      <c r="BQ94" s="892"/>
      <c r="BR94" s="892"/>
      <c r="BS94" s="892"/>
      <c r="BT94" s="892"/>
      <c r="BU94" s="892"/>
      <c r="BV94" s="892"/>
      <c r="BW94" s="892"/>
      <c r="BX94" s="892"/>
      <c r="BY94" s="892"/>
      <c r="BZ94" s="892"/>
      <c r="CA94" s="892"/>
      <c r="CB94" s="892"/>
      <c r="CC94" s="892"/>
      <c r="CD94" s="892"/>
      <c r="CE94" s="892"/>
      <c r="CF94" s="892"/>
      <c r="CG94" s="1691">
        <f>A94</f>
        <v>0</v>
      </c>
      <c r="CH94" s="14" t="str">
        <f>B95</f>
        <v>Xeon Gold 5122 4 core (1 chip) 3600 MHz</v>
      </c>
      <c r="CI94" s="1180">
        <f>F94</f>
        <v>69.75</v>
      </c>
      <c r="CJ94" s="1180">
        <f>G94</f>
        <v>279</v>
      </c>
      <c r="CK94" s="2724">
        <f>T94</f>
        <v>10000</v>
      </c>
      <c r="CL94" s="13"/>
      <c r="CM94" s="18"/>
      <c r="CN94" s="13"/>
      <c r="CQ94" s="13"/>
      <c r="CR94" s="18"/>
      <c r="CU94" s="13"/>
      <c r="DA94" s="13"/>
      <c r="DB94" s="18"/>
      <c r="DE94" s="13"/>
      <c r="DF94" s="18"/>
      <c r="DI94" s="13"/>
      <c r="DJ94" s="20"/>
      <c r="DK94" s="20"/>
      <c r="DL94" s="13"/>
      <c r="DM94" s="20"/>
      <c r="DN94" s="18"/>
      <c r="DO94" s="18"/>
      <c r="DP94" s="19"/>
      <c r="DQ94" s="20"/>
      <c r="DR94" s="18"/>
      <c r="DS94" s="18"/>
      <c r="DW94" s="20"/>
      <c r="DX94" s="18"/>
      <c r="EC94" s="20"/>
      <c r="EH94" s="18"/>
      <c r="EI94" s="20"/>
      <c r="EN94" s="18"/>
      <c r="EO94" s="20"/>
      <c r="ET94" s="18"/>
      <c r="EU94" s="20"/>
      <c r="EZ94" s="18"/>
      <c r="FA94" s="20"/>
      <c r="FF94" s="18"/>
      <c r="FG94" s="20"/>
      <c r="FL94" s="18"/>
      <c r="FM94" s="20"/>
      <c r="FR94" s="18"/>
      <c r="FS94" s="20"/>
      <c r="FX94" s="18"/>
      <c r="FY94" s="20"/>
      <c r="GD94" s="18"/>
      <c r="GE94" s="20"/>
      <c r="GJ94" s="18"/>
      <c r="GK94" s="20"/>
      <c r="GP94" s="18"/>
      <c r="GQ94" s="20"/>
    </row>
    <row r="95" spans="1:209" s="12" customFormat="1" ht="17" hidden="1" outlineLevel="2" thickBot="1" x14ac:dyDescent="0.25">
      <c r="A95" s="1800"/>
      <c r="B95" s="156" t="str">
        <f>B92</f>
        <v>Xeon Gold 5122 4 core (1 chip) 3600 MHz</v>
      </c>
      <c r="C95" s="258" t="str">
        <f>A190</f>
        <v>Host03</v>
      </c>
      <c r="D95" s="1801">
        <f>IF(J95=0,0,J95*($BO$2/F94))</f>
        <v>0</v>
      </c>
      <c r="E95" s="1802">
        <f>IF(J95=0,0,L94*60)</f>
        <v>0</v>
      </c>
      <c r="F95" s="142">
        <f>IF(J95=0,0,IF(H95,H95,IF(H96=$I$191,L95+1,L95)))</f>
        <v>0</v>
      </c>
      <c r="G95" s="1803">
        <f>IF(J95=0,0,IF(F95&gt;0,+E95*F95,"Nodes?"))</f>
        <v>0</v>
      </c>
      <c r="H95" s="143"/>
      <c r="I95" s="1861" t="s">
        <v>408</v>
      </c>
      <c r="J95" s="2391">
        <f>$H$195*$M$187</f>
        <v>0</v>
      </c>
      <c r="K95" s="1804">
        <v>2</v>
      </c>
      <c r="L95" s="1805">
        <f>IF(H95,H95,IF(J95=0,1,IF(D95&gt;0,+INT(D95/(E95*I94))+1,1)))</f>
        <v>1</v>
      </c>
      <c r="M95" s="1806"/>
      <c r="N95" s="1807"/>
      <c r="O95" s="1808"/>
      <c r="P95" s="1809"/>
      <c r="Q95" s="1816" t="str">
        <f>VLOOKUP(B95,HWRange,2,FALSE)</f>
        <v>Xeon Gold 5122</v>
      </c>
      <c r="R95" s="1810">
        <f>F95*VLOOKUP(B95,HWRange,8,FALSE)</f>
        <v>0</v>
      </c>
      <c r="S95" s="1981" t="str">
        <f>IF(D95&gt;0,I94*$Q$187/A94-1,"")</f>
        <v/>
      </c>
      <c r="T95" s="135">
        <v>10000</v>
      </c>
      <c r="U95" s="1608">
        <f>IF(J95=0,0,IF(U96=$I$192,U94,0))</f>
        <v>0</v>
      </c>
      <c r="V95" s="2971">
        <f>IF(G95&gt;0,1,0)</f>
        <v>0</v>
      </c>
      <c r="W95" s="2972">
        <f t="shared" ref="W95:AB95" si="72">IF(V95&gt;0,IF($F95&gt;V95,V95+1,0),0)</f>
        <v>0</v>
      </c>
      <c r="X95" s="2972">
        <f t="shared" si="72"/>
        <v>0</v>
      </c>
      <c r="Y95" s="2972">
        <f t="shared" si="72"/>
        <v>0</v>
      </c>
      <c r="Z95" s="2972">
        <f t="shared" si="72"/>
        <v>0</v>
      </c>
      <c r="AA95" s="2972">
        <f t="shared" si="72"/>
        <v>0</v>
      </c>
      <c r="AB95" s="2972">
        <f t="shared" si="72"/>
        <v>0</v>
      </c>
      <c r="AC95" s="2973">
        <f>IF(AB95&gt;0,IF($F95&gt;AB95,"…"&amp;$F95,0),0)</f>
        <v>0</v>
      </c>
      <c r="AD95" s="2974">
        <f>F95</f>
        <v>0</v>
      </c>
      <c r="AE95" s="2857">
        <f>A94</f>
        <v>0</v>
      </c>
      <c r="AF95" s="2998">
        <f>AF$23</f>
        <v>24</v>
      </c>
      <c r="AG95" s="1415"/>
      <c r="AH95" s="1415"/>
      <c r="AI95" s="1415"/>
      <c r="AJ95" s="1415"/>
      <c r="AK95" s="1415"/>
      <c r="AL95" s="1415"/>
      <c r="AM95" s="1415"/>
      <c r="AN95" s="1415"/>
      <c r="AO95" s="1415"/>
      <c r="AP95" s="1415"/>
      <c r="AQ95" s="1415"/>
      <c r="AR95" s="1415"/>
      <c r="AS95" s="1415"/>
      <c r="AT95" s="1415"/>
      <c r="AU95" s="1415"/>
      <c r="AV95" s="1415"/>
      <c r="AW95" s="1415"/>
      <c r="AX95" s="1415"/>
      <c r="AY95" s="1415"/>
      <c r="AZ95" s="1415"/>
      <c r="BA95" s="1415"/>
      <c r="BB95" s="1415"/>
      <c r="BC95" s="20"/>
      <c r="BF95" s="13"/>
      <c r="BG95" s="15"/>
      <c r="BH95" s="15"/>
      <c r="BI95" s="15"/>
      <c r="BJ95" s="15"/>
      <c r="BK95" s="15"/>
      <c r="BL95" s="15"/>
      <c r="BM95" s="15"/>
      <c r="BN95" s="15"/>
      <c r="BO95" s="15"/>
      <c r="BP95" s="893"/>
      <c r="BQ95" s="1817"/>
      <c r="BR95" s="1817"/>
      <c r="BS95" s="1817"/>
      <c r="BT95" s="1817"/>
      <c r="BU95" s="1817"/>
      <c r="BV95" s="1818"/>
      <c r="BW95" s="1818"/>
      <c r="BX95" s="1818"/>
      <c r="BY95" s="1818"/>
      <c r="BZ95" s="1818"/>
      <c r="CA95" s="1818"/>
      <c r="CB95" s="1818"/>
      <c r="CC95" s="1818"/>
      <c r="CD95" s="1818"/>
      <c r="CE95" s="1818"/>
      <c r="CF95" s="894"/>
      <c r="CG95" s="1697" t="str">
        <f>IF(ISERROR(FIND(":",B94)),B94,LEFT(B94,FIND(":",B94)-1))</f>
        <v>Host03</v>
      </c>
      <c r="CH95" s="1698" t="str">
        <f>J96&amp;" physical and "&amp;K96&amp;" virtual core"</f>
        <v>0 physical and 0 virtual core</v>
      </c>
      <c r="CI95" s="1181">
        <f>F95</f>
        <v>0</v>
      </c>
      <c r="CJ95" s="2719">
        <f>D94</f>
        <v>0</v>
      </c>
      <c r="CK95" s="2724">
        <f>T95</f>
        <v>10000</v>
      </c>
      <c r="CL95" s="13"/>
      <c r="CM95" s="18"/>
      <c r="CN95" s="13"/>
      <c r="CQ95" s="13"/>
      <c r="CR95" s="18"/>
      <c r="CU95" s="13"/>
      <c r="DA95" s="13"/>
      <c r="DB95" s="18"/>
      <c r="DE95" s="13"/>
      <c r="DF95" s="18"/>
      <c r="DI95" s="13"/>
      <c r="DJ95" s="20"/>
      <c r="DK95" s="20"/>
      <c r="DL95" s="13"/>
      <c r="DM95" s="20"/>
      <c r="DN95" s="18"/>
      <c r="DO95" s="18"/>
      <c r="DP95" s="19"/>
      <c r="DQ95" s="20"/>
      <c r="DR95" s="21"/>
      <c r="DS95" s="21"/>
      <c r="DW95" s="20"/>
      <c r="DX95" s="21"/>
      <c r="EC95" s="20"/>
      <c r="EH95" s="21"/>
      <c r="EI95" s="20"/>
      <c r="EN95" s="21"/>
      <c r="EO95" s="20"/>
      <c r="ET95" s="21"/>
      <c r="EU95" s="20"/>
      <c r="EZ95" s="21"/>
      <c r="FA95" s="20"/>
      <c r="FF95" s="21"/>
      <c r="FG95" s="20"/>
      <c r="FL95" s="21"/>
      <c r="FM95" s="20"/>
      <c r="FR95" s="21"/>
      <c r="FS95" s="20"/>
      <c r="FX95" s="21"/>
      <c r="FY95" s="20"/>
      <c r="GD95" s="21"/>
      <c r="GE95" s="20"/>
      <c r="GJ95" s="21"/>
      <c r="GK95" s="20"/>
      <c r="GP95" s="21"/>
      <c r="GQ95" s="20"/>
    </row>
    <row r="96" spans="1:209" s="12" customFormat="1" ht="14" hidden="1" outlineLevel="1" collapsed="1" x14ac:dyDescent="0.2">
      <c r="A96" s="916">
        <f>IF(A94=0,0,ROUND(100*A94,0)&amp;"% CPU")</f>
        <v>0</v>
      </c>
      <c r="B96" s="917">
        <f>IF(A94&gt;0,$A$190&amp;": "&amp;F95&amp;"x "&amp;B95&amp;" "&amp;C94&amp;" GB RAM",0)</f>
        <v>0</v>
      </c>
      <c r="C96" s="1775">
        <f>IF(A94&gt;0,IF(B96="","",R94),0)</f>
        <v>0</v>
      </c>
      <c r="D96" s="1776">
        <f>IF(D95&gt;0,ROUND(D95*60/1000,0)&amp;"K sec",0)</f>
        <v>0</v>
      </c>
      <c r="E96" s="1777">
        <f>IF(E95&gt;0,ROUND(E95*60/1000,0)&amp;"K sec/hr",0)</f>
        <v>0</v>
      </c>
      <c r="F96" s="920">
        <f>F95</f>
        <v>0</v>
      </c>
      <c r="G96" s="1777">
        <f>IF(G95&gt;0,ROUND(G95*60/1000,0)&amp;"K sec/hr",0)</f>
        <v>0</v>
      </c>
      <c r="H96" s="921" t="str">
        <f>H$23</f>
        <v>Minimum</v>
      </c>
      <c r="I96" s="1778">
        <f>IF(J96&gt;0,K96&amp;":"&amp;J96,0)</f>
        <v>0</v>
      </c>
      <c r="J96" s="1779">
        <f>D94</f>
        <v>0</v>
      </c>
      <c r="K96" s="1980">
        <f>E94</f>
        <v>0</v>
      </c>
      <c r="L96" s="1780"/>
      <c r="M96" s="2317" t="str">
        <f>A190</f>
        <v>Host03</v>
      </c>
      <c r="N96" s="1781"/>
      <c r="O96" s="1781"/>
      <c r="P96" s="922"/>
      <c r="Q96" s="3110">
        <f>IF(A94&gt;0,R96*F96/D94,0)</f>
        <v>0</v>
      </c>
      <c r="R96" s="3110">
        <f>O187</f>
        <v>0</v>
      </c>
      <c r="S96" s="3109" t="str">
        <f>IF(OR(LEFT(B95,3)="AMI",LEFT(B95,3)="AZI"),LEFT(B95,3),"")</f>
        <v/>
      </c>
      <c r="T96" s="1783" t="str">
        <f>U96</f>
        <v>Data</v>
      </c>
      <c r="U96" s="57" t="s">
        <v>329</v>
      </c>
      <c r="V96" s="1819">
        <f>IF(A94&gt;0,B96&amp;" "&amp;C96&amp;IF(B96="",""," GB RAM"),0)</f>
        <v>0</v>
      </c>
      <c r="W96" s="1819"/>
      <c r="X96" s="1819"/>
      <c r="Y96" s="1819"/>
      <c r="Z96" s="1819"/>
      <c r="AA96" s="1819"/>
      <c r="AB96" s="1819"/>
      <c r="AC96" s="1819"/>
      <c r="AD96" s="1819"/>
      <c r="AE96" s="1820">
        <f>IF(A94&gt;0,F94,0)</f>
        <v>0</v>
      </c>
      <c r="AF96" s="2875">
        <f>H95*(HWPricing!$I$5+VLOOKUP(AF95,GPU_Pricing,2,FALSE))</f>
        <v>0</v>
      </c>
      <c r="AG96" s="1415"/>
      <c r="AH96" s="1415"/>
      <c r="AI96" s="1415"/>
      <c r="AJ96" s="1415"/>
      <c r="AK96" s="1415"/>
      <c r="AL96" s="1415"/>
      <c r="AM96" s="1415"/>
      <c r="AN96" s="1415"/>
      <c r="AO96" s="1415"/>
      <c r="AP96" s="1415"/>
      <c r="AQ96" s="1415"/>
      <c r="AR96" s="1415"/>
      <c r="AS96" s="1415"/>
      <c r="AT96" s="1415"/>
      <c r="AU96" s="1415"/>
      <c r="AV96" s="1415"/>
      <c r="AW96" s="1415"/>
      <c r="AX96" s="1415"/>
      <c r="AY96" s="1415"/>
      <c r="AZ96" s="1415"/>
      <c r="BA96" s="1415"/>
      <c r="BB96" s="1415"/>
      <c r="BC96" s="4"/>
      <c r="BF96" s="13"/>
      <c r="BG96" s="15"/>
      <c r="BH96" s="15"/>
      <c r="BI96" s="15"/>
      <c r="BJ96" s="15"/>
      <c r="BK96" s="15"/>
      <c r="BL96" s="15"/>
      <c r="BM96" s="15"/>
      <c r="BN96" s="15"/>
      <c r="BO96" s="15"/>
      <c r="BP96" s="924"/>
      <c r="BQ96" s="1785"/>
      <c r="BR96" s="1785"/>
      <c r="BS96" s="1785"/>
      <c r="BT96" s="1785"/>
      <c r="BU96" s="1785"/>
      <c r="BV96" s="1785"/>
      <c r="BW96" s="1785"/>
      <c r="BX96" s="1785"/>
      <c r="BY96" s="1785"/>
      <c r="BZ96" s="1785"/>
      <c r="CA96" s="1785"/>
      <c r="CB96" s="1785"/>
      <c r="CC96" s="1785"/>
      <c r="CD96" s="1785"/>
      <c r="CE96" s="1785"/>
      <c r="CF96" s="1782"/>
      <c r="CG96" s="3403">
        <f>B96</f>
        <v>0</v>
      </c>
      <c r="CH96" s="3404"/>
      <c r="CI96" s="3404"/>
      <c r="CJ96" s="3404"/>
      <c r="CK96" s="2726"/>
      <c r="CL96" s="13"/>
      <c r="CM96" s="18"/>
      <c r="CN96" s="13"/>
      <c r="CQ96" s="13"/>
      <c r="CR96" s="18"/>
      <c r="CU96" s="13"/>
      <c r="DA96" s="13"/>
      <c r="DB96" s="18"/>
      <c r="DE96" s="13"/>
      <c r="DF96" s="18"/>
      <c r="DI96" s="13"/>
      <c r="DJ96" s="4"/>
      <c r="DK96" s="4"/>
      <c r="DL96" s="13"/>
      <c r="DM96" s="4"/>
      <c r="DN96" s="18"/>
      <c r="DO96" s="18"/>
      <c r="DP96" s="19"/>
      <c r="DQ96" s="4"/>
      <c r="DR96" s="21"/>
      <c r="DS96" s="21"/>
      <c r="DW96" s="4"/>
      <c r="DX96" s="21"/>
      <c r="EC96" s="4"/>
      <c r="EH96" s="21"/>
      <c r="EI96" s="4"/>
      <c r="EN96" s="21"/>
      <c r="EO96" s="4"/>
      <c r="ET96" s="21"/>
      <c r="EU96" s="4"/>
      <c r="EZ96" s="21"/>
      <c r="FA96" s="4"/>
      <c r="FF96" s="21"/>
      <c r="FG96" s="4"/>
      <c r="FL96" s="21"/>
      <c r="FM96" s="4"/>
      <c r="FR96" s="21"/>
      <c r="FS96" s="4"/>
      <c r="FX96" s="21"/>
      <c r="FY96" s="4"/>
      <c r="GD96" s="21"/>
      <c r="GE96" s="4"/>
      <c r="GJ96" s="21"/>
      <c r="GK96" s="4"/>
      <c r="GP96" s="21"/>
      <c r="GQ96" s="4"/>
    </row>
    <row r="97" spans="1:209" s="12" customFormat="1" ht="16" hidden="1" outlineLevel="2" thickBot="1" x14ac:dyDescent="0.25">
      <c r="A97" s="1786">
        <f>IF(J98=0,0,D98/G98)</f>
        <v>0</v>
      </c>
      <c r="B97" s="2967" t="s">
        <v>1458</v>
      </c>
      <c r="C97" s="1787">
        <f>IF(F98=0,0,ROUNDUP(MAX(L97*3,$N$187/L98),0)+L97)</f>
        <v>0</v>
      </c>
      <c r="D97" s="1788">
        <f>F98*L97</f>
        <v>0</v>
      </c>
      <c r="E97" s="1789">
        <f>O188</f>
        <v>0</v>
      </c>
      <c r="F97" s="1790">
        <f>VLOOKUP(B98,HWRange,7,FALSE)</f>
        <v>69.75</v>
      </c>
      <c r="G97" s="1791">
        <f>VLOOKUP(B98,HWRange,6,FALSE)</f>
        <v>279</v>
      </c>
      <c r="H97" s="161" t="s">
        <v>365</v>
      </c>
      <c r="I97" s="1792">
        <v>0.8</v>
      </c>
      <c r="J97" s="1793"/>
      <c r="K97" s="1877">
        <f>IF(LEFT(B98,3)=S99,1,P188)</f>
        <v>0</v>
      </c>
      <c r="L97" s="491">
        <f>VLOOKUP(B98,HWRange,3,FALSE)</f>
        <v>4</v>
      </c>
      <c r="M97" s="1794"/>
      <c r="N97" s="1795"/>
      <c r="O97" s="1796"/>
      <c r="P97" s="1797"/>
      <c r="Q97" s="1734">
        <f>IF($A97&lt;0.9999, $A97/((1+$CJ$2*$A97*($L97-1))*(1-$A97)),2000)</f>
        <v>0</v>
      </c>
      <c r="R97" s="1588" t="s">
        <v>412</v>
      </c>
      <c r="S97" s="1815" t="s">
        <v>366</v>
      </c>
      <c r="T97" s="135">
        <v>10000</v>
      </c>
      <c r="U97" s="1831">
        <f>IF(J98&gt;0,IF(AND(M98="",N98=""),GU$22/F98,GU$22/F98),0)</f>
        <v>0</v>
      </c>
      <c r="V97" s="2968">
        <f>IF(V98=0,0,$A97)</f>
        <v>0</v>
      </c>
      <c r="W97" s="2968">
        <f t="shared" ref="W97:AB97" si="73">IF(W98=0,0,$A97)</f>
        <v>0</v>
      </c>
      <c r="X97" s="2968">
        <f t="shared" si="73"/>
        <v>0</v>
      </c>
      <c r="Y97" s="2968">
        <f t="shared" si="73"/>
        <v>0</v>
      </c>
      <c r="Z97" s="2968">
        <f t="shared" si="73"/>
        <v>0</v>
      </c>
      <c r="AA97" s="2968">
        <f t="shared" si="73"/>
        <v>0</v>
      </c>
      <c r="AB97" s="2968">
        <f t="shared" si="73"/>
        <v>0</v>
      </c>
      <c r="AC97" s="2970">
        <f>IF(AC98=0,0,$A97)</f>
        <v>0</v>
      </c>
      <c r="AD97" s="1830">
        <f>E97</f>
        <v>0</v>
      </c>
      <c r="AE97" s="2856">
        <f>D97</f>
        <v>0</v>
      </c>
      <c r="AF97" s="2975" t="str">
        <f>IF(H98&gt;0,D97*(1-A97)*(2-$H$195),"")</f>
        <v/>
      </c>
      <c r="AG97" s="1415"/>
      <c r="AH97" s="1415"/>
      <c r="AI97" s="1415"/>
      <c r="AJ97" s="1415"/>
      <c r="AK97" s="1415"/>
      <c r="AL97" s="1415"/>
      <c r="AM97" s="1415"/>
      <c r="AN97" s="1415"/>
      <c r="AO97" s="1415"/>
      <c r="AP97" s="1415"/>
      <c r="AQ97" s="1415"/>
      <c r="AR97" s="1415"/>
      <c r="AS97" s="1415"/>
      <c r="AT97" s="1415"/>
      <c r="AU97" s="1415"/>
      <c r="AV97" s="1415"/>
      <c r="AW97" s="1415"/>
      <c r="AX97" s="1415"/>
      <c r="AY97" s="1415"/>
      <c r="AZ97" s="1415"/>
      <c r="BA97" s="1415"/>
      <c r="BB97" s="1415"/>
      <c r="BC97" s="20"/>
      <c r="BF97" s="13"/>
      <c r="BG97" s="15"/>
      <c r="BH97" s="15"/>
      <c r="BI97" s="15"/>
      <c r="BJ97" s="15"/>
      <c r="BK97" s="15"/>
      <c r="BL97" s="15"/>
      <c r="BM97" s="15"/>
      <c r="BN97" s="15"/>
      <c r="BO97" s="15"/>
      <c r="BP97" s="1799">
        <f>IF(A97&gt;0,1,0)</f>
        <v>0</v>
      </c>
      <c r="BQ97" s="892"/>
      <c r="BR97" s="892"/>
      <c r="BS97" s="892"/>
      <c r="BT97" s="892"/>
      <c r="BU97" s="892"/>
      <c r="BV97" s="892"/>
      <c r="BW97" s="892"/>
      <c r="BX97" s="892"/>
      <c r="BY97" s="892"/>
      <c r="BZ97" s="892"/>
      <c r="CA97" s="892"/>
      <c r="CB97" s="892"/>
      <c r="CC97" s="892"/>
      <c r="CD97" s="892"/>
      <c r="CE97" s="892"/>
      <c r="CF97" s="892"/>
      <c r="CG97" s="1691">
        <f>A97</f>
        <v>0</v>
      </c>
      <c r="CH97" s="14" t="str">
        <f>B98</f>
        <v>Xeon Gold 5122 4 core (1 chip) 3600 MHz</v>
      </c>
      <c r="CI97" s="1180">
        <f>F97</f>
        <v>69.75</v>
      </c>
      <c r="CJ97" s="1180">
        <f>G97</f>
        <v>279</v>
      </c>
      <c r="CK97" s="2724">
        <f>T97</f>
        <v>10000</v>
      </c>
      <c r="CL97" s="13"/>
      <c r="CM97" s="18"/>
      <c r="CN97" s="13"/>
      <c r="CQ97" s="13"/>
      <c r="CR97" s="18"/>
      <c r="CU97" s="13"/>
      <c r="DA97" s="13"/>
      <c r="DB97" s="18"/>
      <c r="DE97" s="13"/>
      <c r="DF97" s="18"/>
      <c r="DI97" s="13"/>
      <c r="DJ97" s="20"/>
      <c r="DK97" s="20"/>
      <c r="DL97" s="13"/>
      <c r="DM97" s="20"/>
      <c r="DN97" s="18"/>
      <c r="DO97" s="18"/>
      <c r="DP97" s="19"/>
      <c r="DQ97" s="20"/>
      <c r="DR97" s="18"/>
      <c r="DS97" s="18"/>
      <c r="DW97" s="20"/>
      <c r="DX97" s="18"/>
      <c r="EC97" s="20"/>
      <c r="EH97" s="18"/>
      <c r="EI97" s="20"/>
      <c r="EN97" s="18"/>
      <c r="EO97" s="20"/>
      <c r="ET97" s="18"/>
      <c r="EU97" s="20"/>
      <c r="EZ97" s="18"/>
      <c r="FA97" s="20"/>
      <c r="FF97" s="18"/>
      <c r="FG97" s="20"/>
      <c r="FL97" s="18"/>
      <c r="FM97" s="20"/>
      <c r="FR97" s="18"/>
      <c r="FS97" s="20"/>
      <c r="FX97" s="18"/>
      <c r="FY97" s="20"/>
      <c r="GD97" s="18"/>
      <c r="GE97" s="20"/>
      <c r="GJ97" s="18"/>
      <c r="GK97" s="20"/>
      <c r="GP97" s="18"/>
      <c r="GQ97" s="20"/>
    </row>
    <row r="98" spans="1:209" s="12" customFormat="1" ht="17" hidden="1" outlineLevel="2" thickBot="1" x14ac:dyDescent="0.25">
      <c r="A98" s="1800"/>
      <c r="B98" s="156" t="str">
        <f>B95</f>
        <v>Xeon Gold 5122 4 core (1 chip) 3600 MHz</v>
      </c>
      <c r="C98" s="258" t="str">
        <f>A191</f>
        <v>Host04</v>
      </c>
      <c r="D98" s="1801">
        <f>IF(J98=0,0,J98*($BO$2/F97))</f>
        <v>0</v>
      </c>
      <c r="E98" s="1802">
        <f>IF(J98=0,0,L97*60)</f>
        <v>0</v>
      </c>
      <c r="F98" s="142">
        <f>IF(J98=0,0,IF(H98,H98,IF(H99=$I$191,L98+1,L98)))</f>
        <v>0</v>
      </c>
      <c r="G98" s="1803">
        <f>IF(J98=0,0,IF(F98&gt;0,+E98*F98,"Nodes?"))</f>
        <v>0</v>
      </c>
      <c r="H98" s="143"/>
      <c r="I98" s="1861" t="s">
        <v>408</v>
      </c>
      <c r="J98" s="2391">
        <f>$H$195*$M$188</f>
        <v>0</v>
      </c>
      <c r="K98" s="1804">
        <v>2</v>
      </c>
      <c r="L98" s="1805">
        <f>IF(H98,H98,IF(J98=0,1,IF(D98&gt;0,+INT(D98/(E98*I97))+1,1)))</f>
        <v>1</v>
      </c>
      <c r="M98" s="1806"/>
      <c r="N98" s="1807"/>
      <c r="O98" s="1808"/>
      <c r="P98" s="1809"/>
      <c r="Q98" s="1816" t="str">
        <f>VLOOKUP(B98,HWRange,2,FALSE)</f>
        <v>Xeon Gold 5122</v>
      </c>
      <c r="R98" s="1810">
        <f>F98*VLOOKUP(B98,HWRange,8,FALSE)</f>
        <v>0</v>
      </c>
      <c r="S98" s="1981" t="str">
        <f>IF(D98&gt;0,I97*$Q$188/A97-1,"")</f>
        <v/>
      </c>
      <c r="T98" s="135">
        <v>10000</v>
      </c>
      <c r="U98" s="1608">
        <f>IF(J98=0,0,IF(U99=$I$192,U97,0))</f>
        <v>0</v>
      </c>
      <c r="V98" s="2971">
        <f>IF(G98&gt;0,1,0)</f>
        <v>0</v>
      </c>
      <c r="W98" s="2972">
        <f t="shared" ref="W98:AB98" si="74">IF(V98&gt;0,IF($F98&gt;V98,V98+1,0),0)</f>
        <v>0</v>
      </c>
      <c r="X98" s="2972">
        <f t="shared" si="74"/>
        <v>0</v>
      </c>
      <c r="Y98" s="2972">
        <f t="shared" si="74"/>
        <v>0</v>
      </c>
      <c r="Z98" s="2972">
        <f t="shared" si="74"/>
        <v>0</v>
      </c>
      <c r="AA98" s="2972">
        <f t="shared" si="74"/>
        <v>0</v>
      </c>
      <c r="AB98" s="2972">
        <f t="shared" si="74"/>
        <v>0</v>
      </c>
      <c r="AC98" s="2973">
        <f>IF(AB98&gt;0,IF($F98&gt;AB98,"…"&amp;$F98,0),0)</f>
        <v>0</v>
      </c>
      <c r="AD98" s="2974">
        <f>F98</f>
        <v>0</v>
      </c>
      <c r="AE98" s="2857">
        <f>A97</f>
        <v>0</v>
      </c>
      <c r="AF98" s="2998">
        <f>AF$23</f>
        <v>24</v>
      </c>
      <c r="AG98" s="1415"/>
      <c r="AH98" s="1415"/>
      <c r="AI98" s="1415"/>
      <c r="AJ98" s="1415"/>
      <c r="AK98" s="1415"/>
      <c r="AL98" s="1415"/>
      <c r="AM98" s="1415"/>
      <c r="AN98" s="1415"/>
      <c r="AO98" s="1415"/>
      <c r="AP98" s="1415"/>
      <c r="AQ98" s="1415"/>
      <c r="AR98" s="1415"/>
      <c r="AS98" s="1415"/>
      <c r="AT98" s="1415"/>
      <c r="AU98" s="1415"/>
      <c r="AV98" s="1415"/>
      <c r="AW98" s="1415"/>
      <c r="AX98" s="1415"/>
      <c r="AY98" s="1415"/>
      <c r="AZ98" s="1415"/>
      <c r="BA98" s="1415"/>
      <c r="BB98" s="1415"/>
      <c r="BC98" s="20"/>
      <c r="BF98" s="13"/>
      <c r="BG98" s="15"/>
      <c r="BH98" s="15"/>
      <c r="BI98" s="15"/>
      <c r="BJ98" s="15"/>
      <c r="BK98" s="15"/>
      <c r="BL98" s="15"/>
      <c r="BM98" s="15"/>
      <c r="BN98" s="15"/>
      <c r="BO98" s="15"/>
      <c r="BP98" s="893"/>
      <c r="BQ98" s="1817"/>
      <c r="BR98" s="1817"/>
      <c r="BS98" s="1817"/>
      <c r="BT98" s="1817"/>
      <c r="BU98" s="1817"/>
      <c r="BV98" s="1818"/>
      <c r="BW98" s="1818"/>
      <c r="BX98" s="1818"/>
      <c r="BY98" s="1818"/>
      <c r="BZ98" s="1818"/>
      <c r="CA98" s="1818"/>
      <c r="CB98" s="1818"/>
      <c r="CC98" s="1818"/>
      <c r="CD98" s="1818"/>
      <c r="CE98" s="1818"/>
      <c r="CF98" s="894"/>
      <c r="CG98" s="1697" t="str">
        <f>IF(ISERROR(FIND(":",B97)),B97,LEFT(B97,FIND(":",B97)-1))</f>
        <v>Host04</v>
      </c>
      <c r="CH98" s="1698" t="str">
        <f>J99&amp;" physical and "&amp;K99&amp;" virtual core"</f>
        <v>0 physical and 0 virtual core</v>
      </c>
      <c r="CI98" s="1181">
        <f>F98</f>
        <v>0</v>
      </c>
      <c r="CJ98" s="2719">
        <f>D97</f>
        <v>0</v>
      </c>
      <c r="CK98" s="2724">
        <f>T98</f>
        <v>10000</v>
      </c>
      <c r="CL98" s="13"/>
      <c r="CM98" s="18"/>
      <c r="CN98" s="13"/>
      <c r="CQ98" s="13"/>
      <c r="CR98" s="18"/>
      <c r="CU98" s="13"/>
      <c r="DA98" s="13"/>
      <c r="DB98" s="18"/>
      <c r="DE98" s="13"/>
      <c r="DF98" s="18"/>
      <c r="DI98" s="13"/>
      <c r="DJ98" s="20"/>
      <c r="DK98" s="20"/>
      <c r="DL98" s="13"/>
      <c r="DM98" s="20"/>
      <c r="DN98" s="18"/>
      <c r="DO98" s="18"/>
      <c r="DP98" s="19"/>
      <c r="DQ98" s="20"/>
      <c r="DR98" s="21"/>
      <c r="DS98" s="21"/>
      <c r="DW98" s="20"/>
      <c r="DX98" s="21"/>
      <c r="EC98" s="20"/>
      <c r="EH98" s="21"/>
      <c r="EI98" s="20"/>
      <c r="EN98" s="21"/>
      <c r="EO98" s="20"/>
      <c r="ET98" s="21"/>
      <c r="EU98" s="20"/>
      <c r="EZ98" s="21"/>
      <c r="FA98" s="20"/>
      <c r="FF98" s="21"/>
      <c r="FG98" s="20"/>
      <c r="FL98" s="21"/>
      <c r="FM98" s="20"/>
      <c r="FR98" s="21"/>
      <c r="FS98" s="20"/>
      <c r="FX98" s="21"/>
      <c r="FY98" s="20"/>
      <c r="GD98" s="21"/>
      <c r="GE98" s="20"/>
      <c r="GJ98" s="21"/>
      <c r="GK98" s="20"/>
      <c r="GP98" s="21"/>
      <c r="GQ98" s="20"/>
    </row>
    <row r="99" spans="1:209" s="12" customFormat="1" ht="14" hidden="1" outlineLevel="1" collapsed="1" x14ac:dyDescent="0.2">
      <c r="A99" s="916">
        <f>IF(A97=0,0,ROUND(100*A97,0)&amp;"% CPU")</f>
        <v>0</v>
      </c>
      <c r="B99" s="917">
        <f>IF(A97&gt;0,$A$191&amp;": "&amp;F98&amp;"x "&amp;B98&amp;" "&amp;C97&amp;" GB RAM",0)</f>
        <v>0</v>
      </c>
      <c r="C99" s="1775">
        <f>IF(A97&gt;0,IF(B99="","",R97),0)</f>
        <v>0</v>
      </c>
      <c r="D99" s="1776">
        <f>IF(D98&gt;0,ROUND(D98*60/1000,0)&amp;"K sec",0)</f>
        <v>0</v>
      </c>
      <c r="E99" s="1777">
        <f>IF(E98&gt;0,ROUND(E98*60/1000,0)&amp;"K sec/hr",0)</f>
        <v>0</v>
      </c>
      <c r="F99" s="920">
        <f>F98</f>
        <v>0</v>
      </c>
      <c r="G99" s="1777">
        <f>IF(G98&gt;0,ROUND(G98*60/1000,0)&amp;"K sec/hr",0)</f>
        <v>0</v>
      </c>
      <c r="H99" s="921" t="str">
        <f>H$23</f>
        <v>Minimum</v>
      </c>
      <c r="I99" s="1778">
        <f>IF(J99&gt;0,K99&amp;":"&amp;J99,0)</f>
        <v>0</v>
      </c>
      <c r="J99" s="1779">
        <f>D97</f>
        <v>0</v>
      </c>
      <c r="K99" s="1980">
        <f>E97</f>
        <v>0</v>
      </c>
      <c r="L99" s="1780"/>
      <c r="M99" s="2317" t="str">
        <f>A191</f>
        <v>Host04</v>
      </c>
      <c r="N99" s="1781"/>
      <c r="O99" s="1781"/>
      <c r="P99" s="922"/>
      <c r="Q99" s="3110">
        <f>IF(A97&gt;0,R99*F99/D97,0)</f>
        <v>0</v>
      </c>
      <c r="R99" s="3110">
        <f>O188</f>
        <v>0</v>
      </c>
      <c r="S99" s="3109" t="str">
        <f>IF(OR(LEFT(B98,3)="AMI",LEFT(B98,3)="AZI"),LEFT(B98,3),"")</f>
        <v/>
      </c>
      <c r="T99" s="1783" t="str">
        <f>U99</f>
        <v>Data</v>
      </c>
      <c r="U99" s="57" t="s">
        <v>329</v>
      </c>
      <c r="V99" s="1819">
        <f>IF(A97&gt;0,B99&amp;" "&amp;C99&amp;IF(B99="",""," GB RAM"),0)</f>
        <v>0</v>
      </c>
      <c r="W99" s="1819"/>
      <c r="X99" s="1819"/>
      <c r="Y99" s="1819"/>
      <c r="Z99" s="1819"/>
      <c r="AA99" s="1819"/>
      <c r="AB99" s="1819"/>
      <c r="AC99" s="1819"/>
      <c r="AD99" s="1819"/>
      <c r="AE99" s="1820">
        <f>IF(A97&gt;0,F97,0)</f>
        <v>0</v>
      </c>
      <c r="AF99" s="2875">
        <f>H98*(HWPricing!$I$5+VLOOKUP(AF98,GPU_Pricing,2,FALSE))</f>
        <v>0</v>
      </c>
      <c r="AG99" s="1415"/>
      <c r="AH99" s="1415"/>
      <c r="AI99" s="1415"/>
      <c r="AJ99" s="1415"/>
      <c r="AK99" s="1415"/>
      <c r="AL99" s="1415"/>
      <c r="AM99" s="1415"/>
      <c r="AN99" s="1415"/>
      <c r="AO99" s="1415"/>
      <c r="AP99" s="1415"/>
      <c r="AQ99" s="1415"/>
      <c r="AR99" s="1415"/>
      <c r="AS99" s="1415"/>
      <c r="AT99" s="1415"/>
      <c r="AU99" s="1415"/>
      <c r="AV99" s="1415"/>
      <c r="AW99" s="1415"/>
      <c r="AX99" s="1415"/>
      <c r="AY99" s="1415"/>
      <c r="AZ99" s="1415"/>
      <c r="BA99" s="1415"/>
      <c r="BB99" s="1415"/>
      <c r="BC99" s="4"/>
      <c r="BF99" s="13"/>
      <c r="BG99" s="15"/>
      <c r="BH99" s="15"/>
      <c r="BI99" s="15"/>
      <c r="BJ99" s="15"/>
      <c r="BK99" s="15"/>
      <c r="BL99" s="15"/>
      <c r="BM99" s="15"/>
      <c r="BN99" s="15"/>
      <c r="BO99" s="15"/>
      <c r="BP99" s="924"/>
      <c r="BQ99" s="1785"/>
      <c r="BR99" s="1785"/>
      <c r="BS99" s="1785"/>
      <c r="BT99" s="1785"/>
      <c r="BU99" s="1785"/>
      <c r="BV99" s="1785"/>
      <c r="BW99" s="1785"/>
      <c r="BX99" s="1785"/>
      <c r="BY99" s="1785"/>
      <c r="BZ99" s="1785"/>
      <c r="CA99" s="1785"/>
      <c r="CB99" s="1785"/>
      <c r="CC99" s="1785"/>
      <c r="CD99" s="1785"/>
      <c r="CE99" s="1785"/>
      <c r="CF99" s="1782"/>
      <c r="CG99" s="3403">
        <f>B99</f>
        <v>0</v>
      </c>
      <c r="CH99" s="3404"/>
      <c r="CI99" s="3404"/>
      <c r="CJ99" s="3404"/>
      <c r="CK99" s="2726"/>
      <c r="CL99" s="13"/>
      <c r="CM99" s="18"/>
      <c r="CN99" s="13"/>
      <c r="CQ99" s="13"/>
      <c r="CR99" s="18"/>
      <c r="CU99" s="13"/>
      <c r="DA99" s="13"/>
      <c r="DB99" s="18"/>
      <c r="DE99" s="13"/>
      <c r="DF99" s="18"/>
      <c r="DI99" s="13"/>
      <c r="DJ99" s="4"/>
      <c r="DK99" s="4"/>
      <c r="DL99" s="13"/>
      <c r="DM99" s="4"/>
      <c r="DN99" s="18"/>
      <c r="DO99" s="18"/>
      <c r="DP99" s="19"/>
      <c r="DQ99" s="4"/>
      <c r="DR99" s="21"/>
      <c r="DS99" s="21"/>
      <c r="DW99" s="4"/>
      <c r="DX99" s="21"/>
      <c r="EC99" s="4"/>
      <c r="EH99" s="21"/>
      <c r="EI99" s="4"/>
      <c r="EN99" s="21"/>
      <c r="EO99" s="4"/>
      <c r="ET99" s="21"/>
      <c r="EU99" s="4"/>
      <c r="EZ99" s="21"/>
      <c r="FA99" s="4"/>
      <c r="FF99" s="21"/>
      <c r="FG99" s="4"/>
      <c r="FL99" s="21"/>
      <c r="FM99" s="4"/>
      <c r="FR99" s="21"/>
      <c r="FS99" s="4"/>
      <c r="FX99" s="21"/>
      <c r="FY99" s="4"/>
      <c r="GD99" s="21"/>
      <c r="GE99" s="4"/>
      <c r="GJ99" s="21"/>
      <c r="GK99" s="4"/>
      <c r="GP99" s="21"/>
      <c r="GQ99" s="4"/>
    </row>
    <row r="100" spans="1:209" s="12" customFormat="1" ht="16" hidden="1" outlineLevel="2" thickBot="1" x14ac:dyDescent="0.25">
      <c r="A100" s="1786">
        <f>IF(J101=0,0,D101/G101)</f>
        <v>0</v>
      </c>
      <c r="B100" s="2967" t="s">
        <v>1459</v>
      </c>
      <c r="C100" s="1787">
        <f>IF(F101=0,0,ROUNDUP(MAX(L100*3,$N$187/L101),0)+L100)</f>
        <v>0</v>
      </c>
      <c r="D100" s="1788">
        <f>F101*L100</f>
        <v>0</v>
      </c>
      <c r="E100" s="1789">
        <f>O189</f>
        <v>0</v>
      </c>
      <c r="F100" s="1790">
        <f>VLOOKUP(B101,HWRange,7,FALSE)</f>
        <v>69.75</v>
      </c>
      <c r="G100" s="1791">
        <f>VLOOKUP(B101,HWRange,6,FALSE)</f>
        <v>279</v>
      </c>
      <c r="H100" s="161" t="s">
        <v>365</v>
      </c>
      <c r="I100" s="1792">
        <v>0.8</v>
      </c>
      <c r="J100" s="1793"/>
      <c r="K100" s="1877">
        <f>IF(LEFT(B101,3)=S102,1,P189)</f>
        <v>0</v>
      </c>
      <c r="L100" s="491">
        <f>VLOOKUP(B101,HWRange,3,FALSE)</f>
        <v>4</v>
      </c>
      <c r="M100" s="1794"/>
      <c r="N100" s="1795"/>
      <c r="O100" s="1796"/>
      <c r="P100" s="1797"/>
      <c r="Q100" s="1734">
        <f>IF($A100&lt;0.9999, $A100/((1+$CJ$2*$A100*($L100-1))*(1-$A100)),2000)</f>
        <v>0</v>
      </c>
      <c r="R100" s="1588" t="s">
        <v>412</v>
      </c>
      <c r="S100" s="1815" t="s">
        <v>366</v>
      </c>
      <c r="T100" s="135">
        <v>10000</v>
      </c>
      <c r="U100" s="1831">
        <f>IF(J101&gt;0,IF(AND(M101="",N101=""),GU$22/F101,GU$22/F101),0)</f>
        <v>0</v>
      </c>
      <c r="V100" s="2968">
        <f>IF(V101=0,0,$A100)</f>
        <v>0</v>
      </c>
      <c r="W100" s="2968">
        <f t="shared" ref="W100:AB100" si="75">IF(W101=0,0,$A100)</f>
        <v>0</v>
      </c>
      <c r="X100" s="2968">
        <f t="shared" si="75"/>
        <v>0</v>
      </c>
      <c r="Y100" s="2968">
        <f t="shared" si="75"/>
        <v>0</v>
      </c>
      <c r="Z100" s="2968">
        <f t="shared" si="75"/>
        <v>0</v>
      </c>
      <c r="AA100" s="2968">
        <f t="shared" si="75"/>
        <v>0</v>
      </c>
      <c r="AB100" s="2968">
        <f t="shared" si="75"/>
        <v>0</v>
      </c>
      <c r="AC100" s="2970">
        <f>IF(AC101=0,0,$A100)</f>
        <v>0</v>
      </c>
      <c r="AD100" s="1830">
        <f>E100</f>
        <v>0</v>
      </c>
      <c r="AE100" s="2856">
        <f>D100</f>
        <v>0</v>
      </c>
      <c r="AF100" s="2975" t="str">
        <f>IF(H101&gt;0,D100*(1-A100)*(2-$H$195),"")</f>
        <v/>
      </c>
      <c r="AG100" s="1415"/>
      <c r="AH100" s="1415"/>
      <c r="AI100" s="1415"/>
      <c r="AJ100" s="1415"/>
      <c r="AK100" s="1415"/>
      <c r="AL100" s="1415"/>
      <c r="AM100" s="1415"/>
      <c r="AN100" s="1415"/>
      <c r="AO100" s="1415"/>
      <c r="AP100" s="1415"/>
      <c r="AQ100" s="1415"/>
      <c r="AR100" s="1415"/>
      <c r="AS100" s="1415"/>
      <c r="AT100" s="1415"/>
      <c r="AU100" s="1415"/>
      <c r="AV100" s="1415"/>
      <c r="AW100" s="1415"/>
      <c r="AX100" s="1415"/>
      <c r="AY100" s="1415"/>
      <c r="AZ100" s="1415"/>
      <c r="BA100" s="1415"/>
      <c r="BB100" s="1415"/>
      <c r="BC100" s="20"/>
      <c r="BF100" s="13"/>
      <c r="BG100" s="15"/>
      <c r="BH100" s="15"/>
      <c r="BI100" s="15"/>
      <c r="BJ100" s="15"/>
      <c r="BK100" s="15"/>
      <c r="BL100" s="15"/>
      <c r="BM100" s="15"/>
      <c r="BN100" s="15"/>
      <c r="BO100" s="15"/>
      <c r="BP100" s="1799">
        <f>IF(A100&gt;0,1,0)</f>
        <v>0</v>
      </c>
      <c r="BQ100" s="892"/>
      <c r="BR100" s="892"/>
      <c r="BS100" s="892"/>
      <c r="BT100" s="892"/>
      <c r="BU100" s="892"/>
      <c r="BV100" s="892"/>
      <c r="BW100" s="892"/>
      <c r="BX100" s="892"/>
      <c r="BY100" s="892"/>
      <c r="BZ100" s="892"/>
      <c r="CA100" s="892"/>
      <c r="CB100" s="892"/>
      <c r="CC100" s="892"/>
      <c r="CD100" s="892"/>
      <c r="CE100" s="892"/>
      <c r="CF100" s="892"/>
      <c r="CG100" s="1691">
        <f>A100</f>
        <v>0</v>
      </c>
      <c r="CH100" s="14" t="str">
        <f>B101</f>
        <v>Xeon Gold 5122 4 core (1 chip) 3600 MHz</v>
      </c>
      <c r="CI100" s="1180">
        <f>F100</f>
        <v>69.75</v>
      </c>
      <c r="CJ100" s="1180">
        <f>G100</f>
        <v>279</v>
      </c>
      <c r="CK100" s="2724">
        <f>T100</f>
        <v>10000</v>
      </c>
      <c r="CL100" s="13"/>
      <c r="CM100" s="18"/>
      <c r="CN100" s="13"/>
      <c r="CQ100" s="13"/>
      <c r="CR100" s="18"/>
      <c r="CU100" s="13"/>
      <c r="DA100" s="13"/>
      <c r="DB100" s="18"/>
      <c r="DE100" s="13"/>
      <c r="DF100" s="18"/>
      <c r="DI100" s="13"/>
      <c r="DJ100" s="20"/>
      <c r="DK100" s="20"/>
      <c r="DL100" s="13"/>
      <c r="DM100" s="20"/>
      <c r="DN100" s="18"/>
      <c r="DO100" s="18"/>
      <c r="DP100" s="19"/>
      <c r="DQ100" s="20"/>
      <c r="DR100" s="18"/>
      <c r="DS100" s="18"/>
      <c r="DW100" s="20"/>
      <c r="DX100" s="18"/>
      <c r="EC100" s="20"/>
      <c r="EH100" s="18"/>
      <c r="EI100" s="20"/>
      <c r="EN100" s="18"/>
      <c r="EO100" s="20"/>
      <c r="ET100" s="18"/>
      <c r="EU100" s="20"/>
      <c r="EZ100" s="18"/>
      <c r="FA100" s="20"/>
      <c r="FF100" s="18"/>
      <c r="FG100" s="20"/>
      <c r="FL100" s="18"/>
      <c r="FM100" s="20"/>
      <c r="FR100" s="18"/>
      <c r="FS100" s="20"/>
      <c r="FX100" s="18"/>
      <c r="FY100" s="20"/>
      <c r="GD100" s="18"/>
      <c r="GE100" s="20"/>
      <c r="GJ100" s="18"/>
      <c r="GK100" s="20"/>
      <c r="GP100" s="18"/>
      <c r="GQ100" s="20"/>
    </row>
    <row r="101" spans="1:209" s="12" customFormat="1" ht="17" hidden="1" outlineLevel="2" thickBot="1" x14ac:dyDescent="0.25">
      <c r="A101" s="1800"/>
      <c r="B101" s="156" t="str">
        <f>B98</f>
        <v>Xeon Gold 5122 4 core (1 chip) 3600 MHz</v>
      </c>
      <c r="C101" s="258" t="str">
        <f>A192</f>
        <v>Host05</v>
      </c>
      <c r="D101" s="1801">
        <f>IF(J101=0,0,J101*($BO$2/F100))</f>
        <v>0</v>
      </c>
      <c r="E101" s="1802">
        <f>IF(J101=0,0,L100*60)</f>
        <v>0</v>
      </c>
      <c r="F101" s="142">
        <f>IF(J101=0,0,IF(H101,H101,IF(H102=$I$191,L101+1,L101)))</f>
        <v>0</v>
      </c>
      <c r="G101" s="1803">
        <f>IF(J101=0,0,IF(F101&gt;0,+E101*F101,"Nodes?"))</f>
        <v>0</v>
      </c>
      <c r="H101" s="143"/>
      <c r="I101" s="1861" t="s">
        <v>408</v>
      </c>
      <c r="J101" s="2391">
        <f>$H$195*$M$189</f>
        <v>0</v>
      </c>
      <c r="K101" s="1804">
        <v>2</v>
      </c>
      <c r="L101" s="1805">
        <f>IF(H101,H101,IF(J101=0,1,IF(D101&gt;0,+INT(D101/(E101*I100))+1,1)))</f>
        <v>1</v>
      </c>
      <c r="M101" s="1806"/>
      <c r="N101" s="1807"/>
      <c r="O101" s="1808"/>
      <c r="P101" s="1809"/>
      <c r="Q101" s="1816" t="str">
        <f>VLOOKUP(B101,HWRange,2,FALSE)</f>
        <v>Xeon Gold 5122</v>
      </c>
      <c r="R101" s="1810">
        <f>F101*VLOOKUP(B101,HWRange,8,FALSE)</f>
        <v>0</v>
      </c>
      <c r="S101" s="1981" t="str">
        <f>IF(D101&gt;0,I100*$Q$189/A100-1,"")</f>
        <v/>
      </c>
      <c r="T101" s="135">
        <v>10000</v>
      </c>
      <c r="U101" s="1608">
        <f>IF(J101=0,0,IF(U102=$I$192,U100,0))</f>
        <v>0</v>
      </c>
      <c r="V101" s="2971">
        <f>IF(G101&gt;0,1,0)</f>
        <v>0</v>
      </c>
      <c r="W101" s="2972">
        <f t="shared" ref="W101:AB101" si="76">IF(V101&gt;0,IF($F101&gt;V101,V101+1,0),0)</f>
        <v>0</v>
      </c>
      <c r="X101" s="2972">
        <f t="shared" si="76"/>
        <v>0</v>
      </c>
      <c r="Y101" s="2972">
        <f t="shared" si="76"/>
        <v>0</v>
      </c>
      <c r="Z101" s="2972">
        <f t="shared" si="76"/>
        <v>0</v>
      </c>
      <c r="AA101" s="2972">
        <f t="shared" si="76"/>
        <v>0</v>
      </c>
      <c r="AB101" s="2972">
        <f t="shared" si="76"/>
        <v>0</v>
      </c>
      <c r="AC101" s="2973">
        <f>IF(AB101&gt;0,IF($F101&gt;AB101,"…"&amp;$F101,0),0)</f>
        <v>0</v>
      </c>
      <c r="AD101" s="2974">
        <f>F101</f>
        <v>0</v>
      </c>
      <c r="AE101" s="2857">
        <f>A100</f>
        <v>0</v>
      </c>
      <c r="AF101" s="2998">
        <f>AF$23</f>
        <v>24</v>
      </c>
      <c r="AG101" s="1415"/>
      <c r="AH101" s="1415"/>
      <c r="AI101" s="1415"/>
      <c r="AJ101" s="1415"/>
      <c r="AK101" s="1415"/>
      <c r="AL101" s="1415"/>
      <c r="AM101" s="1415"/>
      <c r="AN101" s="1415"/>
      <c r="AO101" s="1415"/>
      <c r="AP101" s="1415"/>
      <c r="AQ101" s="1415"/>
      <c r="AR101" s="1415"/>
      <c r="AS101" s="1415"/>
      <c r="AT101" s="1415"/>
      <c r="AU101" s="1415"/>
      <c r="AV101" s="1415"/>
      <c r="AW101" s="1415"/>
      <c r="AX101" s="1415"/>
      <c r="AY101" s="1415"/>
      <c r="AZ101" s="1415"/>
      <c r="BA101" s="1415"/>
      <c r="BB101" s="1415"/>
      <c r="BC101" s="20"/>
      <c r="BF101" s="13"/>
      <c r="BG101" s="15"/>
      <c r="BH101" s="15"/>
      <c r="BI101" s="15"/>
      <c r="BJ101" s="15"/>
      <c r="BK101" s="15"/>
      <c r="BL101" s="15"/>
      <c r="BM101" s="15"/>
      <c r="BN101" s="15"/>
      <c r="BO101" s="15"/>
      <c r="BP101" s="893"/>
      <c r="BQ101" s="1817"/>
      <c r="BR101" s="1817"/>
      <c r="BS101" s="1817"/>
      <c r="BT101" s="1817"/>
      <c r="BU101" s="1817"/>
      <c r="BV101" s="1818"/>
      <c r="BW101" s="1818"/>
      <c r="BX101" s="1818"/>
      <c r="BY101" s="1818"/>
      <c r="BZ101" s="1818"/>
      <c r="CA101" s="1818"/>
      <c r="CB101" s="1818"/>
      <c r="CC101" s="1818"/>
      <c r="CD101" s="1818"/>
      <c r="CE101" s="1818"/>
      <c r="CF101" s="894"/>
      <c r="CG101" s="1697" t="str">
        <f>IF(ISERROR(FIND(":",B100)),B100,LEFT(B100,FIND(":",B100)-1))</f>
        <v>Host05</v>
      </c>
      <c r="CH101" s="1698" t="str">
        <f>J102&amp;" physical and "&amp;K102&amp;" virtual core"</f>
        <v>0 physical and 0 virtual core</v>
      </c>
      <c r="CI101" s="1181">
        <f>F101</f>
        <v>0</v>
      </c>
      <c r="CJ101" s="2719">
        <f>D100</f>
        <v>0</v>
      </c>
      <c r="CK101" s="2724">
        <f>T101</f>
        <v>10000</v>
      </c>
      <c r="CL101" s="13"/>
      <c r="CM101" s="18"/>
      <c r="CN101" s="13"/>
      <c r="CQ101" s="13"/>
      <c r="CR101" s="18"/>
      <c r="CU101" s="13"/>
      <c r="DA101" s="13"/>
      <c r="DB101" s="18"/>
      <c r="DE101" s="13"/>
      <c r="DF101" s="18"/>
      <c r="DI101" s="13"/>
      <c r="DJ101" s="20"/>
      <c r="DK101" s="20"/>
      <c r="DL101" s="13"/>
      <c r="DM101" s="20"/>
      <c r="DN101" s="18"/>
      <c r="DO101" s="18"/>
      <c r="DP101" s="19"/>
      <c r="DQ101" s="20"/>
      <c r="DR101" s="21"/>
      <c r="DS101" s="21"/>
      <c r="DW101" s="20"/>
      <c r="DX101" s="21"/>
      <c r="EC101" s="20"/>
      <c r="EH101" s="21"/>
      <c r="EI101" s="20"/>
      <c r="EN101" s="21"/>
      <c r="EO101" s="20"/>
      <c r="ET101" s="21"/>
      <c r="EU101" s="20"/>
      <c r="EZ101" s="21"/>
      <c r="FA101" s="20"/>
      <c r="FF101" s="21"/>
      <c r="FG101" s="20"/>
      <c r="FL101" s="21"/>
      <c r="FM101" s="20"/>
      <c r="FR101" s="21"/>
      <c r="FS101" s="20"/>
      <c r="FX101" s="21"/>
      <c r="FY101" s="20"/>
      <c r="GD101" s="21"/>
      <c r="GE101" s="20"/>
      <c r="GJ101" s="21"/>
      <c r="GK101" s="20"/>
      <c r="GP101" s="21"/>
      <c r="GQ101" s="20"/>
    </row>
    <row r="102" spans="1:209" s="12" customFormat="1" ht="14" hidden="1" outlineLevel="1" collapsed="1" x14ac:dyDescent="0.2">
      <c r="A102" s="916">
        <f>IF(A100=0,0,ROUND(100*A100,0)&amp;"% CPU")</f>
        <v>0</v>
      </c>
      <c r="B102" s="917">
        <f>IF(A100&gt;0,$A$192&amp;": "&amp;F101&amp;"x "&amp;B101&amp;" "&amp;C100&amp;" GB RAM",0)</f>
        <v>0</v>
      </c>
      <c r="C102" s="1775">
        <f>IF(A100&gt;0,IF(B102="","",R100),0)</f>
        <v>0</v>
      </c>
      <c r="D102" s="1776">
        <f>IF(D101&gt;0,ROUND(D101*60/1000,0)&amp;"K sec",0)</f>
        <v>0</v>
      </c>
      <c r="E102" s="1777">
        <f>IF(E101&gt;0,ROUND(E101*60/1000,0)&amp;"K sec/hr",0)</f>
        <v>0</v>
      </c>
      <c r="F102" s="920">
        <f>F101</f>
        <v>0</v>
      </c>
      <c r="G102" s="1777">
        <f>IF(G101&gt;0,ROUND(G101*60/1000,0)&amp;"K sec/hr",0)</f>
        <v>0</v>
      </c>
      <c r="H102" s="921" t="str">
        <f>H$23</f>
        <v>Minimum</v>
      </c>
      <c r="I102" s="1778">
        <f>IF(J102&gt;0,K102&amp;":"&amp;J102,0)</f>
        <v>0</v>
      </c>
      <c r="J102" s="1779">
        <f>D100</f>
        <v>0</v>
      </c>
      <c r="K102" s="1980">
        <f>E100</f>
        <v>0</v>
      </c>
      <c r="L102" s="1780"/>
      <c r="M102" s="2317" t="str">
        <f>A192</f>
        <v>Host05</v>
      </c>
      <c r="N102" s="1781"/>
      <c r="O102" s="1781"/>
      <c r="P102" s="922"/>
      <c r="Q102" s="3110">
        <f>IF(A100&gt;0,R102*F102/D100,0)</f>
        <v>0</v>
      </c>
      <c r="R102" s="3110">
        <f>O189</f>
        <v>0</v>
      </c>
      <c r="S102" s="3109" t="str">
        <f>IF(OR(LEFT(B101,3)="AMI",LEFT(B101,3)="AZI"),LEFT(B101,3),"")</f>
        <v/>
      </c>
      <c r="T102" s="1783" t="str">
        <f>U102</f>
        <v>Data</v>
      </c>
      <c r="U102" s="57" t="s">
        <v>329</v>
      </c>
      <c r="V102" s="1819">
        <f>IF(A100&gt;0,B102&amp;" "&amp;C102&amp;IF(B102="",""," GB RAM"),0)</f>
        <v>0</v>
      </c>
      <c r="W102" s="1819"/>
      <c r="X102" s="1819"/>
      <c r="Y102" s="1819"/>
      <c r="Z102" s="1819"/>
      <c r="AA102" s="1819"/>
      <c r="AB102" s="1819"/>
      <c r="AC102" s="1819"/>
      <c r="AD102" s="1819"/>
      <c r="AE102" s="1820">
        <f>IF(A100&gt;0,F100,0)</f>
        <v>0</v>
      </c>
      <c r="AF102" s="2875">
        <f>H101*(HWPricing!$I$5+VLOOKUP(AF101,GPU_Pricing,2,FALSE))</f>
        <v>0</v>
      </c>
      <c r="AG102" s="1415"/>
      <c r="AH102" s="1415"/>
      <c r="AI102" s="1415"/>
      <c r="AJ102" s="1415"/>
      <c r="AK102" s="1415"/>
      <c r="AL102" s="1415"/>
      <c r="AM102" s="1415"/>
      <c r="AN102" s="1415"/>
      <c r="AO102" s="1415"/>
      <c r="AP102" s="1415"/>
      <c r="AQ102" s="1415"/>
      <c r="AR102" s="1415"/>
      <c r="AS102" s="1415"/>
      <c r="AT102" s="1415"/>
      <c r="AU102" s="1415"/>
      <c r="AV102" s="1415"/>
      <c r="AW102" s="1415"/>
      <c r="AX102" s="1415"/>
      <c r="AY102" s="1415"/>
      <c r="AZ102" s="1415"/>
      <c r="BA102" s="1415"/>
      <c r="BB102" s="1415"/>
      <c r="BC102" s="4"/>
      <c r="BF102" s="13"/>
      <c r="BG102" s="15"/>
      <c r="BH102" s="15"/>
      <c r="BI102" s="15"/>
      <c r="BJ102" s="15"/>
      <c r="BK102" s="15"/>
      <c r="BL102" s="15"/>
      <c r="BM102" s="15"/>
      <c r="BN102" s="15"/>
      <c r="BO102" s="15"/>
      <c r="BP102" s="924"/>
      <c r="BQ102" s="1785"/>
      <c r="BR102" s="1785"/>
      <c r="BS102" s="1785"/>
      <c r="BT102" s="1785"/>
      <c r="BU102" s="1785"/>
      <c r="BV102" s="1785"/>
      <c r="BW102" s="1785"/>
      <c r="BX102" s="1785"/>
      <c r="BY102" s="1785"/>
      <c r="BZ102" s="1785"/>
      <c r="CA102" s="1785"/>
      <c r="CB102" s="1785"/>
      <c r="CC102" s="1785"/>
      <c r="CD102" s="1785"/>
      <c r="CE102" s="1785"/>
      <c r="CF102" s="1782"/>
      <c r="CG102" s="3403">
        <f>B102</f>
        <v>0</v>
      </c>
      <c r="CH102" s="3404"/>
      <c r="CI102" s="3404"/>
      <c r="CJ102" s="3404"/>
      <c r="CK102" s="2726"/>
      <c r="CL102" s="13"/>
      <c r="CM102" s="18"/>
      <c r="CN102" s="13"/>
      <c r="CQ102" s="13"/>
      <c r="CR102" s="18"/>
      <c r="CU102" s="13"/>
      <c r="DA102" s="13"/>
      <c r="DB102" s="18"/>
      <c r="DE102" s="13"/>
      <c r="DF102" s="18"/>
      <c r="DI102" s="13"/>
      <c r="DJ102" s="4"/>
      <c r="DK102" s="4"/>
      <c r="DL102" s="13"/>
      <c r="DM102" s="4"/>
      <c r="DN102" s="18"/>
      <c r="DO102" s="18"/>
      <c r="DP102" s="19"/>
      <c r="DQ102" s="4"/>
      <c r="DR102" s="21"/>
      <c r="DS102" s="21"/>
      <c r="DW102" s="4"/>
      <c r="DX102" s="21"/>
      <c r="EC102" s="4"/>
      <c r="EH102" s="21"/>
      <c r="EI102" s="4"/>
      <c r="EN102" s="21"/>
      <c r="EO102" s="4"/>
      <c r="ET102" s="21"/>
      <c r="EU102" s="4"/>
      <c r="EZ102" s="21"/>
      <c r="FA102" s="4"/>
      <c r="FF102" s="21"/>
      <c r="FG102" s="4"/>
      <c r="FL102" s="21"/>
      <c r="FM102" s="4"/>
      <c r="FR102" s="21"/>
      <c r="FS102" s="4"/>
      <c r="FX102" s="21"/>
      <c r="FY102" s="4"/>
      <c r="GD102" s="21"/>
      <c r="GE102" s="4"/>
      <c r="GJ102" s="21"/>
      <c r="GK102" s="4"/>
      <c r="GP102" s="21"/>
      <c r="GQ102" s="4"/>
    </row>
    <row r="103" spans="1:209" s="12" customFormat="1" ht="15" collapsed="1" thickBot="1" x14ac:dyDescent="0.2">
      <c r="A103" s="2806" t="s">
        <v>1461</v>
      </c>
      <c r="B103" s="1723" t="s">
        <v>371</v>
      </c>
      <c r="C103" s="1727"/>
      <c r="D103" s="1728"/>
      <c r="E103" s="1729"/>
      <c r="F103" s="1730"/>
      <c r="G103" s="1729"/>
      <c r="H103" s="1731"/>
      <c r="I103" s="1731"/>
      <c r="J103" s="1731"/>
      <c r="K103" s="1731"/>
      <c r="L103" s="1731"/>
      <c r="M103" s="1731"/>
      <c r="N103" s="1731"/>
      <c r="O103" s="1731"/>
      <c r="P103" s="1732"/>
      <c r="Q103" s="1733"/>
      <c r="R103" s="1731"/>
      <c r="S103" s="1732"/>
      <c r="T103" s="135">
        <v>10000</v>
      </c>
      <c r="U103" s="1832">
        <f>GW30</f>
        <v>0</v>
      </c>
      <c r="V103" s="2318"/>
      <c r="W103" s="2318"/>
      <c r="X103" s="2318"/>
      <c r="Y103" s="2318"/>
      <c r="Z103" s="2318"/>
      <c r="AA103" s="2318"/>
      <c r="AB103" s="2318"/>
      <c r="AC103" s="2318"/>
      <c r="AD103" s="2318"/>
      <c r="AE103" s="2318"/>
      <c r="AF103" s="1415"/>
      <c r="AG103" s="1415"/>
      <c r="AH103" s="1415"/>
      <c r="AI103" s="1415"/>
      <c r="AJ103" s="1415"/>
      <c r="AK103" s="1415"/>
      <c r="AL103" s="1415"/>
      <c r="AM103" s="1415"/>
      <c r="AN103" s="1415"/>
      <c r="AO103" s="1415"/>
      <c r="AP103" s="1415"/>
      <c r="AQ103" s="1415"/>
      <c r="AR103" s="1415"/>
      <c r="AS103" s="1415"/>
      <c r="AT103" s="1415"/>
      <c r="AU103" s="1415"/>
      <c r="AV103" s="1415"/>
      <c r="AW103" s="1415"/>
      <c r="AX103" s="1415"/>
      <c r="AY103" s="1415"/>
      <c r="AZ103" s="1415"/>
      <c r="BA103" s="1415"/>
      <c r="BB103" s="1415"/>
      <c r="BG103" s="14"/>
      <c r="BH103" s="14"/>
      <c r="BI103" s="14"/>
      <c r="BJ103" s="14"/>
      <c r="BK103" s="14"/>
      <c r="BL103" s="14"/>
      <c r="BM103" s="14"/>
      <c r="BN103" s="14"/>
      <c r="BO103" s="14"/>
      <c r="BP103" s="98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57"/>
      <c r="CG103" s="1694"/>
      <c r="CH103" s="1695" t="s">
        <v>525</v>
      </c>
      <c r="CI103" s="1696">
        <f>CI89+CI92+CI95</f>
        <v>0</v>
      </c>
      <c r="CJ103" s="2720">
        <f>CJ89+CJ92+CJ95</f>
        <v>0</v>
      </c>
      <c r="CK103" s="2724">
        <f>T103</f>
        <v>10000</v>
      </c>
      <c r="DL103" s="3"/>
      <c r="DM103" s="14"/>
      <c r="DN103" s="14"/>
      <c r="DO103" s="14"/>
      <c r="DP103" s="14"/>
      <c r="DT103" s="21"/>
      <c r="DU103" s="21"/>
      <c r="DV103" s="13"/>
      <c r="DY103" s="21"/>
      <c r="DZ103" s="21"/>
      <c r="EA103" s="13"/>
      <c r="ED103" s="21"/>
      <c r="EE103" s="21"/>
      <c r="EF103" s="13"/>
      <c r="EJ103" s="21"/>
      <c r="EK103" s="21"/>
      <c r="EL103" s="13"/>
      <c r="EP103" s="21"/>
      <c r="EQ103" s="21"/>
      <c r="ER103" s="13"/>
      <c r="EV103" s="21"/>
      <c r="EW103" s="21"/>
      <c r="EX103" s="13"/>
      <c r="FB103" s="21"/>
      <c r="FC103" s="21"/>
      <c r="FD103" s="13"/>
      <c r="FH103" s="21"/>
      <c r="FI103" s="21"/>
      <c r="FJ103" s="13"/>
      <c r="FN103" s="21"/>
      <c r="FO103" s="21"/>
      <c r="FP103" s="13"/>
      <c r="FT103" s="21"/>
      <c r="FU103" s="21"/>
      <c r="FV103" s="13"/>
      <c r="FZ103" s="21"/>
      <c r="GA103" s="21"/>
      <c r="GB103" s="13"/>
      <c r="GF103" s="21"/>
      <c r="GG103" s="21"/>
      <c r="GH103" s="14"/>
      <c r="GI103" s="13"/>
      <c r="GL103" s="21"/>
      <c r="GM103" s="21"/>
      <c r="GN103" s="14"/>
      <c r="GO103" s="13"/>
      <c r="GR103" s="21"/>
      <c r="GS103" s="13"/>
      <c r="GT103" s="13"/>
      <c r="GU103" s="14"/>
      <c r="GV103" s="17"/>
      <c r="HA103" s="390"/>
    </row>
    <row r="104" spans="1:209" s="390" customFormat="1" ht="15" hidden="1" customHeight="1" outlineLevel="2" x14ac:dyDescent="0.2">
      <c r="A104" s="2934" t="s">
        <v>1005</v>
      </c>
      <c r="B104" s="2934" t="s">
        <v>1008</v>
      </c>
      <c r="C104" s="2934" t="s">
        <v>1040</v>
      </c>
      <c r="D104" s="2934" t="s">
        <v>737</v>
      </c>
      <c r="E104" s="2929" t="s">
        <v>1009</v>
      </c>
      <c r="F104" s="2930" t="s">
        <v>132</v>
      </c>
      <c r="G104" s="2941" t="s">
        <v>313</v>
      </c>
      <c r="H104" s="2934" t="s">
        <v>1016</v>
      </c>
      <c r="I104" s="2942" t="s">
        <v>1014</v>
      </c>
      <c r="J104" s="2779"/>
      <c r="K104" s="3162" t="s">
        <v>1812</v>
      </c>
      <c r="L104" s="1205"/>
      <c r="Q104" s="393"/>
      <c r="S104" s="393"/>
      <c r="U104" s="393"/>
      <c r="V104" s="3400" t="s">
        <v>624</v>
      </c>
      <c r="W104" s="3401"/>
      <c r="X104" s="3401"/>
      <c r="Y104" s="3401"/>
      <c r="Z104" s="3401"/>
      <c r="AA104" s="3401"/>
      <c r="AB104" s="3401"/>
      <c r="AC104" s="3401"/>
      <c r="AD104" s="3401"/>
      <c r="AE104" s="3402"/>
      <c r="AF104" s="392"/>
      <c r="AG104" s="392"/>
      <c r="AH104" s="392"/>
      <c r="AI104" s="392"/>
      <c r="AJ104" s="392"/>
      <c r="AK104" s="392"/>
      <c r="AL104" s="392"/>
      <c r="AM104" s="392"/>
      <c r="AN104" s="392"/>
      <c r="AO104" s="392"/>
      <c r="AP104" s="392"/>
      <c r="AQ104" s="392"/>
      <c r="AR104" s="392"/>
      <c r="AS104" s="392"/>
      <c r="AT104" s="392"/>
      <c r="AU104" s="392"/>
      <c r="AV104" s="392"/>
      <c r="AW104" s="392"/>
      <c r="AX104" s="392"/>
      <c r="AY104" s="392"/>
      <c r="AZ104" s="392"/>
      <c r="BA104" s="392"/>
      <c r="BB104" s="392"/>
      <c r="BC104" s="392"/>
      <c r="BD104" s="392"/>
      <c r="BE104" s="392"/>
      <c r="BG104" s="393"/>
      <c r="BH104" s="393"/>
      <c r="BI104" s="393"/>
      <c r="BJ104" s="393"/>
      <c r="BK104" s="2185" t="s">
        <v>1009</v>
      </c>
      <c r="BL104" s="2188" t="s">
        <v>1027</v>
      </c>
      <c r="BM104" s="393"/>
      <c r="BN104" s="393"/>
      <c r="BO104" s="393"/>
      <c r="BP104" s="394"/>
      <c r="BQ104" s="394"/>
      <c r="BR104" s="394"/>
      <c r="BS104" s="394"/>
      <c r="BT104" s="394"/>
      <c r="BU104" s="394"/>
      <c r="BV104" s="392"/>
      <c r="BW104" s="392"/>
      <c r="BX104" s="392"/>
      <c r="BY104" s="392"/>
      <c r="BZ104" s="392"/>
      <c r="CA104" s="392"/>
      <c r="CB104" s="392"/>
      <c r="CC104" s="392"/>
      <c r="CD104" s="392"/>
      <c r="CE104" s="392"/>
      <c r="CF104" s="392"/>
      <c r="CG104" s="394"/>
      <c r="CH104" s="394"/>
      <c r="CK104" s="1634" t="s">
        <v>1452</v>
      </c>
      <c r="DJ104" s="392"/>
      <c r="DK104" s="392"/>
      <c r="DL104" s="392"/>
      <c r="DM104" s="392"/>
      <c r="DN104" s="392"/>
      <c r="DO104" s="392"/>
      <c r="DP104" s="392"/>
      <c r="DQ104" s="392"/>
      <c r="DT104" s="394"/>
      <c r="DU104" s="394"/>
      <c r="DW104" s="392"/>
      <c r="DY104" s="394"/>
      <c r="DZ104" s="394"/>
      <c r="EC104" s="392"/>
      <c r="ED104" s="394"/>
      <c r="EE104" s="394"/>
      <c r="EI104" s="392"/>
      <c r="EJ104" s="394"/>
      <c r="EK104" s="394"/>
      <c r="EO104" s="392"/>
      <c r="EP104" s="394"/>
      <c r="EQ104" s="394"/>
      <c r="EU104" s="392"/>
      <c r="EV104" s="394"/>
      <c r="EW104" s="394"/>
      <c r="FA104" s="392"/>
      <c r="FB104" s="394"/>
      <c r="FC104" s="394"/>
      <c r="FG104" s="392"/>
      <c r="FH104" s="394"/>
      <c r="FI104" s="394"/>
      <c r="FM104" s="392"/>
      <c r="FN104" s="394"/>
      <c r="FO104" s="394"/>
      <c r="FS104" s="392"/>
      <c r="FT104" s="394"/>
      <c r="FU104" s="394"/>
      <c r="FY104" s="392"/>
      <c r="FZ104" s="394"/>
      <c r="GA104" s="394"/>
      <c r="GE104" s="392"/>
      <c r="GF104" s="394"/>
      <c r="GG104" s="392"/>
      <c r="GH104" s="394"/>
      <c r="GK104" s="392"/>
      <c r="GL104" s="394"/>
      <c r="GM104" s="392"/>
      <c r="GN104" s="394"/>
      <c r="GP104" s="394"/>
      <c r="GQ104" s="392"/>
      <c r="GR104" s="394"/>
      <c r="GS104" s="392"/>
      <c r="GT104" s="392"/>
      <c r="GU104" s="394"/>
    </row>
    <row r="105" spans="1:209" s="390" customFormat="1" ht="16" hidden="1" outlineLevel="2" x14ac:dyDescent="0.2">
      <c r="A105" s="2952">
        <f>F169</f>
        <v>0</v>
      </c>
      <c r="B105" s="2816" t="str">
        <f>J105</f>
        <v xml:space="preserve"> </v>
      </c>
      <c r="C105" s="2935" t="str">
        <f t="shared" ref="C105:C119" si="77">IF(K105,K105,IF(A105&gt;0,A105*VLOOKUP(B105,HWPricing,6,FALSE),""))</f>
        <v/>
      </c>
      <c r="D105" s="2936" t="str">
        <f>K25</f>
        <v>Tier01</v>
      </c>
      <c r="E105" s="2931" t="str">
        <f t="shared" ref="E105:E118" si="78">IF(A105&gt;0,VLOOKUP(B105,HWPricing,2,FALSE),"")</f>
        <v/>
      </c>
      <c r="F105" s="2932">
        <f>D169</f>
        <v>0</v>
      </c>
      <c r="G105" s="2943">
        <f>E169</f>
        <v>0</v>
      </c>
      <c r="H105" s="2944">
        <f t="shared" ref="H105:H119" si="79">G105*I105</f>
        <v>0</v>
      </c>
      <c r="I105" s="2316"/>
      <c r="J105" s="2780" t="str">
        <f>BK105&amp;BL105</f>
        <v xml:space="preserve"> </v>
      </c>
      <c r="K105" s="3163">
        <f>AF27</f>
        <v>0</v>
      </c>
      <c r="Q105" s="393"/>
      <c r="S105" s="394"/>
      <c r="T105" s="393"/>
      <c r="U105" s="393"/>
      <c r="V105" s="394"/>
      <c r="W105" s="394"/>
      <c r="X105" s="394"/>
      <c r="Y105" s="394"/>
      <c r="Z105" s="394"/>
      <c r="AA105" s="394"/>
      <c r="AB105" s="394"/>
      <c r="AC105" s="391"/>
      <c r="AD105" s="392"/>
      <c r="AE105" s="392"/>
      <c r="AF105" s="392"/>
      <c r="AG105" s="392"/>
      <c r="AH105" s="392"/>
      <c r="AI105" s="392"/>
      <c r="AJ105" s="392"/>
      <c r="AK105" s="392"/>
      <c r="AL105" s="392"/>
      <c r="AM105" s="392"/>
      <c r="AN105" s="392"/>
      <c r="AO105" s="392"/>
      <c r="AP105" s="392"/>
      <c r="AQ105" s="392"/>
      <c r="AR105" s="392"/>
      <c r="AS105" s="392"/>
      <c r="AT105" s="392"/>
      <c r="AU105" s="392"/>
      <c r="AV105" s="392"/>
      <c r="AW105" s="392"/>
      <c r="AX105" s="392"/>
      <c r="AY105" s="392"/>
      <c r="AZ105" s="392"/>
      <c r="BA105" s="392"/>
      <c r="BB105" s="392"/>
      <c r="BC105" s="392"/>
      <c r="BD105" s="392"/>
      <c r="BG105" s="393"/>
      <c r="BH105" s="393"/>
      <c r="BI105" s="393"/>
      <c r="BJ105" s="393"/>
      <c r="BK105" s="2187" t="str">
        <f t="shared" ref="BK105:BK120" si="80">IF(A105&gt;0,C169,"")</f>
        <v/>
      </c>
      <c r="BL105" s="2186" t="str">
        <f>" "&amp;IF(K105&gt;0,"",IF(A105&gt;0,VLOOKUP(F105,Memory,2,TRUE)&amp;" GB RAM",""))</f>
        <v xml:space="preserve"> </v>
      </c>
      <c r="BM105" s="393"/>
      <c r="BN105" s="393"/>
      <c r="BO105" s="394"/>
      <c r="BP105" s="394"/>
      <c r="BQ105" s="394"/>
      <c r="BR105" s="394"/>
      <c r="BS105" s="394"/>
      <c r="BT105" s="394"/>
      <c r="BU105" s="392"/>
      <c r="BV105" s="392"/>
      <c r="BW105" s="392"/>
      <c r="BX105" s="392"/>
      <c r="BY105" s="392"/>
      <c r="BZ105" s="392"/>
      <c r="CA105" s="392"/>
      <c r="CB105" s="392"/>
      <c r="CC105" s="392"/>
      <c r="CD105" s="392"/>
      <c r="CE105" s="392"/>
      <c r="CK105" s="1834">
        <v>20000</v>
      </c>
      <c r="DI105" s="392"/>
      <c r="DJ105" s="392"/>
      <c r="DK105" s="392"/>
      <c r="DL105" s="392"/>
      <c r="DM105" s="392"/>
      <c r="DN105" s="392"/>
      <c r="DO105" s="392"/>
      <c r="DQ105" s="392"/>
      <c r="DS105" s="394"/>
      <c r="DT105" s="394"/>
      <c r="DW105" s="392"/>
      <c r="DX105" s="394"/>
      <c r="DY105" s="394"/>
      <c r="EC105" s="392"/>
      <c r="ED105" s="394"/>
      <c r="EH105" s="394"/>
      <c r="EI105" s="392"/>
      <c r="EJ105" s="394"/>
      <c r="EN105" s="394"/>
      <c r="EO105" s="392"/>
      <c r="EP105" s="394"/>
      <c r="ET105" s="394"/>
      <c r="EU105" s="392"/>
      <c r="EV105" s="394"/>
      <c r="EZ105" s="394"/>
      <c r="FA105" s="392"/>
      <c r="FB105" s="394"/>
      <c r="FF105" s="394"/>
      <c r="FG105" s="392"/>
      <c r="FH105" s="394"/>
      <c r="FL105" s="394"/>
      <c r="FM105" s="392"/>
      <c r="FN105" s="394"/>
      <c r="FR105" s="394"/>
      <c r="FS105" s="392"/>
      <c r="FT105" s="394"/>
      <c r="FX105" s="394"/>
      <c r="FY105" s="392"/>
      <c r="FZ105" s="394"/>
      <c r="GD105" s="394"/>
      <c r="GE105" s="392"/>
      <c r="GF105" s="392"/>
      <c r="GG105" s="394"/>
      <c r="GJ105" s="394"/>
      <c r="GK105" s="392"/>
      <c r="GL105" s="392"/>
      <c r="GM105" s="394"/>
      <c r="GO105" s="394"/>
      <c r="GP105" s="394"/>
      <c r="GQ105" s="392"/>
      <c r="GR105" s="392"/>
      <c r="GS105" s="394"/>
      <c r="GT105" s="394"/>
    </row>
    <row r="106" spans="1:209" s="390" customFormat="1" ht="16" hidden="1" outlineLevel="2" x14ac:dyDescent="0.2">
      <c r="A106" s="2952">
        <f t="shared" ref="A106:A119" si="81">F170</f>
        <v>0</v>
      </c>
      <c r="B106" s="2816" t="str">
        <f t="shared" ref="B106:B119" si="82">J106</f>
        <v xml:space="preserve"> </v>
      </c>
      <c r="C106" s="2935" t="str">
        <f t="shared" si="77"/>
        <v/>
      </c>
      <c r="D106" s="2936" t="str">
        <f>K29</f>
        <v>Tier02</v>
      </c>
      <c r="E106" s="2931" t="str">
        <f t="shared" si="78"/>
        <v/>
      </c>
      <c r="F106" s="2932">
        <f>D170</f>
        <v>0</v>
      </c>
      <c r="G106" s="2943">
        <f t="shared" ref="G106:G119" si="83">E170</f>
        <v>0</v>
      </c>
      <c r="H106" s="2944">
        <f t="shared" si="79"/>
        <v>0</v>
      </c>
      <c r="I106" s="2316"/>
      <c r="J106" s="2780" t="str">
        <f t="shared" ref="J106:J119" si="84">BK106&amp;BL106</f>
        <v xml:space="preserve"> </v>
      </c>
      <c r="K106" s="3163">
        <f>AF31</f>
        <v>0</v>
      </c>
      <c r="Q106" s="393"/>
      <c r="S106" s="394"/>
      <c r="T106" s="393"/>
      <c r="U106" s="393"/>
      <c r="V106" s="394"/>
      <c r="W106" s="394"/>
      <c r="X106" s="394"/>
      <c r="Y106" s="394"/>
      <c r="Z106" s="394"/>
      <c r="AA106" s="394"/>
      <c r="AB106" s="394"/>
      <c r="AC106" s="391"/>
      <c r="AD106" s="392"/>
      <c r="AE106" s="392"/>
      <c r="AF106" s="392"/>
      <c r="AG106" s="392"/>
      <c r="AH106" s="392"/>
      <c r="AI106" s="392"/>
      <c r="AJ106" s="392"/>
      <c r="AK106" s="392"/>
      <c r="AL106" s="392"/>
      <c r="AM106" s="392"/>
      <c r="AN106" s="392"/>
      <c r="AO106" s="392"/>
      <c r="AP106" s="392"/>
      <c r="AQ106" s="392"/>
      <c r="AR106" s="392"/>
      <c r="AS106" s="392"/>
      <c r="AT106" s="392"/>
      <c r="AU106" s="392"/>
      <c r="AV106" s="392"/>
      <c r="AW106" s="392"/>
      <c r="AX106" s="392"/>
      <c r="AY106" s="392"/>
      <c r="AZ106" s="392"/>
      <c r="BA106" s="392"/>
      <c r="BB106" s="392"/>
      <c r="BC106" s="392"/>
      <c r="BD106" s="392"/>
      <c r="BG106" s="393"/>
      <c r="BH106" s="393"/>
      <c r="BI106" s="393"/>
      <c r="BJ106" s="393"/>
      <c r="BK106" s="2187" t="str">
        <f t="shared" si="80"/>
        <v/>
      </c>
      <c r="BL106" s="2186" t="str">
        <f t="shared" ref="BL106:BL119" si="85">" "&amp;IF(K106&gt;0,"",IF(A106&gt;0,VLOOKUP(F106,Memory,2,TRUE)&amp;" GB RAM",""))</f>
        <v xml:space="preserve"> </v>
      </c>
      <c r="BM106" s="393"/>
      <c r="BN106" s="393"/>
      <c r="BO106" s="394"/>
      <c r="BP106" s="394"/>
      <c r="BQ106" s="394"/>
      <c r="BR106" s="394"/>
      <c r="BS106" s="394"/>
      <c r="BT106" s="394"/>
      <c r="BU106" s="392"/>
      <c r="BV106" s="392"/>
      <c r="BW106" s="392"/>
      <c r="BX106" s="392"/>
      <c r="BY106" s="392"/>
      <c r="BZ106" s="392"/>
      <c r="CA106" s="392"/>
      <c r="CB106" s="392"/>
      <c r="CC106" s="392"/>
      <c r="CD106" s="392"/>
      <c r="CE106" s="392"/>
      <c r="CK106" s="1834">
        <v>10000</v>
      </c>
      <c r="DI106" s="392"/>
      <c r="DJ106" s="392"/>
      <c r="DK106" s="392"/>
      <c r="DL106" s="392"/>
      <c r="DM106" s="392"/>
      <c r="DN106" s="392"/>
      <c r="DO106" s="392"/>
      <c r="DQ106" s="392"/>
      <c r="DS106" s="394"/>
      <c r="DT106" s="394"/>
      <c r="DW106" s="392"/>
      <c r="DX106" s="394"/>
      <c r="DY106" s="394"/>
      <c r="EC106" s="392"/>
      <c r="ED106" s="394"/>
      <c r="EH106" s="394"/>
      <c r="EI106" s="392"/>
      <c r="EJ106" s="394"/>
      <c r="EN106" s="394"/>
      <c r="EO106" s="392"/>
      <c r="EP106" s="394"/>
      <c r="ET106" s="394"/>
      <c r="EU106" s="392"/>
      <c r="EV106" s="394"/>
      <c r="EZ106" s="394"/>
      <c r="FA106" s="392"/>
      <c r="FB106" s="394"/>
      <c r="FF106" s="394"/>
      <c r="FG106" s="392"/>
      <c r="FH106" s="394"/>
      <c r="FL106" s="394"/>
      <c r="FM106" s="392"/>
      <c r="FN106" s="394"/>
      <c r="FR106" s="394"/>
      <c r="FS106" s="392"/>
      <c r="FT106" s="394"/>
      <c r="FX106" s="394"/>
      <c r="FY106" s="392"/>
      <c r="FZ106" s="394"/>
      <c r="GD106" s="394"/>
      <c r="GE106" s="392"/>
      <c r="GF106" s="392"/>
      <c r="GG106" s="394"/>
      <c r="GJ106" s="394"/>
      <c r="GK106" s="392"/>
      <c r="GL106" s="392"/>
      <c r="GM106" s="394"/>
      <c r="GO106" s="394"/>
      <c r="GP106" s="394"/>
      <c r="GQ106" s="392"/>
      <c r="GR106" s="392"/>
      <c r="GS106" s="394"/>
      <c r="GT106" s="394"/>
    </row>
    <row r="107" spans="1:209" s="390" customFormat="1" ht="16" hidden="1" outlineLevel="2" x14ac:dyDescent="0.2">
      <c r="A107" s="2952">
        <f t="shared" si="81"/>
        <v>0</v>
      </c>
      <c r="B107" s="2816" t="str">
        <f t="shared" si="82"/>
        <v xml:space="preserve"> </v>
      </c>
      <c r="C107" s="2935" t="str">
        <f t="shared" si="77"/>
        <v/>
      </c>
      <c r="D107" s="2936" t="str">
        <f>K33</f>
        <v>Tier03</v>
      </c>
      <c r="E107" s="2931" t="str">
        <f t="shared" si="78"/>
        <v/>
      </c>
      <c r="F107" s="2932">
        <f>D171</f>
        <v>0</v>
      </c>
      <c r="G107" s="2943">
        <f t="shared" si="83"/>
        <v>0</v>
      </c>
      <c r="H107" s="2944">
        <f t="shared" si="79"/>
        <v>0</v>
      </c>
      <c r="I107" s="2316"/>
      <c r="J107" s="2780" t="str">
        <f t="shared" si="84"/>
        <v xml:space="preserve"> </v>
      </c>
      <c r="K107" s="3163">
        <f>AF35</f>
        <v>0</v>
      </c>
      <c r="Q107" s="393"/>
      <c r="S107" s="394"/>
      <c r="T107" s="393"/>
      <c r="U107" s="393"/>
      <c r="V107" s="394"/>
      <c r="W107" s="394"/>
      <c r="X107" s="394"/>
      <c r="Y107" s="394"/>
      <c r="Z107" s="394"/>
      <c r="AA107" s="394"/>
      <c r="AB107" s="394"/>
      <c r="AC107" s="391"/>
      <c r="AD107" s="392"/>
      <c r="AE107" s="392"/>
      <c r="AF107" s="392"/>
      <c r="AG107" s="392"/>
      <c r="AH107" s="392"/>
      <c r="AI107" s="392"/>
      <c r="AJ107" s="392"/>
      <c r="AK107" s="392"/>
      <c r="AL107" s="392"/>
      <c r="AM107" s="392"/>
      <c r="AN107" s="392"/>
      <c r="AO107" s="392"/>
      <c r="AP107" s="392"/>
      <c r="AQ107" s="392"/>
      <c r="AR107" s="392"/>
      <c r="AS107" s="392"/>
      <c r="AT107" s="392"/>
      <c r="AU107" s="392"/>
      <c r="AV107" s="392"/>
      <c r="AW107" s="392"/>
      <c r="AX107" s="392"/>
      <c r="AY107" s="392"/>
      <c r="AZ107" s="392"/>
      <c r="BA107" s="392"/>
      <c r="BB107" s="392"/>
      <c r="BC107" s="392"/>
      <c r="BD107" s="392"/>
      <c r="BG107" s="393"/>
      <c r="BH107" s="393"/>
      <c r="BI107" s="393"/>
      <c r="BJ107" s="393"/>
      <c r="BK107" s="2187" t="str">
        <f t="shared" si="80"/>
        <v/>
      </c>
      <c r="BL107" s="2186" t="str">
        <f t="shared" si="85"/>
        <v xml:space="preserve"> </v>
      </c>
      <c r="BM107" s="393"/>
      <c r="BN107" s="393"/>
      <c r="BO107" s="394"/>
      <c r="BP107" s="394"/>
      <c r="BQ107" s="394"/>
      <c r="BR107" s="394"/>
      <c r="BS107" s="394"/>
      <c r="BT107" s="394"/>
      <c r="BU107" s="392"/>
      <c r="BV107" s="392"/>
      <c r="BW107" s="392"/>
      <c r="BX107" s="392"/>
      <c r="BY107" s="392"/>
      <c r="BZ107" s="392"/>
      <c r="CA107" s="392"/>
      <c r="CB107" s="392"/>
      <c r="CC107" s="392"/>
      <c r="CD107" s="392"/>
      <c r="CE107" s="392"/>
      <c r="CK107" s="1835">
        <v>1000</v>
      </c>
      <c r="DI107" s="392"/>
      <c r="DJ107" s="392"/>
      <c r="DK107" s="392"/>
      <c r="DL107" s="392"/>
      <c r="DM107" s="392"/>
      <c r="DN107" s="392"/>
      <c r="DO107" s="392"/>
      <c r="DQ107" s="392"/>
      <c r="DS107" s="394"/>
      <c r="DT107" s="394"/>
      <c r="DW107" s="392"/>
      <c r="DX107" s="394"/>
      <c r="DY107" s="394"/>
      <c r="EC107" s="392"/>
      <c r="ED107" s="394"/>
      <c r="EH107" s="394"/>
      <c r="EI107" s="392"/>
      <c r="EJ107" s="394"/>
      <c r="EN107" s="394"/>
      <c r="EO107" s="392"/>
      <c r="EP107" s="394"/>
      <c r="ET107" s="394"/>
      <c r="EU107" s="392"/>
      <c r="EV107" s="394"/>
      <c r="EZ107" s="394"/>
      <c r="FA107" s="392"/>
      <c r="FB107" s="394"/>
      <c r="FF107" s="394"/>
      <c r="FG107" s="392"/>
      <c r="FH107" s="394"/>
      <c r="FL107" s="394"/>
      <c r="FM107" s="392"/>
      <c r="FN107" s="394"/>
      <c r="FR107" s="394"/>
      <c r="FS107" s="392"/>
      <c r="FT107" s="394"/>
      <c r="FX107" s="394"/>
      <c r="FY107" s="392"/>
      <c r="FZ107" s="394"/>
      <c r="GD107" s="394"/>
      <c r="GE107" s="392"/>
      <c r="GF107" s="392"/>
      <c r="GG107" s="394"/>
      <c r="GJ107" s="394"/>
      <c r="GK107" s="392"/>
      <c r="GL107" s="392"/>
      <c r="GM107" s="394"/>
      <c r="GO107" s="394"/>
      <c r="GP107" s="394"/>
      <c r="GQ107" s="392"/>
      <c r="GR107" s="392"/>
      <c r="GS107" s="394"/>
      <c r="GT107" s="394"/>
    </row>
    <row r="108" spans="1:209" s="390" customFormat="1" ht="16" hidden="1" outlineLevel="2" x14ac:dyDescent="0.2">
      <c r="A108" s="2952">
        <f t="shared" si="81"/>
        <v>0</v>
      </c>
      <c r="B108" s="2816" t="str">
        <f t="shared" si="82"/>
        <v xml:space="preserve"> </v>
      </c>
      <c r="C108" s="2935" t="str">
        <f t="shared" si="77"/>
        <v/>
      </c>
      <c r="D108" s="2936" t="str">
        <f>K37</f>
        <v>Tier04</v>
      </c>
      <c r="E108" s="2931" t="str">
        <f t="shared" si="78"/>
        <v/>
      </c>
      <c r="F108" s="2932">
        <f>D172</f>
        <v>0</v>
      </c>
      <c r="G108" s="2943">
        <f t="shared" si="83"/>
        <v>0</v>
      </c>
      <c r="H108" s="2944">
        <f t="shared" si="79"/>
        <v>0</v>
      </c>
      <c r="I108" s="2316"/>
      <c r="J108" s="2780" t="str">
        <f t="shared" si="84"/>
        <v xml:space="preserve"> </v>
      </c>
      <c r="K108" s="3163">
        <f>AF39</f>
        <v>0</v>
      </c>
      <c r="Q108" s="393"/>
      <c r="S108" s="394"/>
      <c r="T108" s="393"/>
      <c r="U108" s="393"/>
      <c r="V108" s="394"/>
      <c r="W108" s="394"/>
      <c r="X108" s="394"/>
      <c r="Y108" s="394"/>
      <c r="Z108" s="394"/>
      <c r="AA108" s="394"/>
      <c r="AB108" s="394"/>
      <c r="AC108" s="391"/>
      <c r="AD108" s="392"/>
      <c r="AE108" s="392"/>
      <c r="AF108" s="392"/>
      <c r="AG108" s="392"/>
      <c r="AH108" s="392"/>
      <c r="AI108" s="392"/>
      <c r="AJ108" s="392"/>
      <c r="AK108" s="392"/>
      <c r="AL108" s="392"/>
      <c r="AM108" s="392"/>
      <c r="AN108" s="392"/>
      <c r="AO108" s="392"/>
      <c r="AP108" s="392"/>
      <c r="AQ108" s="392"/>
      <c r="AR108" s="392"/>
      <c r="AS108" s="392"/>
      <c r="AT108" s="392"/>
      <c r="AU108" s="392"/>
      <c r="AV108" s="392"/>
      <c r="AW108" s="392"/>
      <c r="AX108" s="392"/>
      <c r="AY108" s="392"/>
      <c r="AZ108" s="392"/>
      <c r="BA108" s="392"/>
      <c r="BB108" s="392"/>
      <c r="BC108" s="392"/>
      <c r="BD108" s="392"/>
      <c r="BG108" s="393"/>
      <c r="BH108" s="393"/>
      <c r="BI108" s="393"/>
      <c r="BJ108" s="393"/>
      <c r="BK108" s="2187" t="str">
        <f t="shared" si="80"/>
        <v/>
      </c>
      <c r="BL108" s="2186" t="str">
        <f t="shared" si="85"/>
        <v xml:space="preserve"> </v>
      </c>
      <c r="BM108" s="393"/>
      <c r="BN108" s="393"/>
      <c r="BO108" s="394"/>
      <c r="BP108" s="394"/>
      <c r="BQ108" s="394"/>
      <c r="BR108" s="394"/>
      <c r="BS108" s="394"/>
      <c r="BT108" s="394"/>
      <c r="BU108" s="392"/>
      <c r="BV108" s="392"/>
      <c r="BW108" s="392"/>
      <c r="BX108" s="392"/>
      <c r="BY108" s="392"/>
      <c r="BZ108" s="392"/>
      <c r="CA108" s="392"/>
      <c r="CB108" s="392"/>
      <c r="CC108" s="392"/>
      <c r="CD108" s="392"/>
      <c r="CE108" s="392"/>
      <c r="CK108" s="1835">
        <v>100</v>
      </c>
      <c r="DI108" s="392"/>
      <c r="DJ108" s="392"/>
      <c r="DK108" s="392"/>
      <c r="DL108" s="392"/>
      <c r="DM108" s="392"/>
      <c r="DN108" s="392"/>
      <c r="DO108" s="392"/>
      <c r="DQ108" s="392"/>
      <c r="DS108" s="394"/>
      <c r="DT108" s="394"/>
      <c r="DW108" s="392"/>
      <c r="DX108" s="394"/>
      <c r="DY108" s="394"/>
      <c r="EC108" s="392"/>
      <c r="ED108" s="394"/>
      <c r="EH108" s="394"/>
      <c r="EI108" s="392"/>
      <c r="EJ108" s="394"/>
      <c r="EN108" s="394"/>
      <c r="EO108" s="392"/>
      <c r="EP108" s="394"/>
      <c r="ET108" s="394"/>
      <c r="EU108" s="392"/>
      <c r="EV108" s="394"/>
      <c r="EZ108" s="394"/>
      <c r="FA108" s="392"/>
      <c r="FB108" s="394"/>
      <c r="FF108" s="394"/>
      <c r="FG108" s="392"/>
      <c r="FH108" s="394"/>
      <c r="FL108" s="394"/>
      <c r="FM108" s="392"/>
      <c r="FN108" s="394"/>
      <c r="FR108" s="394"/>
      <c r="FS108" s="392"/>
      <c r="FT108" s="394"/>
      <c r="FX108" s="394"/>
      <c r="FY108" s="392"/>
      <c r="FZ108" s="394"/>
      <c r="GD108" s="394"/>
      <c r="GE108" s="392"/>
      <c r="GF108" s="392"/>
      <c r="GG108" s="394"/>
      <c r="GJ108" s="394"/>
      <c r="GK108" s="392"/>
      <c r="GL108" s="392"/>
      <c r="GM108" s="394"/>
      <c r="GO108" s="394"/>
      <c r="GP108" s="394"/>
      <c r="GQ108" s="392"/>
      <c r="GR108" s="392"/>
      <c r="GS108" s="394"/>
      <c r="GT108" s="394"/>
    </row>
    <row r="109" spans="1:209" s="390" customFormat="1" ht="16" hidden="1" outlineLevel="2" x14ac:dyDescent="0.2">
      <c r="A109" s="2952">
        <f t="shared" si="81"/>
        <v>0</v>
      </c>
      <c r="B109" s="2816" t="str">
        <f t="shared" si="82"/>
        <v xml:space="preserve"> </v>
      </c>
      <c r="C109" s="2935" t="str">
        <f t="shared" si="77"/>
        <v/>
      </c>
      <c r="D109" s="2936" t="str">
        <f>K41</f>
        <v>Tier05</v>
      </c>
      <c r="E109" s="2931" t="str">
        <f t="shared" si="78"/>
        <v/>
      </c>
      <c r="F109" s="2932">
        <f>D173</f>
        <v>0</v>
      </c>
      <c r="G109" s="2943">
        <f t="shared" si="83"/>
        <v>0</v>
      </c>
      <c r="H109" s="2944">
        <f t="shared" si="79"/>
        <v>0</v>
      </c>
      <c r="I109" s="2316"/>
      <c r="J109" s="2780" t="str">
        <f t="shared" si="84"/>
        <v xml:space="preserve"> </v>
      </c>
      <c r="K109" s="3163">
        <f>AF43</f>
        <v>0</v>
      </c>
      <c r="Q109" s="393"/>
      <c r="S109" s="394"/>
      <c r="T109" s="393"/>
      <c r="U109" s="393"/>
      <c r="V109" s="394"/>
      <c r="W109" s="394"/>
      <c r="X109" s="394"/>
      <c r="Y109" s="394"/>
      <c r="Z109" s="394"/>
      <c r="AA109" s="394"/>
      <c r="AB109" s="394"/>
      <c r="AC109" s="391"/>
      <c r="AD109" s="392"/>
      <c r="AE109" s="392"/>
      <c r="AF109" s="392"/>
      <c r="AG109" s="392"/>
      <c r="AH109" s="392"/>
      <c r="AI109" s="392"/>
      <c r="AJ109" s="392"/>
      <c r="AK109" s="392"/>
      <c r="AL109" s="392"/>
      <c r="AM109" s="392"/>
      <c r="AN109" s="392"/>
      <c r="AO109" s="392"/>
      <c r="AP109" s="392"/>
      <c r="AQ109" s="392"/>
      <c r="AR109" s="392"/>
      <c r="AS109" s="392"/>
      <c r="AT109" s="392"/>
      <c r="AU109" s="392"/>
      <c r="AV109" s="392"/>
      <c r="AW109" s="392"/>
      <c r="AX109" s="392"/>
      <c r="AY109" s="392"/>
      <c r="AZ109" s="392"/>
      <c r="BA109" s="392"/>
      <c r="BB109" s="392"/>
      <c r="BC109" s="392"/>
      <c r="BD109" s="392"/>
      <c r="BG109" s="393"/>
      <c r="BH109" s="393"/>
      <c r="BI109" s="393"/>
      <c r="BJ109" s="393"/>
      <c r="BK109" s="2187" t="str">
        <f t="shared" si="80"/>
        <v/>
      </c>
      <c r="BL109" s="2186" t="str">
        <f t="shared" si="85"/>
        <v xml:space="preserve"> </v>
      </c>
      <c r="BM109" s="393"/>
      <c r="BN109" s="393"/>
      <c r="BO109" s="394"/>
      <c r="BP109" s="394"/>
      <c r="BQ109" s="394"/>
      <c r="BR109" s="394"/>
      <c r="BS109" s="394"/>
      <c r="BT109" s="394"/>
      <c r="BU109" s="392"/>
      <c r="BV109" s="392"/>
      <c r="BW109" s="392"/>
      <c r="BX109" s="392"/>
      <c r="BY109" s="392"/>
      <c r="BZ109" s="392"/>
      <c r="CA109" s="392"/>
      <c r="CB109" s="392"/>
      <c r="CC109" s="392"/>
      <c r="CD109" s="392"/>
      <c r="CE109" s="392"/>
      <c r="CK109" s="1836">
        <v>10</v>
      </c>
      <c r="DI109" s="392"/>
      <c r="DJ109" s="392"/>
      <c r="DK109" s="392"/>
      <c r="DL109" s="392"/>
      <c r="DM109" s="392"/>
      <c r="DN109" s="392"/>
      <c r="DO109" s="392"/>
      <c r="DQ109" s="392"/>
      <c r="DS109" s="394"/>
      <c r="DT109" s="394"/>
      <c r="DW109" s="392"/>
      <c r="DX109" s="394"/>
      <c r="DY109" s="394"/>
      <c r="EC109" s="392"/>
      <c r="ED109" s="394"/>
      <c r="EH109" s="394"/>
      <c r="EI109" s="392"/>
      <c r="EJ109" s="394"/>
      <c r="EN109" s="394"/>
      <c r="EO109" s="392"/>
      <c r="EP109" s="394"/>
      <c r="ET109" s="394"/>
      <c r="EU109" s="392"/>
      <c r="EV109" s="394"/>
      <c r="EZ109" s="394"/>
      <c r="FA109" s="392"/>
      <c r="FB109" s="394"/>
      <c r="FF109" s="394"/>
      <c r="FG109" s="392"/>
      <c r="FH109" s="394"/>
      <c r="FL109" s="394"/>
      <c r="FM109" s="392"/>
      <c r="FN109" s="394"/>
      <c r="FR109" s="394"/>
      <c r="FS109" s="392"/>
      <c r="FT109" s="394"/>
      <c r="FX109" s="394"/>
      <c r="FY109" s="392"/>
      <c r="FZ109" s="394"/>
      <c r="GD109" s="394"/>
      <c r="GE109" s="392"/>
      <c r="GF109" s="392"/>
      <c r="GG109" s="394"/>
      <c r="GJ109" s="394"/>
      <c r="GK109" s="392"/>
      <c r="GL109" s="392"/>
      <c r="GM109" s="394"/>
      <c r="GO109" s="394"/>
      <c r="GP109" s="394"/>
      <c r="GQ109" s="392"/>
      <c r="GR109" s="392"/>
      <c r="GS109" s="394"/>
      <c r="GT109" s="394"/>
    </row>
    <row r="110" spans="1:209" s="390" customFormat="1" ht="16" hidden="1" outlineLevel="2" x14ac:dyDescent="0.2">
      <c r="A110" s="2952">
        <f t="shared" si="81"/>
        <v>0</v>
      </c>
      <c r="B110" s="2816" t="str">
        <f t="shared" si="82"/>
        <v xml:space="preserve"> </v>
      </c>
      <c r="C110" s="2935" t="str">
        <f t="shared" si="77"/>
        <v/>
      </c>
      <c r="D110" s="2936" t="str">
        <f>K46</f>
        <v>Tier06</v>
      </c>
      <c r="E110" s="2931" t="str">
        <f t="shared" si="78"/>
        <v/>
      </c>
      <c r="F110" s="2932">
        <f t="shared" ref="F110:F119" si="86">D174</f>
        <v>0</v>
      </c>
      <c r="G110" s="2943">
        <f t="shared" si="83"/>
        <v>0</v>
      </c>
      <c r="H110" s="2944">
        <f t="shared" si="79"/>
        <v>0</v>
      </c>
      <c r="I110" s="2316"/>
      <c r="J110" s="2780" t="str">
        <f t="shared" si="84"/>
        <v xml:space="preserve"> </v>
      </c>
      <c r="K110" s="3163">
        <f>AF48</f>
        <v>0</v>
      </c>
      <c r="Q110" s="393"/>
      <c r="S110" s="394"/>
      <c r="T110" s="393"/>
      <c r="U110" s="393"/>
      <c r="V110" s="394"/>
      <c r="W110" s="394"/>
      <c r="X110" s="394"/>
      <c r="Y110" s="394"/>
      <c r="Z110" s="394"/>
      <c r="AA110" s="394"/>
      <c r="AB110" s="394"/>
      <c r="AC110" s="391"/>
      <c r="AD110" s="392"/>
      <c r="AE110" s="392"/>
      <c r="AF110" s="392"/>
      <c r="AG110" s="392"/>
      <c r="AH110" s="392"/>
      <c r="AI110" s="392"/>
      <c r="AJ110" s="392"/>
      <c r="AK110" s="392"/>
      <c r="AL110" s="392"/>
      <c r="AM110" s="392"/>
      <c r="AN110" s="392"/>
      <c r="AO110" s="392"/>
      <c r="AP110" s="392"/>
      <c r="AQ110" s="392"/>
      <c r="AR110" s="392"/>
      <c r="AS110" s="392"/>
      <c r="AT110" s="392"/>
      <c r="AU110" s="392"/>
      <c r="AV110" s="392"/>
      <c r="AW110" s="392"/>
      <c r="AX110" s="392"/>
      <c r="AY110" s="392"/>
      <c r="AZ110" s="392"/>
      <c r="BA110" s="392"/>
      <c r="BB110" s="392"/>
      <c r="BC110" s="392"/>
      <c r="BD110" s="392"/>
      <c r="BG110" s="393"/>
      <c r="BH110" s="393"/>
      <c r="BI110" s="393"/>
      <c r="BJ110" s="393"/>
      <c r="BK110" s="2187" t="str">
        <f t="shared" si="80"/>
        <v/>
      </c>
      <c r="BL110" s="2186" t="str">
        <f t="shared" si="85"/>
        <v xml:space="preserve"> </v>
      </c>
      <c r="BM110" s="393"/>
      <c r="BN110" s="393"/>
      <c r="BO110" s="394"/>
      <c r="BP110" s="394"/>
      <c r="BQ110" s="394"/>
      <c r="BR110" s="394"/>
      <c r="BS110" s="394"/>
      <c r="BT110" s="394"/>
      <c r="BU110" s="392"/>
      <c r="BV110" s="392"/>
      <c r="BW110" s="392"/>
      <c r="BX110" s="392"/>
      <c r="BY110" s="392"/>
      <c r="BZ110" s="392"/>
      <c r="CA110" s="392"/>
      <c r="CB110" s="392"/>
      <c r="CC110" s="392"/>
      <c r="CD110" s="392"/>
      <c r="CE110" s="392"/>
      <c r="DI110" s="392"/>
      <c r="DJ110" s="392"/>
      <c r="DK110" s="392"/>
      <c r="DL110" s="392"/>
      <c r="DM110" s="392"/>
      <c r="DN110" s="392"/>
      <c r="DO110" s="392"/>
      <c r="DQ110" s="392"/>
      <c r="DS110" s="394"/>
      <c r="DT110" s="394"/>
      <c r="DW110" s="392"/>
      <c r="DX110" s="394"/>
      <c r="DY110" s="394"/>
      <c r="EC110" s="392"/>
      <c r="ED110" s="394"/>
      <c r="EH110" s="394"/>
      <c r="EI110" s="392"/>
      <c r="EJ110" s="394"/>
      <c r="EN110" s="394"/>
      <c r="EO110" s="392"/>
      <c r="EP110" s="394"/>
      <c r="ET110" s="394"/>
      <c r="EU110" s="392"/>
      <c r="EV110" s="394"/>
      <c r="EZ110" s="394"/>
      <c r="FA110" s="392"/>
      <c r="FB110" s="394"/>
      <c r="FF110" s="394"/>
      <c r="FG110" s="392"/>
      <c r="FH110" s="394"/>
      <c r="FL110" s="394"/>
      <c r="FM110" s="392"/>
      <c r="FN110" s="394"/>
      <c r="FR110" s="394"/>
      <c r="FS110" s="392"/>
      <c r="FT110" s="394"/>
      <c r="FX110" s="394"/>
      <c r="FY110" s="392"/>
      <c r="FZ110" s="394"/>
      <c r="GD110" s="394"/>
      <c r="GE110" s="392"/>
      <c r="GF110" s="392"/>
      <c r="GG110" s="394"/>
      <c r="GJ110" s="394"/>
      <c r="GK110" s="392"/>
      <c r="GL110" s="392"/>
      <c r="GM110" s="394"/>
      <c r="GO110" s="394"/>
      <c r="GP110" s="394"/>
      <c r="GQ110" s="392"/>
      <c r="GR110" s="392"/>
      <c r="GS110" s="394"/>
      <c r="GT110" s="394"/>
    </row>
    <row r="111" spans="1:209" s="390" customFormat="1" ht="16" hidden="1" outlineLevel="2" x14ac:dyDescent="0.2">
      <c r="A111" s="2952">
        <f t="shared" si="81"/>
        <v>0</v>
      </c>
      <c r="B111" s="2816" t="str">
        <f t="shared" si="82"/>
        <v xml:space="preserve"> </v>
      </c>
      <c r="C111" s="2935" t="str">
        <f t="shared" si="77"/>
        <v/>
      </c>
      <c r="D111" s="2936" t="str">
        <f>K50</f>
        <v>Tier07</v>
      </c>
      <c r="E111" s="2931" t="str">
        <f t="shared" si="78"/>
        <v/>
      </c>
      <c r="F111" s="2932">
        <f t="shared" si="86"/>
        <v>0</v>
      </c>
      <c r="G111" s="2943">
        <f t="shared" si="83"/>
        <v>0</v>
      </c>
      <c r="H111" s="2944">
        <f t="shared" si="79"/>
        <v>0</v>
      </c>
      <c r="I111" s="2316"/>
      <c r="J111" s="2780" t="str">
        <f t="shared" si="84"/>
        <v xml:space="preserve"> </v>
      </c>
      <c r="K111" s="3163">
        <f>AF52</f>
        <v>0</v>
      </c>
      <c r="Q111" s="393"/>
      <c r="S111" s="394"/>
      <c r="T111" s="393"/>
      <c r="U111" s="393"/>
      <c r="V111" s="394"/>
      <c r="W111" s="394"/>
      <c r="X111" s="394"/>
      <c r="Y111" s="394"/>
      <c r="Z111" s="394"/>
      <c r="AA111" s="394"/>
      <c r="AB111" s="394"/>
      <c r="AC111" s="391"/>
      <c r="AD111" s="392"/>
      <c r="AE111" s="392"/>
      <c r="AF111" s="392"/>
      <c r="AG111" s="392"/>
      <c r="AH111" s="392"/>
      <c r="AI111" s="392"/>
      <c r="AJ111" s="392"/>
      <c r="AK111" s="392"/>
      <c r="AL111" s="392"/>
      <c r="AM111" s="392"/>
      <c r="AN111" s="392"/>
      <c r="AO111" s="392"/>
      <c r="AP111" s="392"/>
      <c r="AQ111" s="392"/>
      <c r="AR111" s="392"/>
      <c r="AS111" s="392"/>
      <c r="AT111" s="392"/>
      <c r="AU111" s="392"/>
      <c r="AV111" s="392"/>
      <c r="AW111" s="392"/>
      <c r="AX111" s="392"/>
      <c r="AY111" s="392"/>
      <c r="AZ111" s="392"/>
      <c r="BA111" s="392"/>
      <c r="BB111" s="392"/>
      <c r="BC111" s="392"/>
      <c r="BD111" s="392"/>
      <c r="BG111" s="393"/>
      <c r="BH111" s="393"/>
      <c r="BI111" s="393"/>
      <c r="BJ111" s="393"/>
      <c r="BK111" s="2187" t="str">
        <f t="shared" si="80"/>
        <v/>
      </c>
      <c r="BL111" s="2186" t="str">
        <f t="shared" si="85"/>
        <v xml:space="preserve"> </v>
      </c>
      <c r="BM111" s="393"/>
      <c r="BN111" s="393"/>
      <c r="BO111" s="394"/>
      <c r="BP111" s="394"/>
      <c r="BQ111" s="394"/>
      <c r="BR111" s="394"/>
      <c r="BS111" s="394"/>
      <c r="BT111" s="394"/>
      <c r="BU111" s="392"/>
      <c r="BV111" s="392"/>
      <c r="BW111" s="392"/>
      <c r="BX111" s="392"/>
      <c r="BY111" s="392"/>
      <c r="BZ111" s="392"/>
      <c r="CA111" s="392"/>
      <c r="CB111" s="392"/>
      <c r="CC111" s="392"/>
      <c r="CD111" s="392"/>
      <c r="CE111" s="392"/>
      <c r="DI111" s="392"/>
      <c r="DJ111" s="392"/>
      <c r="DK111" s="392"/>
      <c r="DL111" s="392"/>
      <c r="DM111" s="392"/>
      <c r="DN111" s="392"/>
      <c r="DO111" s="392"/>
      <c r="DQ111" s="392"/>
      <c r="DS111" s="394"/>
      <c r="DT111" s="394"/>
      <c r="DW111" s="392"/>
      <c r="DX111" s="394"/>
      <c r="DY111" s="394"/>
      <c r="EC111" s="392"/>
      <c r="ED111" s="394"/>
      <c r="EH111" s="394"/>
      <c r="EI111" s="392"/>
      <c r="EJ111" s="394"/>
      <c r="EN111" s="394"/>
      <c r="EO111" s="392"/>
      <c r="EP111" s="394"/>
      <c r="ET111" s="394"/>
      <c r="EU111" s="392"/>
      <c r="EV111" s="394"/>
      <c r="EZ111" s="394"/>
      <c r="FA111" s="392"/>
      <c r="FB111" s="394"/>
      <c r="FF111" s="394"/>
      <c r="FG111" s="392"/>
      <c r="FH111" s="394"/>
      <c r="FL111" s="394"/>
      <c r="FM111" s="392"/>
      <c r="FN111" s="394"/>
      <c r="FR111" s="394"/>
      <c r="FS111" s="392"/>
      <c r="FT111" s="394"/>
      <c r="FX111" s="394"/>
      <c r="FY111" s="392"/>
      <c r="FZ111" s="394"/>
      <c r="GD111" s="394"/>
      <c r="GE111" s="392"/>
      <c r="GF111" s="392"/>
      <c r="GG111" s="394"/>
      <c r="GJ111" s="394"/>
      <c r="GK111" s="392"/>
      <c r="GL111" s="392"/>
      <c r="GM111" s="394"/>
      <c r="GO111" s="394"/>
      <c r="GP111" s="394"/>
      <c r="GQ111" s="392"/>
      <c r="GR111" s="392"/>
      <c r="GS111" s="394"/>
      <c r="GT111" s="394"/>
    </row>
    <row r="112" spans="1:209" s="390" customFormat="1" ht="16" hidden="1" outlineLevel="2" x14ac:dyDescent="0.2">
      <c r="A112" s="2952">
        <f t="shared" si="81"/>
        <v>0</v>
      </c>
      <c r="B112" s="2816" t="str">
        <f t="shared" si="82"/>
        <v xml:space="preserve"> </v>
      </c>
      <c r="C112" s="2935" t="str">
        <f t="shared" si="77"/>
        <v/>
      </c>
      <c r="D112" s="2937" t="str">
        <f>K54</f>
        <v>Tier08</v>
      </c>
      <c r="E112" s="2931" t="str">
        <f t="shared" si="78"/>
        <v/>
      </c>
      <c r="F112" s="2932">
        <f t="shared" si="86"/>
        <v>0</v>
      </c>
      <c r="G112" s="2943">
        <f t="shared" si="83"/>
        <v>0</v>
      </c>
      <c r="H112" s="2944">
        <f t="shared" si="79"/>
        <v>0</v>
      </c>
      <c r="I112" s="2316"/>
      <c r="J112" s="2780" t="str">
        <f t="shared" si="84"/>
        <v xml:space="preserve"> </v>
      </c>
      <c r="K112" s="3163">
        <f>AF56</f>
        <v>0</v>
      </c>
      <c r="Q112" s="393"/>
      <c r="S112" s="394"/>
      <c r="T112" s="393"/>
      <c r="U112" s="393"/>
      <c r="V112" s="394"/>
      <c r="W112" s="394"/>
      <c r="X112" s="394"/>
      <c r="Y112" s="394"/>
      <c r="Z112" s="394"/>
      <c r="AA112" s="394"/>
      <c r="AB112" s="394"/>
      <c r="AC112" s="391"/>
      <c r="AD112" s="392"/>
      <c r="AE112" s="392"/>
      <c r="AF112" s="392"/>
      <c r="AG112" s="392"/>
      <c r="AH112" s="392"/>
      <c r="AI112" s="392"/>
      <c r="AJ112" s="392"/>
      <c r="AK112" s="392"/>
      <c r="AL112" s="392"/>
      <c r="AM112" s="392"/>
      <c r="AN112" s="392"/>
      <c r="AO112" s="392"/>
      <c r="AP112" s="392"/>
      <c r="AQ112" s="392"/>
      <c r="AR112" s="392"/>
      <c r="AS112" s="392"/>
      <c r="AT112" s="392"/>
      <c r="AU112" s="392"/>
      <c r="AV112" s="392"/>
      <c r="AW112" s="392"/>
      <c r="AX112" s="392"/>
      <c r="AY112" s="392"/>
      <c r="AZ112" s="392"/>
      <c r="BA112" s="392"/>
      <c r="BB112" s="392"/>
      <c r="BC112" s="392"/>
      <c r="BD112" s="392"/>
      <c r="BG112" s="393"/>
      <c r="BH112" s="393"/>
      <c r="BI112" s="393"/>
      <c r="BJ112" s="393"/>
      <c r="BK112" s="2187" t="str">
        <f t="shared" si="80"/>
        <v/>
      </c>
      <c r="BL112" s="2186" t="str">
        <f t="shared" si="85"/>
        <v xml:space="preserve"> </v>
      </c>
      <c r="BM112" s="393"/>
      <c r="BN112" s="393"/>
      <c r="BO112" s="394"/>
      <c r="BP112" s="394"/>
      <c r="BQ112" s="394"/>
      <c r="BR112" s="394"/>
      <c r="BS112" s="394"/>
      <c r="BT112" s="394"/>
      <c r="BU112" s="392"/>
      <c r="BV112" s="392"/>
      <c r="BW112" s="392"/>
      <c r="BX112" s="392"/>
      <c r="BY112" s="392"/>
      <c r="BZ112" s="392"/>
      <c r="CA112" s="392"/>
      <c r="CB112" s="392"/>
      <c r="CC112" s="392"/>
      <c r="CD112" s="392"/>
      <c r="CE112" s="392"/>
      <c r="DI112" s="392"/>
      <c r="DJ112" s="392"/>
      <c r="DK112" s="392"/>
      <c r="DL112" s="392"/>
      <c r="DM112" s="392"/>
      <c r="DN112" s="392"/>
      <c r="DO112" s="392"/>
      <c r="DQ112" s="392"/>
      <c r="DS112" s="394"/>
      <c r="DT112" s="394"/>
      <c r="DW112" s="392"/>
      <c r="DX112" s="394"/>
      <c r="DY112" s="394"/>
      <c r="EC112" s="392"/>
      <c r="ED112" s="394"/>
      <c r="EH112" s="394"/>
      <c r="EI112" s="392"/>
      <c r="EJ112" s="394"/>
      <c r="EN112" s="394"/>
      <c r="EO112" s="392"/>
      <c r="EP112" s="394"/>
      <c r="ET112" s="394"/>
      <c r="EU112" s="392"/>
      <c r="EV112" s="394"/>
      <c r="EZ112" s="394"/>
      <c r="FA112" s="392"/>
      <c r="FB112" s="394"/>
      <c r="FF112" s="394"/>
      <c r="FG112" s="392"/>
      <c r="FH112" s="394"/>
      <c r="FL112" s="394"/>
      <c r="FM112" s="392"/>
      <c r="FN112" s="394"/>
      <c r="FR112" s="394"/>
      <c r="FS112" s="392"/>
      <c r="FT112" s="394"/>
      <c r="FX112" s="394"/>
      <c r="FY112" s="392"/>
      <c r="FZ112" s="394"/>
      <c r="GD112" s="394"/>
      <c r="GE112" s="392"/>
      <c r="GF112" s="392"/>
      <c r="GG112" s="394"/>
      <c r="GJ112" s="394"/>
      <c r="GK112" s="392"/>
      <c r="GL112" s="392"/>
      <c r="GM112" s="394"/>
      <c r="GO112" s="394"/>
      <c r="GP112" s="394"/>
      <c r="GQ112" s="392"/>
      <c r="GR112" s="392"/>
      <c r="GS112" s="394"/>
      <c r="GT112" s="394"/>
    </row>
    <row r="113" spans="1:202" s="390" customFormat="1" ht="16" hidden="1" outlineLevel="2" x14ac:dyDescent="0.2">
      <c r="A113" s="2952">
        <f t="shared" si="81"/>
        <v>0</v>
      </c>
      <c r="B113" s="2816" t="str">
        <f t="shared" si="82"/>
        <v xml:space="preserve"> </v>
      </c>
      <c r="C113" s="2935" t="str">
        <f t="shared" si="77"/>
        <v/>
      </c>
      <c r="D113" s="2936" t="str">
        <f>K58</f>
        <v>Tier09</v>
      </c>
      <c r="E113" s="2931" t="str">
        <f t="shared" si="78"/>
        <v/>
      </c>
      <c r="F113" s="2932">
        <f t="shared" si="86"/>
        <v>0</v>
      </c>
      <c r="G113" s="2943">
        <f t="shared" si="83"/>
        <v>0</v>
      </c>
      <c r="H113" s="2944">
        <f t="shared" si="79"/>
        <v>0</v>
      </c>
      <c r="I113" s="2316"/>
      <c r="J113" s="2780" t="str">
        <f t="shared" si="84"/>
        <v xml:space="preserve"> </v>
      </c>
      <c r="K113" s="3163">
        <f>AF60</f>
        <v>0</v>
      </c>
      <c r="Q113" s="393"/>
      <c r="S113" s="394"/>
      <c r="T113" s="393"/>
      <c r="U113" s="393"/>
      <c r="V113" s="394"/>
      <c r="W113" s="394"/>
      <c r="X113" s="394"/>
      <c r="Y113" s="394"/>
      <c r="Z113" s="394"/>
      <c r="AA113" s="394"/>
      <c r="AB113" s="394"/>
      <c r="AC113" s="391"/>
      <c r="AD113" s="392"/>
      <c r="AE113" s="392"/>
      <c r="AF113" s="392"/>
      <c r="AG113" s="392"/>
      <c r="AH113" s="392"/>
      <c r="AI113" s="392"/>
      <c r="AJ113" s="392"/>
      <c r="AK113" s="392"/>
      <c r="AL113" s="392"/>
      <c r="AM113" s="392"/>
      <c r="AN113" s="392"/>
      <c r="AO113" s="392"/>
      <c r="AP113" s="392"/>
      <c r="AQ113" s="392"/>
      <c r="AR113" s="392"/>
      <c r="AS113" s="392"/>
      <c r="AT113" s="392"/>
      <c r="AU113" s="392"/>
      <c r="AV113" s="392"/>
      <c r="AW113" s="392"/>
      <c r="AX113" s="392"/>
      <c r="AY113" s="392"/>
      <c r="AZ113" s="392"/>
      <c r="BA113" s="392"/>
      <c r="BB113" s="392"/>
      <c r="BC113" s="392"/>
      <c r="BD113" s="392"/>
      <c r="BG113" s="393"/>
      <c r="BH113" s="393"/>
      <c r="BI113" s="393"/>
      <c r="BJ113" s="393"/>
      <c r="BK113" s="2187" t="str">
        <f t="shared" si="80"/>
        <v/>
      </c>
      <c r="BL113" s="2186" t="str">
        <f t="shared" si="85"/>
        <v xml:space="preserve"> </v>
      </c>
      <c r="BM113" s="393"/>
      <c r="BN113" s="393"/>
      <c r="BO113" s="394"/>
      <c r="BP113" s="394"/>
      <c r="BQ113" s="394"/>
      <c r="BR113" s="394"/>
      <c r="BS113" s="394"/>
      <c r="BT113" s="394"/>
      <c r="BU113" s="392"/>
      <c r="BV113" s="392"/>
      <c r="BW113" s="392"/>
      <c r="BX113" s="392"/>
      <c r="BY113" s="392"/>
      <c r="BZ113" s="392"/>
      <c r="CA113" s="392"/>
      <c r="CB113" s="392"/>
      <c r="CC113" s="392"/>
      <c r="CD113" s="392"/>
      <c r="CE113" s="392"/>
      <c r="DI113" s="392"/>
      <c r="DJ113" s="392"/>
      <c r="DK113" s="392"/>
      <c r="DL113" s="392"/>
      <c r="DM113" s="392"/>
      <c r="DN113" s="392"/>
      <c r="DO113" s="392"/>
      <c r="DQ113" s="392"/>
      <c r="DS113" s="394"/>
      <c r="DT113" s="394"/>
      <c r="DW113" s="392"/>
      <c r="DX113" s="394"/>
      <c r="DY113" s="394"/>
      <c r="EC113" s="392"/>
      <c r="ED113" s="394"/>
      <c r="EH113" s="394"/>
      <c r="EI113" s="392"/>
      <c r="EJ113" s="394"/>
      <c r="EN113" s="394"/>
      <c r="EO113" s="392"/>
      <c r="EP113" s="394"/>
      <c r="ET113" s="394"/>
      <c r="EU113" s="392"/>
      <c r="EV113" s="394"/>
      <c r="EZ113" s="394"/>
      <c r="FA113" s="392"/>
      <c r="FB113" s="394"/>
      <c r="FF113" s="394"/>
      <c r="FG113" s="392"/>
      <c r="FH113" s="394"/>
      <c r="FL113" s="394"/>
      <c r="FM113" s="392"/>
      <c r="FN113" s="394"/>
      <c r="FR113" s="394"/>
      <c r="FS113" s="392"/>
      <c r="FT113" s="394"/>
      <c r="FX113" s="394"/>
      <c r="FY113" s="392"/>
      <c r="FZ113" s="394"/>
      <c r="GD113" s="394"/>
      <c r="GE113" s="392"/>
      <c r="GF113" s="392"/>
      <c r="GG113" s="394"/>
      <c r="GJ113" s="394"/>
      <c r="GK113" s="392"/>
      <c r="GL113" s="392"/>
      <c r="GM113" s="394"/>
      <c r="GO113" s="394"/>
      <c r="GP113" s="394"/>
      <c r="GQ113" s="392"/>
      <c r="GR113" s="392"/>
      <c r="GS113" s="394"/>
      <c r="GT113" s="394"/>
    </row>
    <row r="114" spans="1:202" s="390" customFormat="1" ht="16" hidden="1" outlineLevel="2" x14ac:dyDescent="0.2">
      <c r="A114" s="2952">
        <f t="shared" si="81"/>
        <v>0</v>
      </c>
      <c r="B114" s="2816" t="str">
        <f t="shared" si="82"/>
        <v xml:space="preserve"> </v>
      </c>
      <c r="C114" s="2935" t="str">
        <f t="shared" si="77"/>
        <v/>
      </c>
      <c r="D114" s="2938" t="str">
        <f>K62</f>
        <v>Tier10</v>
      </c>
      <c r="E114" s="2931" t="str">
        <f t="shared" si="78"/>
        <v/>
      </c>
      <c r="F114" s="2932">
        <f t="shared" si="86"/>
        <v>0</v>
      </c>
      <c r="G114" s="2943">
        <f t="shared" si="83"/>
        <v>0</v>
      </c>
      <c r="H114" s="2944">
        <f t="shared" si="79"/>
        <v>0</v>
      </c>
      <c r="I114" s="2316"/>
      <c r="J114" s="2780" t="str">
        <f t="shared" si="84"/>
        <v xml:space="preserve"> </v>
      </c>
      <c r="K114" s="3163">
        <f>AF64</f>
        <v>0</v>
      </c>
      <c r="Q114" s="393"/>
      <c r="S114" s="394"/>
      <c r="T114" s="393"/>
      <c r="U114" s="393"/>
      <c r="V114" s="394"/>
      <c r="W114" s="394"/>
      <c r="X114" s="394"/>
      <c r="Y114" s="394"/>
      <c r="Z114" s="394"/>
      <c r="AA114" s="394"/>
      <c r="AB114" s="394"/>
      <c r="AC114" s="391"/>
      <c r="AD114" s="392"/>
      <c r="AE114" s="392"/>
      <c r="AF114" s="392"/>
      <c r="AG114" s="392"/>
      <c r="AH114" s="392"/>
      <c r="AI114" s="392"/>
      <c r="AJ114" s="392"/>
      <c r="AK114" s="392"/>
      <c r="AL114" s="392"/>
      <c r="AM114" s="392"/>
      <c r="AN114" s="392"/>
      <c r="AO114" s="392"/>
      <c r="AP114" s="392"/>
      <c r="AQ114" s="392"/>
      <c r="AR114" s="392"/>
      <c r="AS114" s="392"/>
      <c r="AT114" s="392"/>
      <c r="AU114" s="392"/>
      <c r="AV114" s="392"/>
      <c r="AW114" s="392"/>
      <c r="AX114" s="392"/>
      <c r="AY114" s="392"/>
      <c r="AZ114" s="392"/>
      <c r="BA114" s="392"/>
      <c r="BB114" s="392"/>
      <c r="BC114" s="392"/>
      <c r="BD114" s="392"/>
      <c r="BG114" s="393"/>
      <c r="BH114" s="393"/>
      <c r="BI114" s="393"/>
      <c r="BJ114" s="393"/>
      <c r="BK114" s="2187" t="str">
        <f t="shared" si="80"/>
        <v/>
      </c>
      <c r="BL114" s="2186" t="str">
        <f t="shared" si="85"/>
        <v xml:space="preserve"> </v>
      </c>
      <c r="BM114" s="393"/>
      <c r="BN114" s="393"/>
      <c r="BO114" s="394"/>
      <c r="BP114" s="394"/>
      <c r="BQ114" s="394"/>
      <c r="BR114" s="394"/>
      <c r="BS114" s="394"/>
      <c r="BT114" s="394"/>
      <c r="BU114" s="392"/>
      <c r="BV114" s="392"/>
      <c r="BW114" s="392"/>
      <c r="BX114" s="392"/>
      <c r="BY114" s="392"/>
      <c r="BZ114" s="392"/>
      <c r="CA114" s="392"/>
      <c r="CB114" s="392"/>
      <c r="CC114" s="392"/>
      <c r="CD114" s="392"/>
      <c r="CE114" s="392"/>
      <c r="DI114" s="392"/>
      <c r="DJ114" s="392"/>
      <c r="DK114" s="392"/>
      <c r="DL114" s="392"/>
      <c r="DM114" s="392"/>
      <c r="DN114" s="392"/>
      <c r="DO114" s="392"/>
      <c r="DQ114" s="392"/>
      <c r="DS114" s="394"/>
      <c r="DT114" s="394"/>
      <c r="DW114" s="392"/>
      <c r="DX114" s="394"/>
      <c r="DY114" s="394"/>
      <c r="EC114" s="392"/>
      <c r="ED114" s="394"/>
      <c r="EH114" s="394"/>
      <c r="EI114" s="392"/>
      <c r="EJ114" s="394"/>
      <c r="EN114" s="394"/>
      <c r="EO114" s="392"/>
      <c r="EP114" s="394"/>
      <c r="ET114" s="394"/>
      <c r="EU114" s="392"/>
      <c r="EV114" s="394"/>
      <c r="EZ114" s="394"/>
      <c r="FA114" s="392"/>
      <c r="FB114" s="394"/>
      <c r="FF114" s="394"/>
      <c r="FG114" s="392"/>
      <c r="FH114" s="394"/>
      <c r="FL114" s="394"/>
      <c r="FM114" s="392"/>
      <c r="FN114" s="394"/>
      <c r="FR114" s="394"/>
      <c r="FS114" s="392"/>
      <c r="FT114" s="394"/>
      <c r="FX114" s="394"/>
      <c r="FY114" s="392"/>
      <c r="FZ114" s="394"/>
      <c r="GD114" s="394"/>
      <c r="GE114" s="392"/>
      <c r="GF114" s="392"/>
      <c r="GG114" s="394"/>
      <c r="GJ114" s="394"/>
      <c r="GK114" s="392"/>
      <c r="GL114" s="392"/>
      <c r="GM114" s="394"/>
      <c r="GO114" s="394"/>
      <c r="GP114" s="394"/>
      <c r="GQ114" s="392"/>
      <c r="GR114" s="392"/>
      <c r="GS114" s="394"/>
      <c r="GT114" s="394"/>
    </row>
    <row r="115" spans="1:202" s="390" customFormat="1" ht="16" hidden="1" outlineLevel="2" x14ac:dyDescent="0.2">
      <c r="A115" s="2952">
        <f t="shared" si="81"/>
        <v>1</v>
      </c>
      <c r="B115" s="2816" t="str">
        <f>J115</f>
        <v>Xeon Gold 5122 4 core (1 chip) 3600 MHz 96 GB RAM</v>
      </c>
      <c r="C115" s="2935">
        <f>IF(K115,K115,IF(A115&gt;0,A115*VLOOKUP(B115,HWPricing,6,FALSE),""))</f>
        <v>10892.25</v>
      </c>
      <c r="D115" s="2936" t="str">
        <f>K67</f>
        <v>WTS</v>
      </c>
      <c r="E115" s="2931" t="str">
        <f t="shared" si="78"/>
        <v>Xeon Gold 5122 4 core (1 chip) 3600 MHz</v>
      </c>
      <c r="F115" s="2932">
        <f t="shared" si="86"/>
        <v>67</v>
      </c>
      <c r="G115" s="2943">
        <f t="shared" si="83"/>
        <v>4</v>
      </c>
      <c r="H115" s="2944">
        <f t="shared" si="79"/>
        <v>0</v>
      </c>
      <c r="I115" s="2316"/>
      <c r="J115" s="2780" t="str">
        <f t="shared" si="84"/>
        <v>Xeon Gold 5122 4 core (1 chip) 3600 MHz 96 GB RAM</v>
      </c>
      <c r="K115" s="3163">
        <f>AF69</f>
        <v>0</v>
      </c>
      <c r="Q115" s="393"/>
      <c r="S115" s="394"/>
      <c r="T115" s="393"/>
      <c r="U115" s="393"/>
      <c r="V115" s="394"/>
      <c r="W115" s="394"/>
      <c r="X115" s="394"/>
      <c r="Y115" s="394"/>
      <c r="Z115" s="394"/>
      <c r="AA115" s="394"/>
      <c r="AB115" s="394"/>
      <c r="AC115" s="391"/>
      <c r="AD115" s="392"/>
      <c r="AE115" s="392"/>
      <c r="AF115" s="392"/>
      <c r="AG115" s="392"/>
      <c r="AH115" s="392"/>
      <c r="AI115" s="392"/>
      <c r="AJ115" s="392"/>
      <c r="AK115" s="392"/>
      <c r="AL115" s="392"/>
      <c r="AM115" s="392"/>
      <c r="AN115" s="392"/>
      <c r="AO115" s="392"/>
      <c r="AP115" s="392"/>
      <c r="AQ115" s="392"/>
      <c r="AR115" s="392"/>
      <c r="AS115" s="392"/>
      <c r="AT115" s="392"/>
      <c r="AU115" s="392"/>
      <c r="AV115" s="392"/>
      <c r="AW115" s="392"/>
      <c r="AX115" s="392"/>
      <c r="AY115" s="392"/>
      <c r="AZ115" s="392"/>
      <c r="BA115" s="392"/>
      <c r="BB115" s="392"/>
      <c r="BC115" s="392"/>
      <c r="BD115" s="392"/>
      <c r="BG115" s="393"/>
      <c r="BH115" s="393"/>
      <c r="BI115" s="393"/>
      <c r="BJ115" s="393"/>
      <c r="BK115" s="2187" t="str">
        <f>IF(A115&gt;0,C179,"")</f>
        <v>Xeon Gold 5122 4 core (1 chip) 3600 MHz</v>
      </c>
      <c r="BL115" s="2186" t="str">
        <f t="shared" si="85"/>
        <v xml:space="preserve"> 96 GB RAM</v>
      </c>
      <c r="BM115" s="393"/>
      <c r="BN115" s="393"/>
      <c r="BO115" s="394"/>
      <c r="BP115" s="394"/>
      <c r="BQ115" s="394"/>
      <c r="BR115" s="394"/>
      <c r="BS115" s="394"/>
      <c r="BT115" s="394"/>
      <c r="BU115" s="392"/>
      <c r="BV115" s="392"/>
      <c r="BW115" s="392"/>
      <c r="BX115" s="392"/>
      <c r="BY115" s="392"/>
      <c r="BZ115" s="392"/>
      <c r="CA115" s="392"/>
      <c r="CB115" s="392"/>
      <c r="CC115" s="392"/>
      <c r="CD115" s="392"/>
      <c r="CE115" s="392"/>
      <c r="DI115" s="392"/>
      <c r="DJ115" s="392"/>
      <c r="DK115" s="392"/>
      <c r="DL115" s="392"/>
      <c r="DM115" s="392"/>
      <c r="DN115" s="392"/>
      <c r="DO115" s="392"/>
      <c r="DQ115" s="392"/>
      <c r="DS115" s="394"/>
      <c r="DT115" s="394"/>
      <c r="DW115" s="392"/>
      <c r="DX115" s="394"/>
      <c r="DY115" s="394"/>
      <c r="EC115" s="392"/>
      <c r="ED115" s="394"/>
      <c r="EH115" s="394"/>
      <c r="EI115" s="392"/>
      <c r="EJ115" s="394"/>
      <c r="EN115" s="394"/>
      <c r="EO115" s="392"/>
      <c r="EP115" s="394"/>
      <c r="ET115" s="394"/>
      <c r="EU115" s="392"/>
      <c r="EV115" s="394"/>
      <c r="EZ115" s="394"/>
      <c r="FA115" s="392"/>
      <c r="FB115" s="394"/>
      <c r="FF115" s="394"/>
      <c r="FG115" s="392"/>
      <c r="FH115" s="394"/>
      <c r="FL115" s="394"/>
      <c r="FM115" s="392"/>
      <c r="FN115" s="394"/>
      <c r="FR115" s="394"/>
      <c r="FS115" s="392"/>
      <c r="FT115" s="394"/>
      <c r="FX115" s="394"/>
      <c r="FY115" s="392"/>
      <c r="FZ115" s="394"/>
      <c r="GD115" s="394"/>
      <c r="GE115" s="392"/>
      <c r="GF115" s="392"/>
      <c r="GG115" s="394"/>
      <c r="GJ115" s="394"/>
      <c r="GK115" s="392"/>
      <c r="GL115" s="392"/>
      <c r="GM115" s="394"/>
      <c r="GO115" s="394"/>
      <c r="GP115" s="394"/>
      <c r="GQ115" s="392"/>
      <c r="GR115" s="392"/>
      <c r="GS115" s="394"/>
      <c r="GT115" s="394"/>
    </row>
    <row r="116" spans="1:202" s="390" customFormat="1" ht="16" hidden="1" outlineLevel="2" x14ac:dyDescent="0.2">
      <c r="A116" s="2952">
        <f t="shared" si="81"/>
        <v>0</v>
      </c>
      <c r="B116" s="2816" t="str">
        <f t="shared" si="82"/>
        <v xml:space="preserve"> </v>
      </c>
      <c r="C116" s="2935" t="str">
        <f t="shared" si="77"/>
        <v/>
      </c>
      <c r="D116" s="2936" t="str">
        <f>K71</f>
        <v>Tier12</v>
      </c>
      <c r="E116" s="2931" t="str">
        <f t="shared" si="78"/>
        <v/>
      </c>
      <c r="F116" s="2932">
        <f t="shared" si="86"/>
        <v>0</v>
      </c>
      <c r="G116" s="2943">
        <f t="shared" si="83"/>
        <v>0</v>
      </c>
      <c r="H116" s="2944">
        <f t="shared" si="79"/>
        <v>0</v>
      </c>
      <c r="I116" s="2316"/>
      <c r="J116" s="2780" t="str">
        <f t="shared" si="84"/>
        <v xml:space="preserve"> </v>
      </c>
      <c r="K116" s="3163">
        <f>AF73</f>
        <v>0</v>
      </c>
      <c r="Q116" s="393"/>
      <c r="S116" s="394"/>
      <c r="T116" s="393"/>
      <c r="U116" s="393"/>
      <c r="V116" s="394"/>
      <c r="W116" s="394"/>
      <c r="X116" s="394"/>
      <c r="Y116" s="394"/>
      <c r="Z116" s="394"/>
      <c r="AA116" s="394"/>
      <c r="AB116" s="394"/>
      <c r="AC116" s="391"/>
      <c r="AD116" s="392"/>
      <c r="AE116" s="392"/>
      <c r="AF116" s="392"/>
      <c r="AG116" s="392"/>
      <c r="AH116" s="392"/>
      <c r="AI116" s="392"/>
      <c r="AJ116" s="392"/>
      <c r="AK116" s="392"/>
      <c r="AL116" s="392"/>
      <c r="AM116" s="392"/>
      <c r="AN116" s="392"/>
      <c r="AO116" s="392"/>
      <c r="AP116" s="392"/>
      <c r="AQ116" s="392"/>
      <c r="AR116" s="392"/>
      <c r="AS116" s="392"/>
      <c r="AT116" s="392"/>
      <c r="AU116" s="392"/>
      <c r="AV116" s="392"/>
      <c r="AW116" s="392"/>
      <c r="AX116" s="392"/>
      <c r="AY116" s="392"/>
      <c r="AZ116" s="392"/>
      <c r="BA116" s="392"/>
      <c r="BB116" s="392"/>
      <c r="BC116" s="392"/>
      <c r="BD116" s="392"/>
      <c r="BG116" s="393"/>
      <c r="BH116" s="393"/>
      <c r="BI116" s="393"/>
      <c r="BJ116" s="393"/>
      <c r="BK116" s="2187" t="str">
        <f t="shared" si="80"/>
        <v/>
      </c>
      <c r="BL116" s="2186" t="str">
        <f t="shared" si="85"/>
        <v xml:space="preserve"> </v>
      </c>
      <c r="BM116" s="393"/>
      <c r="BN116" s="393"/>
      <c r="BO116" s="394"/>
      <c r="BP116" s="394"/>
      <c r="BQ116" s="394"/>
      <c r="BR116" s="394"/>
      <c r="BS116" s="394"/>
      <c r="BT116" s="394"/>
      <c r="BU116" s="392"/>
      <c r="BV116" s="392"/>
      <c r="BW116" s="392"/>
      <c r="BX116" s="392"/>
      <c r="BY116" s="392"/>
      <c r="BZ116" s="392"/>
      <c r="CA116" s="392"/>
      <c r="CB116" s="392"/>
      <c r="CC116" s="392"/>
      <c r="CD116" s="392"/>
      <c r="CE116" s="392"/>
      <c r="DI116" s="392"/>
      <c r="DJ116" s="392"/>
      <c r="DK116" s="392"/>
      <c r="DL116" s="392"/>
      <c r="DM116" s="392"/>
      <c r="DN116" s="392"/>
      <c r="DO116" s="392"/>
      <c r="DQ116" s="392"/>
      <c r="DS116" s="394"/>
      <c r="DT116" s="394"/>
      <c r="DW116" s="392"/>
      <c r="DX116" s="394"/>
      <c r="DY116" s="394"/>
      <c r="EC116" s="392"/>
      <c r="ED116" s="394"/>
      <c r="EH116" s="394"/>
      <c r="EI116" s="392"/>
      <c r="EJ116" s="394"/>
      <c r="EN116" s="394"/>
      <c r="EO116" s="392"/>
      <c r="EP116" s="394"/>
      <c r="ET116" s="394"/>
      <c r="EU116" s="392"/>
      <c r="EV116" s="394"/>
      <c r="EZ116" s="394"/>
      <c r="FA116" s="392"/>
      <c r="FB116" s="394"/>
      <c r="FF116" s="394"/>
      <c r="FG116" s="392"/>
      <c r="FH116" s="394"/>
      <c r="FL116" s="394"/>
      <c r="FM116" s="392"/>
      <c r="FN116" s="394"/>
      <c r="FR116" s="394"/>
      <c r="FS116" s="392"/>
      <c r="FT116" s="394"/>
      <c r="FX116" s="394"/>
      <c r="FY116" s="392"/>
      <c r="FZ116" s="394"/>
      <c r="GD116" s="394"/>
      <c r="GE116" s="392"/>
      <c r="GF116" s="392"/>
      <c r="GG116" s="394"/>
      <c r="GJ116" s="394"/>
      <c r="GK116" s="392"/>
      <c r="GL116" s="392"/>
      <c r="GM116" s="394"/>
      <c r="GO116" s="394"/>
      <c r="GP116" s="394"/>
      <c r="GQ116" s="392"/>
      <c r="GR116" s="392"/>
      <c r="GS116" s="394"/>
      <c r="GT116" s="394"/>
    </row>
    <row r="117" spans="1:202" s="390" customFormat="1" ht="16" hidden="1" outlineLevel="2" x14ac:dyDescent="0.2">
      <c r="A117" s="2952">
        <f t="shared" si="81"/>
        <v>1</v>
      </c>
      <c r="B117" s="2816" t="str">
        <f t="shared" si="82"/>
        <v>Xeon Gold 5122 4 core (1 chip) 3600 MHz 32 GB RAM</v>
      </c>
      <c r="C117" s="2935">
        <f t="shared" si="77"/>
        <v>9224.75</v>
      </c>
      <c r="D117" s="2936" t="str">
        <f>K75</f>
        <v>Web</v>
      </c>
      <c r="E117" s="2931" t="str">
        <f t="shared" si="78"/>
        <v>Xeon Gold 5122 4 core (1 chip) 3600 MHz</v>
      </c>
      <c r="F117" s="2932">
        <f t="shared" si="86"/>
        <v>16</v>
      </c>
      <c r="G117" s="2943">
        <f t="shared" si="83"/>
        <v>4</v>
      </c>
      <c r="H117" s="2944">
        <f t="shared" si="79"/>
        <v>0</v>
      </c>
      <c r="I117" s="2316"/>
      <c r="J117" s="2780" t="str">
        <f>BK117&amp;BL117</f>
        <v>Xeon Gold 5122 4 core (1 chip) 3600 MHz 32 GB RAM</v>
      </c>
      <c r="K117" s="3163">
        <f>AF77</f>
        <v>0</v>
      </c>
      <c r="Q117" s="393"/>
      <c r="S117" s="394"/>
      <c r="T117" s="393"/>
      <c r="U117" s="393"/>
      <c r="V117" s="394"/>
      <c r="W117" s="394"/>
      <c r="X117" s="394"/>
      <c r="Y117" s="394"/>
      <c r="Z117" s="394"/>
      <c r="AA117" s="394"/>
      <c r="AB117" s="394"/>
      <c r="AC117" s="391"/>
      <c r="AD117" s="392"/>
      <c r="AE117" s="392"/>
      <c r="AF117" s="392"/>
      <c r="AG117" s="392"/>
      <c r="AH117" s="392"/>
      <c r="AI117" s="392"/>
      <c r="AJ117" s="392"/>
      <c r="AK117" s="392"/>
      <c r="AL117" s="392"/>
      <c r="AM117" s="392"/>
      <c r="AN117" s="392"/>
      <c r="AO117" s="392"/>
      <c r="AP117" s="392"/>
      <c r="AQ117" s="392"/>
      <c r="AR117" s="392"/>
      <c r="AS117" s="392"/>
      <c r="AT117" s="392"/>
      <c r="AU117" s="392"/>
      <c r="AV117" s="392"/>
      <c r="AW117" s="392"/>
      <c r="AX117" s="392"/>
      <c r="AY117" s="392"/>
      <c r="AZ117" s="392"/>
      <c r="BA117" s="392"/>
      <c r="BB117" s="392"/>
      <c r="BC117" s="392"/>
      <c r="BD117" s="392"/>
      <c r="BG117" s="393"/>
      <c r="BH117" s="393"/>
      <c r="BI117" s="393"/>
      <c r="BJ117" s="393"/>
      <c r="BK117" s="2187" t="str">
        <f>IF(A117&gt;0,C181,"")</f>
        <v>Xeon Gold 5122 4 core (1 chip) 3600 MHz</v>
      </c>
      <c r="BL117" s="2186" t="str">
        <f t="shared" si="85"/>
        <v xml:space="preserve"> 32 GB RAM</v>
      </c>
      <c r="BM117" s="393"/>
      <c r="BN117" s="393"/>
      <c r="BO117" s="394"/>
      <c r="BP117" s="394"/>
      <c r="BQ117" s="394"/>
      <c r="BR117" s="394"/>
      <c r="BS117" s="394"/>
      <c r="BT117" s="394"/>
      <c r="BU117" s="392"/>
      <c r="BV117" s="392"/>
      <c r="BW117" s="392"/>
      <c r="BX117" s="392"/>
      <c r="BY117" s="392"/>
      <c r="BZ117" s="392"/>
      <c r="CA117" s="392"/>
      <c r="CB117" s="392"/>
      <c r="CC117" s="392"/>
      <c r="CD117" s="392"/>
      <c r="CE117" s="392"/>
      <c r="DI117" s="392"/>
      <c r="DJ117" s="392"/>
      <c r="DK117" s="392"/>
      <c r="DL117" s="392"/>
      <c r="DM117" s="392"/>
      <c r="DN117" s="392"/>
      <c r="DO117" s="392"/>
      <c r="DQ117" s="392"/>
      <c r="DS117" s="394"/>
      <c r="DT117" s="394"/>
      <c r="DW117" s="392"/>
      <c r="DX117" s="394"/>
      <c r="DY117" s="394"/>
      <c r="EC117" s="392"/>
      <c r="ED117" s="394"/>
      <c r="EH117" s="394"/>
      <c r="EI117" s="392"/>
      <c r="EJ117" s="394"/>
      <c r="EN117" s="394"/>
      <c r="EO117" s="392"/>
      <c r="EP117" s="394"/>
      <c r="ET117" s="394"/>
      <c r="EU117" s="392"/>
      <c r="EV117" s="394"/>
      <c r="EZ117" s="394"/>
      <c r="FA117" s="392"/>
      <c r="FB117" s="394"/>
      <c r="FF117" s="394"/>
      <c r="FG117" s="392"/>
      <c r="FH117" s="394"/>
      <c r="FL117" s="394"/>
      <c r="FM117" s="392"/>
      <c r="FN117" s="394"/>
      <c r="FR117" s="394"/>
      <c r="FS117" s="392"/>
      <c r="FT117" s="394"/>
      <c r="FX117" s="394"/>
      <c r="FY117" s="392"/>
      <c r="FZ117" s="394"/>
      <c r="GD117" s="394"/>
      <c r="GE117" s="392"/>
      <c r="GF117" s="392"/>
      <c r="GG117" s="394"/>
      <c r="GJ117" s="394"/>
      <c r="GK117" s="392"/>
      <c r="GL117" s="392"/>
      <c r="GM117" s="394"/>
      <c r="GO117" s="394"/>
      <c r="GP117" s="394"/>
      <c r="GQ117" s="392"/>
      <c r="GR117" s="392"/>
      <c r="GS117" s="394"/>
      <c r="GT117" s="394"/>
    </row>
    <row r="118" spans="1:202" s="390" customFormat="1" ht="16" hidden="1" outlineLevel="2" x14ac:dyDescent="0.2">
      <c r="A118" s="2952">
        <f t="shared" si="81"/>
        <v>1</v>
      </c>
      <c r="B118" s="2816" t="str">
        <f t="shared" si="82"/>
        <v>Xeon Gold 5122 4 core (1 chip) 3600 MHz 32 GB RAM</v>
      </c>
      <c r="C118" s="2935">
        <f t="shared" si="77"/>
        <v>9224.75</v>
      </c>
      <c r="D118" s="2936" t="str">
        <f>K79</f>
        <v>GIS</v>
      </c>
      <c r="E118" s="2931" t="str">
        <f t="shared" si="78"/>
        <v>Xeon Gold 5122 4 core (1 chip) 3600 MHz</v>
      </c>
      <c r="F118" s="2932">
        <f t="shared" si="86"/>
        <v>16</v>
      </c>
      <c r="G118" s="2943">
        <f t="shared" si="83"/>
        <v>4</v>
      </c>
      <c r="H118" s="2944">
        <f t="shared" si="79"/>
        <v>0</v>
      </c>
      <c r="I118" s="2316"/>
      <c r="J118" s="2780" t="str">
        <f t="shared" si="84"/>
        <v>Xeon Gold 5122 4 core (1 chip) 3600 MHz 32 GB RAM</v>
      </c>
      <c r="K118" s="3163">
        <f>AF81</f>
        <v>0</v>
      </c>
      <c r="Q118" s="393"/>
      <c r="S118" s="394"/>
      <c r="T118" s="393"/>
      <c r="U118" s="393"/>
      <c r="V118" s="394"/>
      <c r="W118" s="394"/>
      <c r="X118" s="394"/>
      <c r="Y118" s="394"/>
      <c r="Z118" s="394"/>
      <c r="AA118" s="394"/>
      <c r="AB118" s="394"/>
      <c r="AC118" s="391"/>
      <c r="AD118" s="392"/>
      <c r="AE118" s="392"/>
      <c r="AF118" s="392"/>
      <c r="AG118" s="392"/>
      <c r="AH118" s="392"/>
      <c r="AI118" s="392"/>
      <c r="AJ118" s="392"/>
      <c r="AK118" s="392"/>
      <c r="AL118" s="392"/>
      <c r="AM118" s="392"/>
      <c r="AN118" s="392"/>
      <c r="AO118" s="392"/>
      <c r="AP118" s="392"/>
      <c r="AQ118" s="392"/>
      <c r="AR118" s="392"/>
      <c r="AS118" s="392"/>
      <c r="AT118" s="392"/>
      <c r="AU118" s="392"/>
      <c r="AV118" s="392"/>
      <c r="AW118" s="392"/>
      <c r="AX118" s="392"/>
      <c r="AY118" s="392"/>
      <c r="AZ118" s="392"/>
      <c r="BA118" s="392"/>
      <c r="BB118" s="392"/>
      <c r="BC118" s="392"/>
      <c r="BD118" s="392"/>
      <c r="BG118" s="393"/>
      <c r="BH118" s="393"/>
      <c r="BI118" s="393"/>
      <c r="BJ118" s="393"/>
      <c r="BK118" s="2187" t="str">
        <f t="shared" si="80"/>
        <v>Xeon Gold 5122 4 core (1 chip) 3600 MHz</v>
      </c>
      <c r="BL118" s="2186" t="str">
        <f t="shared" si="85"/>
        <v xml:space="preserve"> 32 GB RAM</v>
      </c>
      <c r="BM118" s="393"/>
      <c r="BN118" s="393"/>
      <c r="BO118" s="394"/>
      <c r="BP118" s="394"/>
      <c r="BQ118" s="394"/>
      <c r="BR118" s="394"/>
      <c r="BS118" s="394"/>
      <c r="BT118" s="394"/>
      <c r="BU118" s="392"/>
      <c r="BV118" s="392"/>
      <c r="BW118" s="392"/>
      <c r="BX118" s="392"/>
      <c r="BY118" s="392"/>
      <c r="BZ118" s="392"/>
      <c r="CA118" s="392"/>
      <c r="CB118" s="392"/>
      <c r="CC118" s="392"/>
      <c r="CD118" s="392"/>
      <c r="CE118" s="392"/>
      <c r="DI118" s="392"/>
      <c r="DJ118" s="392"/>
      <c r="DK118" s="392"/>
      <c r="DL118" s="392"/>
      <c r="DM118" s="392"/>
      <c r="DN118" s="392"/>
      <c r="DO118" s="392"/>
      <c r="DQ118" s="392"/>
      <c r="DS118" s="394"/>
      <c r="DT118" s="394"/>
      <c r="DW118" s="392"/>
      <c r="DX118" s="394"/>
      <c r="DY118" s="394"/>
      <c r="EC118" s="392"/>
      <c r="ED118" s="394"/>
      <c r="EH118" s="394"/>
      <c r="EI118" s="392"/>
      <c r="EJ118" s="394"/>
      <c r="EN118" s="394"/>
      <c r="EO118" s="392"/>
      <c r="EP118" s="394"/>
      <c r="ET118" s="394"/>
      <c r="EU118" s="392"/>
      <c r="EV118" s="394"/>
      <c r="EZ118" s="394"/>
      <c r="FA118" s="392"/>
      <c r="FB118" s="394"/>
      <c r="FF118" s="394"/>
      <c r="FG118" s="392"/>
      <c r="FH118" s="394"/>
      <c r="FL118" s="394"/>
      <c r="FM118" s="392"/>
      <c r="FN118" s="394"/>
      <c r="FR118" s="394"/>
      <c r="FS118" s="392"/>
      <c r="FT118" s="394"/>
      <c r="FX118" s="394"/>
      <c r="FY118" s="392"/>
      <c r="FZ118" s="394"/>
      <c r="GD118" s="394"/>
      <c r="GE118" s="392"/>
      <c r="GF118" s="392"/>
      <c r="GG118" s="394"/>
      <c r="GJ118" s="394"/>
      <c r="GK118" s="392"/>
      <c r="GL118" s="392"/>
      <c r="GM118" s="394"/>
      <c r="GO118" s="394"/>
      <c r="GP118" s="394"/>
      <c r="GQ118" s="392"/>
      <c r="GR118" s="392"/>
      <c r="GS118" s="394"/>
      <c r="GT118" s="394"/>
    </row>
    <row r="119" spans="1:202" s="390" customFormat="1" ht="16" hidden="1" outlineLevel="2" x14ac:dyDescent="0.2">
      <c r="A119" s="2952">
        <f t="shared" si="81"/>
        <v>1</v>
      </c>
      <c r="B119" s="2778" t="str">
        <f t="shared" si="82"/>
        <v>Xeon Gold 5122 4 core (1 chip) 3600 MHz 96 GB RAM</v>
      </c>
      <c r="C119" s="2935">
        <f t="shared" si="77"/>
        <v>10892.25</v>
      </c>
      <c r="D119" s="2939" t="str">
        <f>K83</f>
        <v>DBMS</v>
      </c>
      <c r="E119" s="2931" t="str">
        <f>IF(A119&gt;0,VLOOKUP(B119,HWPricing,2,FALSE),"")</f>
        <v>Xeon Gold 5122 4 core (1 chip) 3600 MHz</v>
      </c>
      <c r="F119" s="2932">
        <f t="shared" si="86"/>
        <v>67</v>
      </c>
      <c r="G119" s="2943">
        <f t="shared" si="83"/>
        <v>4</v>
      </c>
      <c r="H119" s="2944">
        <f t="shared" si="79"/>
        <v>0</v>
      </c>
      <c r="I119" s="2316"/>
      <c r="J119" s="2780" t="str">
        <f t="shared" si="84"/>
        <v>Xeon Gold 5122 4 core (1 chip) 3600 MHz 96 GB RAM</v>
      </c>
      <c r="K119" s="3163">
        <f>AF85</f>
        <v>0</v>
      </c>
      <c r="Q119" s="393"/>
      <c r="S119" s="394"/>
      <c r="T119" s="393"/>
      <c r="U119" s="393"/>
      <c r="V119" s="394"/>
      <c r="W119" s="394"/>
      <c r="X119" s="394"/>
      <c r="Y119" s="394"/>
      <c r="Z119" s="394"/>
      <c r="AA119" s="394"/>
      <c r="AB119" s="394"/>
      <c r="AC119" s="391"/>
      <c r="AD119" s="392"/>
      <c r="AE119" s="392"/>
      <c r="AF119" s="392"/>
      <c r="AG119" s="392"/>
      <c r="AH119" s="392"/>
      <c r="AI119" s="392"/>
      <c r="AJ119" s="392"/>
      <c r="AK119" s="392"/>
      <c r="AL119" s="392"/>
      <c r="AM119" s="392"/>
      <c r="AN119" s="392"/>
      <c r="AO119" s="392"/>
      <c r="AP119" s="392"/>
      <c r="AQ119" s="392"/>
      <c r="AR119" s="392"/>
      <c r="AS119" s="392"/>
      <c r="AT119" s="392"/>
      <c r="AU119" s="392"/>
      <c r="AV119" s="392"/>
      <c r="AW119" s="392"/>
      <c r="AX119" s="392"/>
      <c r="AY119" s="392"/>
      <c r="AZ119" s="392"/>
      <c r="BA119" s="392"/>
      <c r="BB119" s="392"/>
      <c r="BC119" s="392"/>
      <c r="BD119" s="392"/>
      <c r="BG119" s="393"/>
      <c r="BH119" s="393"/>
      <c r="BI119" s="393"/>
      <c r="BJ119" s="393"/>
      <c r="BK119" s="2187" t="str">
        <f t="shared" si="80"/>
        <v>Xeon Gold 5122 4 core (1 chip) 3600 MHz</v>
      </c>
      <c r="BL119" s="2186" t="str">
        <f t="shared" si="85"/>
        <v xml:space="preserve"> 96 GB RAM</v>
      </c>
      <c r="BM119" s="393"/>
      <c r="BN119" s="393"/>
      <c r="BO119" s="394"/>
      <c r="BP119" s="394"/>
      <c r="BQ119" s="394"/>
      <c r="BR119" s="394"/>
      <c r="BS119" s="394"/>
      <c r="BT119" s="394"/>
      <c r="BU119" s="392"/>
      <c r="BV119" s="392"/>
      <c r="BW119" s="392"/>
      <c r="BX119" s="392"/>
      <c r="BY119" s="392"/>
      <c r="BZ119" s="392"/>
      <c r="CA119" s="392"/>
      <c r="CB119" s="392"/>
      <c r="CC119" s="392"/>
      <c r="CD119" s="392"/>
      <c r="CE119" s="392"/>
      <c r="DI119" s="392"/>
      <c r="DJ119" s="392"/>
      <c r="DK119" s="392"/>
      <c r="DL119" s="392"/>
      <c r="DM119" s="392"/>
      <c r="DN119" s="392"/>
      <c r="DO119" s="392"/>
      <c r="DQ119" s="392"/>
      <c r="DS119" s="394"/>
      <c r="DT119" s="394"/>
      <c r="DW119" s="392"/>
      <c r="DX119" s="394"/>
      <c r="DY119" s="394"/>
      <c r="EC119" s="392"/>
      <c r="ED119" s="394"/>
      <c r="EH119" s="394"/>
      <c r="EI119" s="392"/>
      <c r="EJ119" s="394"/>
      <c r="EN119" s="394"/>
      <c r="EO119" s="392"/>
      <c r="EP119" s="394"/>
      <c r="ET119" s="394"/>
      <c r="EU119" s="392"/>
      <c r="EV119" s="394"/>
      <c r="EZ119" s="394"/>
      <c r="FA119" s="392"/>
      <c r="FB119" s="394"/>
      <c r="FF119" s="394"/>
      <c r="FG119" s="392"/>
      <c r="FH119" s="394"/>
      <c r="FL119" s="394"/>
      <c r="FM119" s="392"/>
      <c r="FN119" s="394"/>
      <c r="FR119" s="394"/>
      <c r="FS119" s="392"/>
      <c r="FT119" s="394"/>
      <c r="FX119" s="394"/>
      <c r="FY119" s="392"/>
      <c r="FZ119" s="394"/>
      <c r="GD119" s="394"/>
      <c r="GE119" s="392"/>
      <c r="GF119" s="392"/>
      <c r="GG119" s="394"/>
      <c r="GJ119" s="394"/>
      <c r="GK119" s="392"/>
      <c r="GL119" s="392"/>
      <c r="GM119" s="394"/>
      <c r="GO119" s="394"/>
      <c r="GP119" s="394"/>
      <c r="GQ119" s="392"/>
      <c r="GR119" s="392"/>
      <c r="GS119" s="394"/>
      <c r="GT119" s="394"/>
    </row>
    <row r="120" spans="1:202" s="390" customFormat="1" hidden="1" outlineLevel="2" x14ac:dyDescent="0.15">
      <c r="A120" s="2947">
        <f>F184</f>
        <v>0</v>
      </c>
      <c r="B120" s="2948" t="s">
        <v>1466</v>
      </c>
      <c r="C120" s="2312">
        <f>SUM(C105:C119)</f>
        <v>40234</v>
      </c>
      <c r="D120" s="2940"/>
      <c r="E120" s="2949"/>
      <c r="F120" s="2950"/>
      <c r="G120" s="2945" t="s">
        <v>1467</v>
      </c>
      <c r="H120" s="2946">
        <f>SUM(H105:H119)</f>
        <v>0</v>
      </c>
      <c r="I120" s="2951"/>
      <c r="J120" s="2781"/>
      <c r="K120" s="3161"/>
      <c r="Q120" s="393"/>
      <c r="S120" s="394"/>
      <c r="T120" s="393"/>
      <c r="U120" s="393"/>
      <c r="V120" s="394"/>
      <c r="W120" s="394"/>
      <c r="X120" s="394"/>
      <c r="Y120" s="394"/>
      <c r="Z120" s="394"/>
      <c r="AA120" s="394"/>
      <c r="AB120" s="394"/>
      <c r="AC120" s="391"/>
      <c r="AD120" s="392"/>
      <c r="AE120" s="392"/>
      <c r="AF120" s="392"/>
      <c r="AG120" s="392"/>
      <c r="AH120" s="392"/>
      <c r="AI120" s="392"/>
      <c r="AJ120" s="392"/>
      <c r="AK120" s="392"/>
      <c r="AL120" s="392"/>
      <c r="AM120" s="392"/>
      <c r="AN120" s="392"/>
      <c r="AO120" s="392"/>
      <c r="AP120" s="392"/>
      <c r="AQ120" s="392"/>
      <c r="AR120" s="392"/>
      <c r="AS120" s="392"/>
      <c r="AT120" s="392"/>
      <c r="AU120" s="392"/>
      <c r="AV120" s="392"/>
      <c r="AW120" s="392"/>
      <c r="AX120" s="392"/>
      <c r="AY120" s="392"/>
      <c r="AZ120" s="392"/>
      <c r="BA120" s="392"/>
      <c r="BB120" s="392"/>
      <c r="BC120" s="392"/>
      <c r="BD120" s="392"/>
      <c r="BG120" s="393"/>
      <c r="BH120" s="393"/>
      <c r="BI120" s="393"/>
      <c r="BJ120" s="393"/>
      <c r="BK120" s="2187" t="str">
        <f t="shared" si="80"/>
        <v/>
      </c>
      <c r="BL120" s="2186"/>
      <c r="BM120" s="393"/>
      <c r="BN120" s="393"/>
      <c r="BO120" s="394"/>
      <c r="BP120" s="394"/>
      <c r="BQ120" s="394"/>
      <c r="BR120" s="394"/>
      <c r="BS120" s="394"/>
      <c r="BT120" s="394"/>
      <c r="BU120" s="392"/>
      <c r="BV120" s="392"/>
      <c r="BW120" s="392"/>
      <c r="BX120" s="392"/>
      <c r="BY120" s="392"/>
      <c r="BZ120" s="392"/>
      <c r="CA120" s="392"/>
      <c r="CB120" s="392"/>
      <c r="CC120" s="392"/>
      <c r="CD120" s="392"/>
      <c r="CE120" s="392"/>
      <c r="DI120" s="392"/>
      <c r="DJ120" s="392"/>
      <c r="DK120" s="392"/>
      <c r="DL120" s="392"/>
      <c r="DM120" s="392"/>
      <c r="DN120" s="392"/>
      <c r="DO120" s="392"/>
      <c r="DQ120" s="392"/>
      <c r="DS120" s="394"/>
      <c r="DT120" s="394"/>
      <c r="DW120" s="392"/>
      <c r="DX120" s="394"/>
      <c r="DY120" s="394"/>
      <c r="EC120" s="392"/>
      <c r="ED120" s="394"/>
      <c r="EH120" s="394"/>
      <c r="EI120" s="392"/>
      <c r="EJ120" s="394"/>
      <c r="EN120" s="394"/>
      <c r="EO120" s="392"/>
      <c r="EP120" s="394"/>
      <c r="ET120" s="394"/>
      <c r="EU120" s="392"/>
      <c r="EV120" s="394"/>
      <c r="EZ120" s="394"/>
      <c r="FA120" s="392"/>
      <c r="FB120" s="394"/>
      <c r="FF120" s="394"/>
      <c r="FG120" s="392"/>
      <c r="FH120" s="394"/>
      <c r="FL120" s="394"/>
      <c r="FM120" s="392"/>
      <c r="FN120" s="394"/>
      <c r="FR120" s="394"/>
      <c r="FS120" s="392"/>
      <c r="FT120" s="394"/>
      <c r="FX120" s="394"/>
      <c r="FY120" s="392"/>
      <c r="FZ120" s="394"/>
      <c r="GD120" s="394"/>
      <c r="GE120" s="392"/>
      <c r="GF120" s="392"/>
      <c r="GG120" s="394"/>
      <c r="GJ120" s="394"/>
      <c r="GK120" s="392"/>
      <c r="GL120" s="392"/>
      <c r="GM120" s="394"/>
      <c r="GO120" s="394"/>
      <c r="GP120" s="394"/>
      <c r="GQ120" s="392"/>
      <c r="GR120" s="392"/>
      <c r="GS120" s="394"/>
      <c r="GT120" s="394"/>
    </row>
    <row r="121" spans="1:202" s="390" customFormat="1" ht="12.75" hidden="1" customHeight="1" outlineLevel="1" collapsed="1" x14ac:dyDescent="0.2">
      <c r="A121" s="2277"/>
      <c r="B121" s="2776"/>
      <c r="C121" s="2777"/>
      <c r="D121" s="2278"/>
      <c r="E121" s="2284"/>
      <c r="F121" s="2285"/>
      <c r="G121" s="2286"/>
      <c r="H121" s="2287"/>
      <c r="I121" s="2287"/>
      <c r="J121" s="2782"/>
      <c r="Q121" s="393"/>
      <c r="S121" s="394"/>
      <c r="T121" s="393"/>
      <c r="U121" s="393"/>
      <c r="V121" s="394"/>
      <c r="W121" s="394"/>
      <c r="X121" s="394"/>
      <c r="Y121" s="394"/>
      <c r="Z121" s="394"/>
      <c r="AA121" s="394"/>
      <c r="AB121" s="394"/>
      <c r="AC121" s="391"/>
      <c r="AD121" s="392"/>
      <c r="AE121" s="392"/>
      <c r="AF121" s="392"/>
      <c r="AG121" s="392"/>
      <c r="AH121" s="392"/>
      <c r="AI121" s="392"/>
      <c r="AJ121" s="392"/>
      <c r="AK121" s="392"/>
      <c r="AL121" s="392"/>
      <c r="AM121" s="392"/>
      <c r="AN121" s="392"/>
      <c r="AO121" s="392"/>
      <c r="AP121" s="392"/>
      <c r="AQ121" s="392"/>
      <c r="AR121" s="392"/>
      <c r="AS121" s="392"/>
      <c r="AT121" s="392"/>
      <c r="AU121" s="392"/>
      <c r="AV121" s="392"/>
      <c r="AW121" s="392"/>
      <c r="AX121" s="392"/>
      <c r="AY121" s="392"/>
      <c r="AZ121" s="392"/>
      <c r="BA121" s="392"/>
      <c r="BB121" s="392"/>
      <c r="BC121" s="392"/>
      <c r="BD121" s="392"/>
      <c r="BG121" s="393"/>
      <c r="BH121" s="393"/>
      <c r="BI121" s="393"/>
      <c r="BJ121" s="393"/>
      <c r="BK121" s="393" t="s">
        <v>1460</v>
      </c>
      <c r="BL121" s="2775"/>
      <c r="BM121" s="393"/>
      <c r="BN121" s="393"/>
      <c r="BO121" s="394"/>
      <c r="BP121" s="394"/>
      <c r="BQ121" s="394"/>
      <c r="BR121" s="394"/>
      <c r="BS121" s="394"/>
      <c r="BT121" s="394"/>
      <c r="BU121" s="392"/>
      <c r="BV121" s="392"/>
      <c r="BW121" s="392"/>
      <c r="BX121" s="392"/>
      <c r="BY121" s="392"/>
      <c r="BZ121" s="392"/>
      <c r="CA121" s="392"/>
      <c r="CB121" s="392"/>
      <c r="CC121" s="392"/>
      <c r="CD121" s="392"/>
      <c r="CE121" s="392"/>
      <c r="DI121" s="392"/>
      <c r="DJ121" s="392"/>
      <c r="DK121" s="392"/>
      <c r="DL121" s="392"/>
      <c r="DM121" s="392"/>
      <c r="DN121" s="392"/>
      <c r="DO121" s="392"/>
      <c r="DQ121" s="392"/>
      <c r="DS121" s="394"/>
      <c r="DT121" s="394"/>
      <c r="DW121" s="392"/>
      <c r="DX121" s="394"/>
      <c r="DY121" s="394"/>
      <c r="EC121" s="392"/>
      <c r="ED121" s="394"/>
      <c r="EH121" s="394"/>
      <c r="EI121" s="392"/>
      <c r="EJ121" s="394"/>
      <c r="EN121" s="394"/>
      <c r="EO121" s="392"/>
      <c r="EP121" s="394"/>
      <c r="ET121" s="394"/>
      <c r="EU121" s="392"/>
      <c r="EV121" s="394"/>
      <c r="EZ121" s="394"/>
      <c r="FA121" s="392"/>
      <c r="FB121" s="394"/>
      <c r="FF121" s="394"/>
      <c r="FG121" s="392"/>
      <c r="FH121" s="394"/>
      <c r="FL121" s="394"/>
      <c r="FM121" s="392"/>
      <c r="FN121" s="394"/>
      <c r="FR121" s="394"/>
      <c r="FS121" s="392"/>
      <c r="FT121" s="394"/>
      <c r="FX121" s="394"/>
      <c r="FY121" s="392"/>
      <c r="FZ121" s="394"/>
      <c r="GD121" s="394"/>
      <c r="GE121" s="392"/>
      <c r="GF121" s="392"/>
      <c r="GG121" s="394"/>
      <c r="GJ121" s="394"/>
      <c r="GK121" s="392"/>
      <c r="GL121" s="392"/>
      <c r="GM121" s="394"/>
      <c r="GO121" s="394"/>
      <c r="GP121" s="394"/>
      <c r="GQ121" s="392"/>
      <c r="GR121" s="392"/>
      <c r="GS121" s="394"/>
      <c r="GT121" s="394"/>
    </row>
    <row r="122" spans="1:202" s="390" customFormat="1" hidden="1" outlineLevel="2" x14ac:dyDescent="0.15">
      <c r="A122" s="2934" t="s">
        <v>1005</v>
      </c>
      <c r="B122" s="2934" t="s">
        <v>1007</v>
      </c>
      <c r="C122" s="2934" t="str">
        <f>C104</f>
        <v>HW Price</v>
      </c>
      <c r="D122" s="2934" t="s">
        <v>737</v>
      </c>
      <c r="E122" s="2929" t="str">
        <f>E104</f>
        <v>Platform Tier Selection</v>
      </c>
      <c r="F122" s="2930" t="str">
        <f>F104</f>
        <v>RAM</v>
      </c>
      <c r="G122" s="2941" t="s">
        <v>313</v>
      </c>
      <c r="H122" s="2934" t="s">
        <v>1016</v>
      </c>
      <c r="I122" s="2942" t="s">
        <v>1014</v>
      </c>
      <c r="J122" s="2781"/>
      <c r="Q122" s="393"/>
      <c r="S122" s="394"/>
      <c r="T122" s="393"/>
      <c r="U122" s="393"/>
      <c r="V122" s="394"/>
      <c r="W122" s="394"/>
      <c r="X122" s="394"/>
      <c r="Y122" s="394"/>
      <c r="Z122" s="394"/>
      <c r="AA122" s="394"/>
      <c r="AB122" s="394"/>
      <c r="AC122" s="391"/>
      <c r="AD122" s="392"/>
      <c r="AE122" s="392"/>
      <c r="AF122" s="392"/>
      <c r="AG122" s="392"/>
      <c r="AH122" s="392"/>
      <c r="AI122" s="392"/>
      <c r="AJ122" s="392"/>
      <c r="AK122" s="392"/>
      <c r="AL122" s="392"/>
      <c r="AM122" s="392"/>
      <c r="AN122" s="392"/>
      <c r="AO122" s="392"/>
      <c r="AP122" s="392"/>
      <c r="AQ122" s="392"/>
      <c r="AR122" s="392"/>
      <c r="AS122" s="392"/>
      <c r="AT122" s="392"/>
      <c r="AU122" s="392"/>
      <c r="AV122" s="392"/>
      <c r="AW122" s="392"/>
      <c r="AX122" s="392"/>
      <c r="AY122" s="392"/>
      <c r="AZ122" s="392"/>
      <c r="BA122" s="392"/>
      <c r="BB122" s="392"/>
      <c r="BC122" s="392"/>
      <c r="BD122" s="392"/>
      <c r="BG122" s="393"/>
      <c r="BH122" s="393"/>
      <c r="BI122" s="393"/>
      <c r="BJ122" s="393"/>
      <c r="BK122" s="393"/>
      <c r="BL122" s="393"/>
      <c r="BM122" s="393"/>
      <c r="BN122" s="393"/>
      <c r="BO122" s="394"/>
      <c r="BP122" s="394"/>
      <c r="BQ122" s="394"/>
      <c r="BR122" s="394"/>
      <c r="BS122" s="394"/>
      <c r="BT122" s="394"/>
      <c r="BU122" s="392"/>
      <c r="BV122" s="392"/>
      <c r="BW122" s="392"/>
      <c r="BX122" s="392"/>
      <c r="BY122" s="392"/>
      <c r="BZ122" s="392"/>
      <c r="CA122" s="392"/>
      <c r="CB122" s="392"/>
      <c r="CC122" s="392"/>
      <c r="CD122" s="392"/>
      <c r="CE122" s="392"/>
      <c r="DI122" s="392"/>
      <c r="DJ122" s="392"/>
      <c r="DK122" s="392"/>
      <c r="DL122" s="392"/>
      <c r="DM122" s="392"/>
      <c r="DN122" s="392"/>
      <c r="DO122" s="392"/>
      <c r="DQ122" s="392"/>
      <c r="DS122" s="394"/>
      <c r="DT122" s="394"/>
      <c r="DW122" s="392"/>
      <c r="DX122" s="394"/>
      <c r="DY122" s="394"/>
      <c r="EC122" s="392"/>
      <c r="ED122" s="394"/>
      <c r="EH122" s="394"/>
      <c r="EI122" s="392"/>
      <c r="EJ122" s="394"/>
      <c r="EN122" s="394"/>
      <c r="EO122" s="392"/>
      <c r="EP122" s="394"/>
      <c r="ET122" s="394"/>
      <c r="EU122" s="392"/>
      <c r="EV122" s="394"/>
      <c r="EZ122" s="394"/>
      <c r="FA122" s="392"/>
      <c r="FB122" s="394"/>
      <c r="FF122" s="394"/>
      <c r="FG122" s="392"/>
      <c r="FH122" s="394"/>
      <c r="FL122" s="394"/>
      <c r="FM122" s="392"/>
      <c r="FN122" s="394"/>
      <c r="FR122" s="394"/>
      <c r="FS122" s="392"/>
      <c r="FT122" s="394"/>
      <c r="FX122" s="394"/>
      <c r="FY122" s="392"/>
      <c r="FZ122" s="394"/>
      <c r="GD122" s="394"/>
      <c r="GE122" s="392"/>
      <c r="GF122" s="392"/>
      <c r="GG122" s="394"/>
      <c r="GJ122" s="394"/>
      <c r="GK122" s="392"/>
      <c r="GL122" s="392"/>
      <c r="GM122" s="394"/>
      <c r="GO122" s="394"/>
      <c r="GP122" s="394"/>
      <c r="GQ122" s="392"/>
      <c r="GR122" s="392"/>
      <c r="GS122" s="394"/>
      <c r="GT122" s="394"/>
    </row>
    <row r="123" spans="1:202" s="390" customFormat="1" ht="16" hidden="1" outlineLevel="2" x14ac:dyDescent="0.2">
      <c r="A123" s="2952">
        <f>F188</f>
        <v>0</v>
      </c>
      <c r="B123" s="2816" t="str">
        <f>J123</f>
        <v/>
      </c>
      <c r="C123" s="2944" t="str">
        <f>IF(A123&gt;0,A123*VLOOKUP(B123,HWPricing,6,FALSE),"")</f>
        <v/>
      </c>
      <c r="D123" s="2936" t="str">
        <f>M90</f>
        <v>Host01</v>
      </c>
      <c r="E123" s="2931" t="str">
        <f>IF(A123&gt;0,VLOOKUP(B123,HWPricing,2,FALSE),"")</f>
        <v/>
      </c>
      <c r="F123" s="2933">
        <f t="shared" ref="F123:G127" si="87">D188</f>
        <v>0</v>
      </c>
      <c r="G123" s="2953">
        <f t="shared" si="87"/>
        <v>0</v>
      </c>
      <c r="H123" s="2944">
        <f>G123*I123</f>
        <v>0</v>
      </c>
      <c r="I123" s="2316"/>
      <c r="J123" s="2780" t="str">
        <f>BK123&amp;BL123</f>
        <v/>
      </c>
      <c r="Q123" s="393"/>
      <c r="S123" s="394"/>
      <c r="T123" s="393"/>
      <c r="U123" s="393"/>
      <c r="V123" s="394"/>
      <c r="W123" s="394"/>
      <c r="X123" s="394"/>
      <c r="Y123" s="394"/>
      <c r="Z123" s="394"/>
      <c r="AA123" s="394"/>
      <c r="AB123" s="394"/>
      <c r="AC123" s="391"/>
      <c r="AD123" s="392"/>
      <c r="AE123" s="392"/>
      <c r="AF123" s="392"/>
      <c r="AG123" s="392"/>
      <c r="AH123" s="392"/>
      <c r="AI123" s="392"/>
      <c r="AJ123" s="392"/>
      <c r="AK123" s="392"/>
      <c r="AL123" s="392"/>
      <c r="AM123" s="392"/>
      <c r="AN123" s="392"/>
      <c r="AO123" s="392"/>
      <c r="AP123" s="392"/>
      <c r="AQ123" s="392"/>
      <c r="AR123" s="392"/>
      <c r="AS123" s="392"/>
      <c r="AT123" s="392"/>
      <c r="AU123" s="392"/>
      <c r="AV123" s="392"/>
      <c r="AW123" s="392"/>
      <c r="AX123" s="392"/>
      <c r="AY123" s="392"/>
      <c r="AZ123" s="392"/>
      <c r="BA123" s="392"/>
      <c r="BB123" s="392"/>
      <c r="BC123" s="392"/>
      <c r="BD123" s="392"/>
      <c r="BG123" s="393"/>
      <c r="BH123" s="393"/>
      <c r="BI123" s="393"/>
      <c r="BJ123" s="393"/>
      <c r="BK123" s="2187" t="str">
        <f>IF(A123&gt;0,C188,"")</f>
        <v/>
      </c>
      <c r="BL123" s="2186" t="str">
        <f t="shared" ref="BL123:BL127" si="88">IF(A123&gt;0," "&amp;VLOOKUP(F123,Memory,2,TRUE)&amp;" GB RAM","")</f>
        <v/>
      </c>
      <c r="BM123" s="393"/>
      <c r="BN123" s="393"/>
      <c r="BO123" s="394"/>
      <c r="BP123" s="394"/>
      <c r="BQ123" s="394"/>
      <c r="BR123" s="394"/>
      <c r="BS123" s="394"/>
      <c r="BT123" s="394"/>
      <c r="BU123" s="392"/>
      <c r="BV123" s="392"/>
      <c r="BW123" s="392"/>
      <c r="BX123" s="392"/>
      <c r="BY123" s="392"/>
      <c r="BZ123" s="392"/>
      <c r="CA123" s="392"/>
      <c r="CB123" s="392"/>
      <c r="CC123" s="392"/>
      <c r="CD123" s="392"/>
      <c r="CE123" s="392"/>
      <c r="DI123" s="392"/>
      <c r="DJ123" s="392"/>
      <c r="DK123" s="392"/>
      <c r="DL123" s="392"/>
      <c r="DM123" s="392"/>
      <c r="DN123" s="392"/>
      <c r="DO123" s="392"/>
      <c r="DQ123" s="392"/>
      <c r="DS123" s="394"/>
      <c r="DT123" s="394"/>
      <c r="DW123" s="392"/>
      <c r="DX123" s="394"/>
      <c r="DY123" s="394"/>
      <c r="EC123" s="392"/>
      <c r="ED123" s="394"/>
      <c r="EH123" s="394"/>
      <c r="EI123" s="392"/>
      <c r="EJ123" s="394"/>
      <c r="EN123" s="394"/>
      <c r="EO123" s="392"/>
      <c r="EP123" s="394"/>
      <c r="ET123" s="394"/>
      <c r="EU123" s="392"/>
      <c r="EV123" s="394"/>
      <c r="EZ123" s="394"/>
      <c r="FA123" s="392"/>
      <c r="FB123" s="394"/>
      <c r="FF123" s="394"/>
      <c r="FG123" s="392"/>
      <c r="FH123" s="394"/>
      <c r="FL123" s="394"/>
      <c r="FM123" s="392"/>
      <c r="FN123" s="394"/>
      <c r="FR123" s="394"/>
      <c r="FS123" s="392"/>
      <c r="FT123" s="394"/>
      <c r="FX123" s="394"/>
      <c r="FY123" s="392"/>
      <c r="FZ123" s="394"/>
      <c r="GD123" s="394"/>
      <c r="GE123" s="392"/>
      <c r="GF123" s="392"/>
      <c r="GG123" s="394"/>
      <c r="GJ123" s="394"/>
      <c r="GK123" s="392"/>
      <c r="GL123" s="392"/>
      <c r="GM123" s="394"/>
      <c r="GO123" s="394"/>
      <c r="GP123" s="394"/>
      <c r="GQ123" s="392"/>
      <c r="GR123" s="392"/>
      <c r="GS123" s="394"/>
      <c r="GT123" s="394"/>
    </row>
    <row r="124" spans="1:202" s="390" customFormat="1" ht="16" hidden="1" outlineLevel="2" x14ac:dyDescent="0.2">
      <c r="A124" s="2952">
        <f>F189</f>
        <v>0</v>
      </c>
      <c r="B124" s="2816" t="str">
        <f>J124</f>
        <v/>
      </c>
      <c r="C124" s="2944" t="str">
        <f>IF(A124&gt;0,A124*VLOOKUP(B124,HWPricing,6,FALSE),"")</f>
        <v/>
      </c>
      <c r="D124" s="2936">
        <f>M91</f>
        <v>0</v>
      </c>
      <c r="E124" s="2931" t="str">
        <f>IF(A124&gt;0,VLOOKUP(B124,HWPricing,2,FALSE),"")</f>
        <v/>
      </c>
      <c r="F124" s="2933">
        <f t="shared" si="87"/>
        <v>0</v>
      </c>
      <c r="G124" s="2953">
        <f t="shared" si="87"/>
        <v>0</v>
      </c>
      <c r="H124" s="2944">
        <f>G124*I124</f>
        <v>0</v>
      </c>
      <c r="I124" s="2316"/>
      <c r="J124" s="2780" t="str">
        <f>BK124&amp;BL124</f>
        <v/>
      </c>
      <c r="Q124" s="393"/>
      <c r="S124" s="394"/>
      <c r="T124" s="393"/>
      <c r="U124" s="393"/>
      <c r="V124" s="394"/>
      <c r="W124" s="394"/>
      <c r="X124" s="394"/>
      <c r="Y124" s="394"/>
      <c r="Z124" s="394"/>
      <c r="AA124" s="394"/>
      <c r="AB124" s="394"/>
      <c r="AC124" s="391"/>
      <c r="AD124" s="392"/>
      <c r="AE124" s="392"/>
      <c r="AF124" s="392"/>
      <c r="AG124" s="392"/>
      <c r="AH124" s="392"/>
      <c r="AI124" s="392"/>
      <c r="AJ124" s="392"/>
      <c r="AK124" s="392"/>
      <c r="AL124" s="392"/>
      <c r="AM124" s="392"/>
      <c r="AN124" s="392"/>
      <c r="AO124" s="392"/>
      <c r="AP124" s="392"/>
      <c r="AQ124" s="392"/>
      <c r="AR124" s="392"/>
      <c r="AS124" s="392"/>
      <c r="AT124" s="392"/>
      <c r="AU124" s="392"/>
      <c r="AV124" s="392"/>
      <c r="AW124" s="392"/>
      <c r="AX124" s="392"/>
      <c r="AY124" s="392"/>
      <c r="AZ124" s="392"/>
      <c r="BA124" s="392"/>
      <c r="BB124" s="392"/>
      <c r="BC124" s="392"/>
      <c r="BD124" s="392"/>
      <c r="BG124" s="393"/>
      <c r="BH124" s="393"/>
      <c r="BI124" s="393"/>
      <c r="BJ124" s="393"/>
      <c r="BK124" s="2187" t="str">
        <f>IF(A124&gt;0,C189,"")</f>
        <v/>
      </c>
      <c r="BL124" s="2186" t="str">
        <f t="shared" si="88"/>
        <v/>
      </c>
      <c r="BM124" s="393"/>
      <c r="BN124" s="393"/>
      <c r="BO124" s="394"/>
      <c r="BP124" s="394"/>
      <c r="BQ124" s="394"/>
      <c r="BR124" s="394"/>
      <c r="BS124" s="394"/>
      <c r="BT124" s="394"/>
      <c r="BU124" s="392"/>
      <c r="BV124" s="392"/>
      <c r="BW124" s="392"/>
      <c r="BX124" s="392"/>
      <c r="BY124" s="392"/>
      <c r="BZ124" s="392"/>
      <c r="CA124" s="392"/>
      <c r="CB124" s="392"/>
      <c r="CC124" s="392"/>
      <c r="CD124" s="392"/>
      <c r="CE124" s="392"/>
      <c r="DI124" s="392"/>
      <c r="DJ124" s="392"/>
      <c r="DK124" s="392"/>
      <c r="DL124" s="392"/>
      <c r="DM124" s="392"/>
      <c r="DN124" s="392"/>
      <c r="DO124" s="392"/>
      <c r="DQ124" s="392"/>
      <c r="DS124" s="394"/>
      <c r="DT124" s="394"/>
      <c r="DW124" s="392"/>
      <c r="DX124" s="394"/>
      <c r="DY124" s="394"/>
      <c r="EC124" s="392"/>
      <c r="ED124" s="394"/>
      <c r="EH124" s="394"/>
      <c r="EI124" s="392"/>
      <c r="EJ124" s="394"/>
      <c r="EN124" s="394"/>
      <c r="EO124" s="392"/>
      <c r="EP124" s="394"/>
      <c r="ET124" s="394"/>
      <c r="EU124" s="392"/>
      <c r="EV124" s="394"/>
      <c r="EZ124" s="394"/>
      <c r="FA124" s="392"/>
      <c r="FB124" s="394"/>
      <c r="FF124" s="394"/>
      <c r="FG124" s="392"/>
      <c r="FH124" s="394"/>
      <c r="FL124" s="394"/>
      <c r="FM124" s="392"/>
      <c r="FN124" s="394"/>
      <c r="FR124" s="394"/>
      <c r="FS124" s="392"/>
      <c r="FT124" s="394"/>
      <c r="FX124" s="394"/>
      <c r="FY124" s="392"/>
      <c r="FZ124" s="394"/>
      <c r="GD124" s="394"/>
      <c r="GE124" s="392"/>
      <c r="GF124" s="392"/>
      <c r="GG124" s="394"/>
      <c r="GJ124" s="394"/>
      <c r="GK124" s="392"/>
      <c r="GL124" s="392"/>
      <c r="GM124" s="394"/>
      <c r="GO124" s="394"/>
      <c r="GP124" s="394"/>
      <c r="GQ124" s="392"/>
      <c r="GR124" s="392"/>
      <c r="GS124" s="394"/>
      <c r="GT124" s="394"/>
    </row>
    <row r="125" spans="1:202" s="390" customFormat="1" ht="16" hidden="1" outlineLevel="2" x14ac:dyDescent="0.2">
      <c r="A125" s="2952">
        <f>F190</f>
        <v>0</v>
      </c>
      <c r="B125" s="2816" t="str">
        <f>J125</f>
        <v/>
      </c>
      <c r="C125" s="2944" t="str">
        <f>IF(A125&gt;0,A125*VLOOKUP(B125,HWPricing,6,FALSE),"")</f>
        <v/>
      </c>
      <c r="D125" s="2936">
        <f>M94</f>
        <v>0</v>
      </c>
      <c r="E125" s="2931" t="str">
        <f>IF(A125&gt;0,VLOOKUP(B125,HWPricing,2,FALSE),"")</f>
        <v/>
      </c>
      <c r="F125" s="2933">
        <f t="shared" si="87"/>
        <v>0</v>
      </c>
      <c r="G125" s="2953">
        <f t="shared" si="87"/>
        <v>0</v>
      </c>
      <c r="H125" s="2944">
        <f>G125*I125</f>
        <v>0</v>
      </c>
      <c r="I125" s="2316"/>
      <c r="J125" s="2780" t="str">
        <f>BK125&amp;BL125</f>
        <v/>
      </c>
      <c r="L125" s="392"/>
      <c r="M125" s="392"/>
      <c r="N125" s="392"/>
      <c r="O125" s="392"/>
      <c r="P125" s="392"/>
      <c r="Q125" s="392"/>
      <c r="R125" s="393"/>
      <c r="S125" s="394"/>
      <c r="T125" s="393"/>
      <c r="U125" s="393"/>
      <c r="V125" s="394"/>
      <c r="W125" s="394"/>
      <c r="X125" s="394"/>
      <c r="Y125" s="394"/>
      <c r="Z125" s="394"/>
      <c r="AA125" s="394"/>
      <c r="AB125" s="394"/>
      <c r="AC125" s="391"/>
      <c r="AD125" s="392"/>
      <c r="AE125" s="392"/>
      <c r="AF125" s="392"/>
      <c r="AG125" s="392"/>
      <c r="AH125" s="392"/>
      <c r="AI125" s="392"/>
      <c r="AJ125" s="392"/>
      <c r="AK125" s="392"/>
      <c r="AL125" s="392"/>
      <c r="AM125" s="392"/>
      <c r="AN125" s="392"/>
      <c r="AO125" s="392"/>
      <c r="AP125" s="392"/>
      <c r="AQ125" s="392"/>
      <c r="AR125" s="392"/>
      <c r="AS125" s="392"/>
      <c r="AT125" s="392"/>
      <c r="AU125" s="392"/>
      <c r="AV125" s="392"/>
      <c r="AW125" s="392"/>
      <c r="AX125" s="392"/>
      <c r="AY125" s="392"/>
      <c r="AZ125" s="392"/>
      <c r="BA125" s="392"/>
      <c r="BB125" s="392"/>
      <c r="BC125" s="392"/>
      <c r="BD125" s="392"/>
      <c r="BG125" s="393"/>
      <c r="BH125" s="393"/>
      <c r="BI125" s="393"/>
      <c r="BJ125" s="393"/>
      <c r="BK125" s="2187" t="str">
        <f>IF(A125&gt;0,C190,"")</f>
        <v/>
      </c>
      <c r="BL125" s="2186" t="str">
        <f t="shared" si="88"/>
        <v/>
      </c>
      <c r="BM125" s="393"/>
      <c r="BN125" s="393"/>
      <c r="BO125" s="394"/>
      <c r="BP125" s="394"/>
      <c r="BQ125" s="394"/>
      <c r="BR125" s="394"/>
      <c r="BS125" s="394"/>
      <c r="BT125" s="394"/>
      <c r="BU125" s="392"/>
      <c r="BV125" s="392"/>
      <c r="BW125" s="392"/>
      <c r="BX125" s="392"/>
      <c r="BY125" s="392"/>
      <c r="BZ125" s="392"/>
      <c r="CA125" s="392"/>
      <c r="CB125" s="392"/>
      <c r="CC125" s="392"/>
      <c r="CD125" s="392"/>
      <c r="CE125" s="392"/>
      <c r="DI125" s="392"/>
      <c r="DJ125" s="392"/>
      <c r="DK125" s="392"/>
      <c r="DL125" s="392"/>
      <c r="DM125" s="392"/>
      <c r="DN125" s="392"/>
      <c r="DO125" s="392"/>
      <c r="DQ125" s="392"/>
      <c r="DS125" s="394"/>
      <c r="DT125" s="394"/>
      <c r="DW125" s="392"/>
      <c r="DX125" s="394"/>
      <c r="DY125" s="394"/>
      <c r="EC125" s="392"/>
      <c r="ED125" s="394"/>
      <c r="EH125" s="394"/>
      <c r="EI125" s="392"/>
      <c r="EJ125" s="394"/>
      <c r="EN125" s="394"/>
      <c r="EO125" s="392"/>
      <c r="EP125" s="394"/>
      <c r="ET125" s="394"/>
      <c r="EU125" s="392"/>
      <c r="EV125" s="394"/>
      <c r="EZ125" s="394"/>
      <c r="FA125" s="392"/>
      <c r="FB125" s="394"/>
      <c r="FF125" s="394"/>
      <c r="FG125" s="392"/>
      <c r="FH125" s="394"/>
      <c r="FL125" s="394"/>
      <c r="FM125" s="392"/>
      <c r="FN125" s="394"/>
      <c r="FR125" s="394"/>
      <c r="FS125" s="392"/>
      <c r="FT125" s="394"/>
      <c r="FX125" s="394"/>
      <c r="FY125" s="392"/>
      <c r="FZ125" s="394"/>
      <c r="GD125" s="394"/>
      <c r="GE125" s="392"/>
      <c r="GF125" s="392"/>
      <c r="GG125" s="394"/>
      <c r="GJ125" s="394"/>
      <c r="GK125" s="392"/>
      <c r="GL125" s="392"/>
      <c r="GM125" s="394"/>
      <c r="GO125" s="394"/>
      <c r="GP125" s="394"/>
      <c r="GQ125" s="392"/>
      <c r="GR125" s="392"/>
      <c r="GS125" s="394"/>
      <c r="GT125" s="394"/>
    </row>
    <row r="126" spans="1:202" s="390" customFormat="1" ht="16" hidden="1" outlineLevel="2" x14ac:dyDescent="0.2">
      <c r="A126" s="2952">
        <f>F191</f>
        <v>0</v>
      </c>
      <c r="B126" s="2816" t="str">
        <f>J126</f>
        <v/>
      </c>
      <c r="C126" s="2944" t="str">
        <f>IF(A126&gt;0,A126*VLOOKUP(B126,HWPricing,6,FALSE),"")</f>
        <v/>
      </c>
      <c r="D126" s="2936" t="str">
        <f>M93</f>
        <v>Host02</v>
      </c>
      <c r="E126" s="2931" t="str">
        <f>IF(A126&gt;0,VLOOKUP(B126,HWPricing,2,FALSE),"")</f>
        <v/>
      </c>
      <c r="F126" s="2933">
        <f t="shared" si="87"/>
        <v>0</v>
      </c>
      <c r="G126" s="2953">
        <f t="shared" si="87"/>
        <v>0</v>
      </c>
      <c r="H126" s="2944">
        <f>G126*I126</f>
        <v>0</v>
      </c>
      <c r="I126" s="2316"/>
      <c r="J126" s="2780" t="str">
        <f>BK126&amp;BL126</f>
        <v/>
      </c>
      <c r="Q126" s="393"/>
      <c r="S126" s="394"/>
      <c r="T126" s="393"/>
      <c r="U126" s="393"/>
      <c r="V126" s="394"/>
      <c r="W126" s="394"/>
      <c r="X126" s="394"/>
      <c r="Y126" s="394"/>
      <c r="Z126" s="394"/>
      <c r="AA126" s="394"/>
      <c r="AB126" s="394"/>
      <c r="AC126" s="391"/>
      <c r="AD126" s="392"/>
      <c r="AE126" s="392"/>
      <c r="AF126" s="392"/>
      <c r="AG126" s="392"/>
      <c r="AH126" s="392"/>
      <c r="AI126" s="392"/>
      <c r="AJ126" s="392"/>
      <c r="AK126" s="392"/>
      <c r="AL126" s="392"/>
      <c r="AM126" s="392"/>
      <c r="AN126" s="392"/>
      <c r="AO126" s="392"/>
      <c r="AP126" s="392"/>
      <c r="AQ126" s="392"/>
      <c r="AR126" s="392"/>
      <c r="AS126" s="392"/>
      <c r="AT126" s="392"/>
      <c r="AU126" s="392"/>
      <c r="AV126" s="392"/>
      <c r="AW126" s="392"/>
      <c r="AX126" s="392"/>
      <c r="AY126" s="392"/>
      <c r="AZ126" s="392"/>
      <c r="BA126" s="392"/>
      <c r="BB126" s="392"/>
      <c r="BC126" s="392"/>
      <c r="BD126" s="392"/>
      <c r="BG126" s="393"/>
      <c r="BH126" s="393"/>
      <c r="BI126" s="393"/>
      <c r="BJ126" s="393"/>
      <c r="BK126" s="2187" t="str">
        <f>IF(A126&gt;0,C191,"")</f>
        <v/>
      </c>
      <c r="BL126" s="2186" t="str">
        <f t="shared" si="88"/>
        <v/>
      </c>
      <c r="BM126" s="393"/>
      <c r="BN126" s="393"/>
      <c r="BO126" s="394"/>
      <c r="BP126" s="394"/>
      <c r="BQ126" s="394"/>
      <c r="BR126" s="394"/>
      <c r="BS126" s="394"/>
      <c r="BT126" s="394"/>
      <c r="BU126" s="392"/>
      <c r="BV126" s="392"/>
      <c r="BW126" s="392"/>
      <c r="BX126" s="392"/>
      <c r="BY126" s="392"/>
      <c r="BZ126" s="392"/>
      <c r="CA126" s="392"/>
      <c r="CB126" s="392"/>
      <c r="CC126" s="392"/>
      <c r="CD126" s="392"/>
      <c r="CE126" s="392"/>
      <c r="DI126" s="392"/>
      <c r="DJ126" s="392"/>
      <c r="DK126" s="392"/>
      <c r="DL126" s="392"/>
      <c r="DM126" s="392"/>
      <c r="DN126" s="392"/>
      <c r="DO126" s="392"/>
      <c r="DQ126" s="392"/>
      <c r="DS126" s="394"/>
      <c r="DT126" s="394"/>
      <c r="DW126" s="392"/>
      <c r="DX126" s="394"/>
      <c r="DY126" s="394"/>
      <c r="EC126" s="392"/>
      <c r="ED126" s="394"/>
      <c r="EH126" s="394"/>
      <c r="EI126" s="392"/>
      <c r="EJ126" s="394"/>
      <c r="EN126" s="394"/>
      <c r="EO126" s="392"/>
      <c r="EP126" s="394"/>
      <c r="ET126" s="394"/>
      <c r="EU126" s="392"/>
      <c r="EV126" s="394"/>
      <c r="EZ126" s="394"/>
      <c r="FA126" s="392"/>
      <c r="FB126" s="394"/>
      <c r="FF126" s="394"/>
      <c r="FG126" s="392"/>
      <c r="FH126" s="394"/>
      <c r="FL126" s="394"/>
      <c r="FM126" s="392"/>
      <c r="FN126" s="394"/>
      <c r="FR126" s="394"/>
      <c r="FS126" s="392"/>
      <c r="FT126" s="394"/>
      <c r="FX126" s="394"/>
      <c r="FY126" s="392"/>
      <c r="FZ126" s="394"/>
      <c r="GD126" s="394"/>
      <c r="GE126" s="392"/>
      <c r="GF126" s="392"/>
      <c r="GG126" s="394"/>
      <c r="GJ126" s="394"/>
      <c r="GK126" s="392"/>
      <c r="GL126" s="392"/>
      <c r="GM126" s="394"/>
      <c r="GO126" s="394"/>
      <c r="GP126" s="394"/>
      <c r="GQ126" s="392"/>
      <c r="GR126" s="392"/>
      <c r="GS126" s="394"/>
      <c r="GT126" s="394"/>
    </row>
    <row r="127" spans="1:202" s="390" customFormat="1" ht="16" hidden="1" outlineLevel="2" x14ac:dyDescent="0.2">
      <c r="A127" s="2952">
        <f>F192</f>
        <v>0</v>
      </c>
      <c r="B127" s="2816" t="str">
        <f>J127</f>
        <v/>
      </c>
      <c r="C127" s="2944" t="str">
        <f>IF(A127&gt;0,A127*VLOOKUP(B127,HWPricing,6,FALSE),"")</f>
        <v/>
      </c>
      <c r="D127" s="2936" t="str">
        <f>M96</f>
        <v>Host03</v>
      </c>
      <c r="E127" s="2931" t="str">
        <f>IF(A127&gt;0,VLOOKUP(B127,HWPricing,2,FALSE),"")</f>
        <v/>
      </c>
      <c r="F127" s="2933">
        <f t="shared" si="87"/>
        <v>0</v>
      </c>
      <c r="G127" s="2953">
        <f t="shared" si="87"/>
        <v>0</v>
      </c>
      <c r="H127" s="2944">
        <f>G127*I127</f>
        <v>0</v>
      </c>
      <c r="I127" s="2316"/>
      <c r="J127" s="2780" t="str">
        <f>BK127&amp;BL127</f>
        <v/>
      </c>
      <c r="L127" s="392"/>
      <c r="M127" s="392"/>
      <c r="N127" s="392"/>
      <c r="O127" s="392"/>
      <c r="P127" s="392"/>
      <c r="Q127" s="392"/>
      <c r="R127" s="393"/>
      <c r="S127" s="394"/>
      <c r="T127" s="393"/>
      <c r="U127" s="393"/>
      <c r="V127" s="394"/>
      <c r="W127" s="394"/>
      <c r="X127" s="394"/>
      <c r="Y127" s="394"/>
      <c r="Z127" s="394"/>
      <c r="AA127" s="394"/>
      <c r="AB127" s="394"/>
      <c r="AC127" s="391"/>
      <c r="AD127" s="392"/>
      <c r="AE127" s="392"/>
      <c r="AF127" s="392"/>
      <c r="AG127" s="392"/>
      <c r="AH127" s="392"/>
      <c r="AI127" s="392"/>
      <c r="AJ127" s="392"/>
      <c r="AK127" s="392"/>
      <c r="AL127" s="392"/>
      <c r="AM127" s="392"/>
      <c r="AN127" s="392"/>
      <c r="AO127" s="392"/>
      <c r="AP127" s="392"/>
      <c r="AQ127" s="392"/>
      <c r="AR127" s="392"/>
      <c r="AS127" s="392"/>
      <c r="AT127" s="392"/>
      <c r="AU127" s="392"/>
      <c r="AV127" s="392"/>
      <c r="AW127" s="392"/>
      <c r="AX127" s="392"/>
      <c r="AY127" s="392"/>
      <c r="AZ127" s="392"/>
      <c r="BA127" s="392"/>
      <c r="BB127" s="392"/>
      <c r="BC127" s="392"/>
      <c r="BD127" s="392"/>
      <c r="BG127" s="393"/>
      <c r="BH127" s="393"/>
      <c r="BI127" s="393"/>
      <c r="BJ127" s="393"/>
      <c r="BK127" s="2187" t="str">
        <f>IF(A127&gt;0,C192,"")</f>
        <v/>
      </c>
      <c r="BL127" s="2186" t="str">
        <f t="shared" si="88"/>
        <v/>
      </c>
      <c r="BM127" s="393"/>
      <c r="BN127" s="393"/>
      <c r="BO127" s="394"/>
      <c r="BP127" s="394"/>
      <c r="BQ127" s="394"/>
      <c r="BR127" s="394"/>
      <c r="BS127" s="394"/>
      <c r="BT127" s="394"/>
      <c r="BU127" s="392"/>
      <c r="BV127" s="392"/>
      <c r="BW127" s="392"/>
      <c r="BX127" s="392"/>
      <c r="BY127" s="392"/>
      <c r="BZ127" s="392"/>
      <c r="CA127" s="392"/>
      <c r="CB127" s="392"/>
      <c r="CC127" s="392"/>
      <c r="CD127" s="392"/>
      <c r="CE127" s="392"/>
      <c r="DI127" s="392"/>
      <c r="DJ127" s="392"/>
      <c r="DK127" s="392"/>
      <c r="DL127" s="392"/>
      <c r="DM127" s="392"/>
      <c r="DN127" s="392"/>
      <c r="DO127" s="392"/>
      <c r="DQ127" s="392"/>
      <c r="DS127" s="394"/>
      <c r="DT127" s="394"/>
      <c r="DW127" s="392"/>
      <c r="DX127" s="394"/>
      <c r="DY127" s="394"/>
      <c r="EC127" s="392"/>
      <c r="ED127" s="394"/>
      <c r="EH127" s="394"/>
      <c r="EI127" s="392"/>
      <c r="EJ127" s="394"/>
      <c r="EN127" s="394"/>
      <c r="EO127" s="392"/>
      <c r="EP127" s="394"/>
      <c r="ET127" s="394"/>
      <c r="EU127" s="392"/>
      <c r="EV127" s="394"/>
      <c r="EZ127" s="394"/>
      <c r="FA127" s="392"/>
      <c r="FB127" s="394"/>
      <c r="FF127" s="394"/>
      <c r="FG127" s="392"/>
      <c r="FH127" s="394"/>
      <c r="FL127" s="394"/>
      <c r="FM127" s="392"/>
      <c r="FN127" s="394"/>
      <c r="FR127" s="394"/>
      <c r="FS127" s="392"/>
      <c r="FT127" s="394"/>
      <c r="FX127" s="394"/>
      <c r="FY127" s="392"/>
      <c r="FZ127" s="394"/>
      <c r="GD127" s="394"/>
      <c r="GE127" s="392"/>
      <c r="GF127" s="392"/>
      <c r="GG127" s="394"/>
      <c r="GJ127" s="394"/>
      <c r="GK127" s="392"/>
      <c r="GL127" s="392"/>
      <c r="GM127" s="394"/>
      <c r="GO127" s="394"/>
      <c r="GP127" s="394"/>
      <c r="GQ127" s="392"/>
      <c r="GR127" s="392"/>
      <c r="GS127" s="394"/>
      <c r="GT127" s="394"/>
    </row>
    <row r="128" spans="1:202" s="390" customFormat="1" ht="16" hidden="1" outlineLevel="2" x14ac:dyDescent="0.2">
      <c r="A128" s="2959">
        <f>R89+R92+R95</f>
        <v>0</v>
      </c>
      <c r="B128" s="2960" t="s">
        <v>1006</v>
      </c>
      <c r="C128" s="2957">
        <f>HWPricing!I2*Design!A128</f>
        <v>0</v>
      </c>
      <c r="D128" s="2958">
        <f>F190</f>
        <v>0</v>
      </c>
      <c r="E128" s="2954"/>
      <c r="F128" s="2954"/>
      <c r="G128" s="2954"/>
      <c r="H128" s="2955"/>
      <c r="I128" s="2961"/>
      <c r="J128" s="2781"/>
      <c r="L128" s="392"/>
      <c r="M128" s="392"/>
      <c r="N128" s="392"/>
      <c r="O128" s="392"/>
      <c r="P128" s="392"/>
      <c r="Q128" s="392"/>
      <c r="R128" s="393"/>
      <c r="S128" s="394"/>
      <c r="T128" s="393"/>
      <c r="U128" s="393"/>
      <c r="V128" s="394"/>
      <c r="W128" s="394"/>
      <c r="X128" s="394"/>
      <c r="Y128" s="394"/>
      <c r="Z128" s="394"/>
      <c r="AA128" s="394"/>
      <c r="AB128" s="394"/>
      <c r="AC128" s="391"/>
      <c r="AD128" s="392"/>
      <c r="AE128" s="392"/>
      <c r="AF128" s="392"/>
      <c r="AG128" s="392"/>
      <c r="AH128" s="392"/>
      <c r="AI128" s="392"/>
      <c r="AJ128" s="392"/>
      <c r="AK128" s="392"/>
      <c r="AL128" s="392"/>
      <c r="AM128" s="392"/>
      <c r="AN128" s="392"/>
      <c r="AO128" s="392"/>
      <c r="AP128" s="392"/>
      <c r="AQ128" s="392"/>
      <c r="AR128" s="392"/>
      <c r="AS128" s="392"/>
      <c r="AT128" s="392"/>
      <c r="AU128" s="392"/>
      <c r="AV128" s="392"/>
      <c r="AW128" s="392"/>
      <c r="AX128" s="392"/>
      <c r="AY128" s="392"/>
      <c r="AZ128" s="392"/>
      <c r="BA128" s="392"/>
      <c r="BB128" s="392"/>
      <c r="BC128" s="392"/>
      <c r="BD128" s="392"/>
      <c r="BG128" s="393"/>
      <c r="BH128" s="393"/>
      <c r="BI128" s="393"/>
      <c r="BJ128" s="393"/>
      <c r="BK128" s="393"/>
      <c r="BL128" s="393"/>
      <c r="BM128" s="393"/>
      <c r="BN128" s="393"/>
      <c r="BO128" s="394"/>
      <c r="BP128" s="394"/>
      <c r="BQ128" s="394"/>
      <c r="BR128" s="394"/>
      <c r="BS128" s="394"/>
      <c r="BT128" s="394"/>
      <c r="BU128" s="392"/>
      <c r="BV128" s="392"/>
      <c r="BW128" s="392"/>
      <c r="BX128" s="392"/>
      <c r="BY128" s="392"/>
      <c r="BZ128" s="392"/>
      <c r="CA128" s="392"/>
      <c r="CB128" s="392"/>
      <c r="CC128" s="392"/>
      <c r="CD128" s="392"/>
      <c r="CE128" s="392"/>
      <c r="DI128" s="392"/>
      <c r="DJ128" s="392"/>
      <c r="DK128" s="392"/>
      <c r="DL128" s="392"/>
      <c r="DM128" s="392"/>
      <c r="DN128" s="392"/>
      <c r="DO128" s="392"/>
      <c r="DQ128" s="392"/>
      <c r="DS128" s="394"/>
      <c r="DT128" s="394"/>
      <c r="DW128" s="392"/>
      <c r="DX128" s="394"/>
      <c r="DY128" s="394"/>
      <c r="EC128" s="392"/>
      <c r="ED128" s="394"/>
      <c r="EH128" s="394"/>
      <c r="EI128" s="392"/>
      <c r="EJ128" s="394"/>
      <c r="EN128" s="394"/>
      <c r="EO128" s="392"/>
      <c r="EP128" s="394"/>
      <c r="ET128" s="394"/>
      <c r="EU128" s="392"/>
      <c r="EV128" s="394"/>
      <c r="EZ128" s="394"/>
      <c r="FA128" s="392"/>
      <c r="FB128" s="394"/>
      <c r="FF128" s="394"/>
      <c r="FG128" s="392"/>
      <c r="FH128" s="394"/>
      <c r="FL128" s="394"/>
      <c r="FM128" s="392"/>
      <c r="FN128" s="394"/>
      <c r="FR128" s="394"/>
      <c r="FS128" s="392"/>
      <c r="FT128" s="394"/>
      <c r="FX128" s="394"/>
      <c r="FY128" s="392"/>
      <c r="FZ128" s="394"/>
      <c r="GD128" s="394"/>
      <c r="GE128" s="392"/>
      <c r="GF128" s="392"/>
      <c r="GG128" s="394"/>
      <c r="GJ128" s="394"/>
      <c r="GK128" s="392"/>
      <c r="GL128" s="392"/>
      <c r="GM128" s="394"/>
      <c r="GO128" s="394"/>
      <c r="GP128" s="394"/>
      <c r="GQ128" s="392"/>
      <c r="GR128" s="392"/>
      <c r="GS128" s="394"/>
      <c r="GT128" s="394"/>
    </row>
    <row r="129" spans="1:202" s="390" customFormat="1" hidden="1" outlineLevel="2" x14ac:dyDescent="0.15">
      <c r="A129" s="2313"/>
      <c r="B129" s="2948" t="s">
        <v>1465</v>
      </c>
      <c r="C129" s="2312">
        <f>SUM(C123:C128)</f>
        <v>0</v>
      </c>
      <c r="D129" s="2314"/>
      <c r="E129" s="2314"/>
      <c r="F129" s="2314"/>
      <c r="G129" s="2956" t="s">
        <v>1467</v>
      </c>
      <c r="H129" s="2312">
        <f>SUM(H123:H128)</f>
        <v>0</v>
      </c>
      <c r="I129" s="2962"/>
      <c r="J129" s="2781"/>
      <c r="L129" s="392"/>
      <c r="M129" s="392"/>
      <c r="N129" s="392"/>
      <c r="O129" s="392"/>
      <c r="P129" s="392"/>
      <c r="Q129" s="392"/>
      <c r="R129" s="393"/>
      <c r="S129" s="394"/>
      <c r="T129" s="393"/>
      <c r="U129" s="393"/>
      <c r="V129" s="394"/>
      <c r="W129" s="394"/>
      <c r="X129" s="394"/>
      <c r="Y129" s="394"/>
      <c r="Z129" s="394"/>
      <c r="AA129" s="394"/>
      <c r="AB129" s="394"/>
      <c r="AC129" s="391"/>
      <c r="AD129" s="392"/>
      <c r="AE129" s="392"/>
      <c r="AF129" s="392"/>
      <c r="AG129" s="392"/>
      <c r="AH129" s="392"/>
      <c r="AI129" s="392"/>
      <c r="AJ129" s="392"/>
      <c r="AK129" s="392"/>
      <c r="AL129" s="392"/>
      <c r="AM129" s="392"/>
      <c r="AN129" s="392"/>
      <c r="AO129" s="392"/>
      <c r="AP129" s="392"/>
      <c r="AQ129" s="392"/>
      <c r="AR129" s="392"/>
      <c r="AS129" s="392"/>
      <c r="AT129" s="392"/>
      <c r="AU129" s="392"/>
      <c r="AV129" s="392"/>
      <c r="AW129" s="392"/>
      <c r="AX129" s="392"/>
      <c r="AY129" s="392"/>
      <c r="AZ129" s="392"/>
      <c r="BA129" s="392"/>
      <c r="BB129" s="392"/>
      <c r="BC129" s="392"/>
      <c r="BD129" s="392"/>
      <c r="BG129" s="393"/>
      <c r="BH129" s="393"/>
      <c r="BI129" s="393"/>
      <c r="BJ129" s="393"/>
      <c r="BK129" s="393"/>
      <c r="BL129" s="393"/>
      <c r="BM129" s="393"/>
      <c r="BN129" s="393"/>
      <c r="BO129" s="394"/>
      <c r="BP129" s="394"/>
      <c r="BQ129" s="394"/>
      <c r="BR129" s="394"/>
      <c r="BS129" s="394"/>
      <c r="BT129" s="394"/>
      <c r="BU129" s="392"/>
      <c r="BV129" s="392"/>
      <c r="BW129" s="392"/>
      <c r="BX129" s="392"/>
      <c r="BY129" s="392"/>
      <c r="BZ129" s="392"/>
      <c r="CA129" s="392"/>
      <c r="CB129" s="392"/>
      <c r="CC129" s="392"/>
      <c r="CD129" s="392"/>
      <c r="CE129" s="392"/>
      <c r="DI129" s="392"/>
      <c r="DJ129" s="392"/>
      <c r="DK129" s="392"/>
      <c r="DL129" s="392"/>
      <c r="DM129" s="392"/>
      <c r="DN129" s="392"/>
      <c r="DO129" s="392"/>
      <c r="DQ129" s="392"/>
      <c r="DS129" s="394"/>
      <c r="DT129" s="394"/>
      <c r="DW129" s="392"/>
      <c r="DX129" s="394"/>
      <c r="DY129" s="394"/>
      <c r="EC129" s="392"/>
      <c r="ED129" s="394"/>
      <c r="EH129" s="394"/>
      <c r="EI129" s="392"/>
      <c r="EJ129" s="394"/>
      <c r="EN129" s="394"/>
      <c r="EO129" s="392"/>
      <c r="EP129" s="394"/>
      <c r="ET129" s="394"/>
      <c r="EU129" s="392"/>
      <c r="EV129" s="394"/>
      <c r="EZ129" s="394"/>
      <c r="FA129" s="392"/>
      <c r="FB129" s="394"/>
      <c r="FF129" s="394"/>
      <c r="FG129" s="392"/>
      <c r="FH129" s="394"/>
      <c r="FL129" s="394"/>
      <c r="FM129" s="392"/>
      <c r="FN129" s="394"/>
      <c r="FR129" s="394"/>
      <c r="FS129" s="392"/>
      <c r="FT129" s="394"/>
      <c r="FX129" s="394"/>
      <c r="FY129" s="392"/>
      <c r="FZ129" s="394"/>
      <c r="GD129" s="394"/>
      <c r="GE129" s="392"/>
      <c r="GF129" s="392"/>
      <c r="GG129" s="394"/>
      <c r="GJ129" s="394"/>
      <c r="GK129" s="392"/>
      <c r="GL129" s="392"/>
      <c r="GM129" s="394"/>
      <c r="GO129" s="394"/>
      <c r="GP129" s="394"/>
      <c r="GQ129" s="392"/>
      <c r="GR129" s="392"/>
      <c r="GS129" s="394"/>
      <c r="GT129" s="394"/>
    </row>
    <row r="130" spans="1:202" s="390" customFormat="1" ht="11.25" hidden="1" customHeight="1" outlineLevel="1" collapsed="1" x14ac:dyDescent="0.2">
      <c r="A130" s="2277"/>
      <c r="B130" s="2776"/>
      <c r="C130" s="2777"/>
      <c r="D130" s="2278"/>
      <c r="E130" s="2284"/>
      <c r="F130" s="2285"/>
      <c r="G130" s="2286"/>
      <c r="H130" s="2287"/>
      <c r="I130" s="2287"/>
      <c r="J130" s="2782"/>
      <c r="L130" s="392"/>
      <c r="M130" s="392"/>
      <c r="N130" s="392"/>
      <c r="O130" s="392"/>
      <c r="P130" s="392"/>
      <c r="Q130" s="392"/>
      <c r="R130" s="393"/>
      <c r="S130" s="394"/>
      <c r="T130" s="393"/>
      <c r="U130" s="393"/>
      <c r="V130" s="394"/>
      <c r="W130" s="394"/>
      <c r="X130" s="394"/>
      <c r="Y130" s="394"/>
      <c r="Z130" s="394"/>
      <c r="AA130" s="394"/>
      <c r="AB130" s="394"/>
      <c r="AC130" s="391"/>
      <c r="AD130" s="392"/>
      <c r="AE130" s="392"/>
      <c r="AF130" s="392"/>
      <c r="AG130" s="392"/>
      <c r="AH130" s="392"/>
      <c r="AI130" s="392"/>
      <c r="AJ130" s="392"/>
      <c r="AK130" s="392"/>
      <c r="AL130" s="392"/>
      <c r="AM130" s="392"/>
      <c r="AN130" s="392"/>
      <c r="AO130" s="392"/>
      <c r="AP130" s="392"/>
      <c r="AQ130" s="392"/>
      <c r="AR130" s="392"/>
      <c r="AS130" s="392"/>
      <c r="AT130" s="392"/>
      <c r="AU130" s="392"/>
      <c r="AV130" s="392"/>
      <c r="AW130" s="392"/>
      <c r="AX130" s="392"/>
      <c r="AY130" s="392"/>
      <c r="AZ130" s="392"/>
      <c r="BA130" s="392"/>
      <c r="BB130" s="392"/>
      <c r="BC130" s="392"/>
      <c r="BD130" s="392"/>
      <c r="BG130" s="393"/>
      <c r="BH130" s="393"/>
      <c r="BI130" s="393"/>
      <c r="BJ130" s="393"/>
      <c r="BK130" s="393"/>
      <c r="BL130" s="393"/>
      <c r="BM130" s="393"/>
      <c r="BN130" s="393"/>
      <c r="BO130" s="394"/>
      <c r="BP130" s="394"/>
      <c r="BQ130" s="394"/>
      <c r="BR130" s="394"/>
      <c r="BS130" s="394"/>
      <c r="BT130" s="394"/>
      <c r="BU130" s="392"/>
      <c r="BV130" s="392"/>
      <c r="BW130" s="392"/>
      <c r="BX130" s="392"/>
      <c r="BY130" s="392"/>
      <c r="BZ130" s="392"/>
      <c r="CA130" s="392"/>
      <c r="CB130" s="392"/>
      <c r="CC130" s="392"/>
      <c r="CD130" s="392"/>
      <c r="CE130" s="392"/>
      <c r="DI130" s="392"/>
      <c r="DJ130" s="392"/>
      <c r="DK130" s="392"/>
      <c r="DL130" s="392"/>
      <c r="DM130" s="392"/>
      <c r="DN130" s="392"/>
      <c r="DO130" s="392"/>
      <c r="DQ130" s="392"/>
      <c r="DS130" s="394"/>
      <c r="DT130" s="394"/>
      <c r="DW130" s="392"/>
      <c r="DX130" s="394"/>
      <c r="DY130" s="394"/>
      <c r="EC130" s="392"/>
      <c r="ED130" s="394"/>
      <c r="EH130" s="394"/>
      <c r="EI130" s="392"/>
      <c r="EJ130" s="394"/>
      <c r="EN130" s="394"/>
      <c r="EO130" s="392"/>
      <c r="EP130" s="394"/>
      <c r="ET130" s="394"/>
      <c r="EU130" s="392"/>
      <c r="EV130" s="394"/>
      <c r="EZ130" s="394"/>
      <c r="FA130" s="392"/>
      <c r="FB130" s="394"/>
      <c r="FF130" s="394"/>
      <c r="FG130" s="392"/>
      <c r="FH130" s="394"/>
      <c r="FL130" s="394"/>
      <c r="FM130" s="392"/>
      <c r="FN130" s="394"/>
      <c r="FR130" s="394"/>
      <c r="FS130" s="392"/>
      <c r="FT130" s="394"/>
      <c r="FX130" s="394"/>
      <c r="FY130" s="392"/>
      <c r="FZ130" s="394"/>
      <c r="GD130" s="394"/>
      <c r="GE130" s="392"/>
      <c r="GF130" s="392"/>
      <c r="GG130" s="394"/>
      <c r="GJ130" s="394"/>
      <c r="GK130" s="392"/>
      <c r="GL130" s="392"/>
      <c r="GM130" s="394"/>
      <c r="GO130" s="394"/>
      <c r="GP130" s="394"/>
      <c r="GQ130" s="392"/>
      <c r="GR130" s="392"/>
      <c r="GS130" s="394"/>
      <c r="GT130" s="394"/>
    </row>
    <row r="131" spans="1:202" s="390" customFormat="1" collapsed="1" x14ac:dyDescent="0.15">
      <c r="A131" s="1590"/>
      <c r="B131" s="2963" t="str">
        <f>IF(AF86=0,"TOTAL HARDWARE =","Total VM 3yr Pricing =")</f>
        <v>TOTAL HARDWARE =</v>
      </c>
      <c r="C131" s="2964">
        <f>IFERROR(C129+C120,"Not Listed")</f>
        <v>40234</v>
      </c>
      <c r="D131" s="2965" t="s">
        <v>1219</v>
      </c>
      <c r="E131" s="2873">
        <f>G131</f>
        <v>0</v>
      </c>
      <c r="F131" s="2966"/>
      <c r="G131" s="2873">
        <f>H129+H120</f>
        <v>0</v>
      </c>
      <c r="H131" s="2965" t="s">
        <v>1550</v>
      </c>
      <c r="I131" s="2995">
        <f>$HB$3+$HC$3</f>
        <v>5785.5477862682101</v>
      </c>
      <c r="J131" s="392"/>
      <c r="L131" s="392"/>
      <c r="M131" s="392"/>
      <c r="N131" s="392"/>
      <c r="O131" s="392"/>
      <c r="P131" s="392"/>
      <c r="Q131" s="392"/>
      <c r="R131" s="393"/>
      <c r="S131" s="394"/>
      <c r="T131" s="393"/>
      <c r="U131" s="393"/>
      <c r="V131" s="394"/>
      <c r="W131" s="394"/>
      <c r="X131" s="394"/>
      <c r="Y131" s="394"/>
      <c r="Z131" s="394"/>
      <c r="AA131" s="394"/>
      <c r="AB131" s="394"/>
      <c r="AC131" s="391"/>
      <c r="AD131" s="392"/>
      <c r="AE131" s="392"/>
      <c r="AF131" s="392"/>
      <c r="AG131" s="392"/>
      <c r="AH131" s="392"/>
      <c r="AI131" s="392"/>
      <c r="AJ131" s="392"/>
      <c r="AK131" s="392"/>
      <c r="AL131" s="392"/>
      <c r="AM131" s="392"/>
      <c r="AN131" s="392"/>
      <c r="AO131" s="392"/>
      <c r="AP131" s="392"/>
      <c r="AQ131" s="392"/>
      <c r="AR131" s="392"/>
      <c r="AS131" s="392"/>
      <c r="AT131" s="392"/>
      <c r="AU131" s="392"/>
      <c r="AV131" s="392"/>
      <c r="AW131" s="392"/>
      <c r="AX131" s="392"/>
      <c r="AY131" s="392"/>
      <c r="AZ131" s="392"/>
      <c r="BA131" s="392"/>
      <c r="BB131" s="392"/>
      <c r="BC131" s="392"/>
      <c r="BD131" s="392"/>
      <c r="BG131" s="393"/>
      <c r="BH131" s="393"/>
      <c r="BI131" s="393"/>
      <c r="BJ131" s="393"/>
      <c r="BK131" s="393"/>
      <c r="BL131" s="393"/>
      <c r="BM131" s="393"/>
      <c r="BN131" s="393"/>
      <c r="BO131" s="394"/>
      <c r="BP131" s="394"/>
      <c r="BQ131" s="394"/>
      <c r="BR131" s="394"/>
      <c r="BS131" s="394"/>
      <c r="BT131" s="394"/>
      <c r="BU131" s="392"/>
      <c r="BV131" s="392"/>
      <c r="BW131" s="392"/>
      <c r="BX131" s="392"/>
      <c r="BY131" s="392"/>
      <c r="BZ131" s="392"/>
      <c r="CA131" s="392"/>
      <c r="CB131" s="392"/>
      <c r="CC131" s="392"/>
      <c r="CD131" s="392"/>
      <c r="CE131" s="392"/>
      <c r="DI131" s="392"/>
      <c r="DJ131" s="392"/>
      <c r="DK131" s="392"/>
      <c r="DL131" s="392"/>
      <c r="DM131" s="392"/>
      <c r="DN131" s="392"/>
      <c r="DO131" s="392"/>
      <c r="DQ131" s="392"/>
      <c r="DS131" s="394"/>
      <c r="DT131" s="394"/>
      <c r="DW131" s="392"/>
      <c r="DX131" s="394"/>
      <c r="DY131" s="394"/>
      <c r="EC131" s="392"/>
      <c r="ED131" s="394"/>
      <c r="EH131" s="394"/>
      <c r="EI131" s="392"/>
      <c r="EJ131" s="394"/>
      <c r="EN131" s="394"/>
      <c r="EO131" s="392"/>
      <c r="EP131" s="394"/>
      <c r="ET131" s="394"/>
      <c r="EU131" s="392"/>
      <c r="EV131" s="394"/>
      <c r="EZ131" s="394"/>
      <c r="FA131" s="392"/>
      <c r="FB131" s="394"/>
      <c r="FF131" s="394"/>
      <c r="FG131" s="392"/>
      <c r="FH131" s="394"/>
      <c r="FL131" s="394"/>
      <c r="FM131" s="392"/>
      <c r="FN131" s="394"/>
      <c r="FR131" s="394"/>
      <c r="FS131" s="392"/>
      <c r="FT131" s="394"/>
      <c r="FX131" s="394"/>
      <c r="FY131" s="392"/>
      <c r="FZ131" s="394"/>
      <c r="GD131" s="394"/>
      <c r="GE131" s="392"/>
      <c r="GF131" s="392"/>
      <c r="GG131" s="394"/>
      <c r="GJ131" s="394"/>
      <c r="GK131" s="392"/>
      <c r="GL131" s="392"/>
      <c r="GM131" s="394"/>
      <c r="GO131" s="394"/>
      <c r="GP131" s="394"/>
      <c r="GQ131" s="392"/>
      <c r="GR131" s="392"/>
      <c r="GS131" s="394"/>
      <c r="GT131" s="394"/>
    </row>
    <row r="132" spans="1:202" s="390" customFormat="1" x14ac:dyDescent="0.15">
      <c r="H132" s="23"/>
      <c r="I132" s="391"/>
      <c r="L132" s="392"/>
      <c r="M132" s="392"/>
      <c r="N132" s="392"/>
      <c r="O132" s="392"/>
      <c r="P132" s="392"/>
      <c r="Q132" s="392"/>
      <c r="R132" s="393"/>
      <c r="S132" s="394"/>
      <c r="T132" s="393"/>
      <c r="U132" s="393"/>
      <c r="V132" s="393"/>
      <c r="W132" s="393"/>
      <c r="X132" s="393"/>
      <c r="Y132" s="393"/>
      <c r="Z132" s="393"/>
      <c r="AA132" s="393"/>
      <c r="AB132" s="393"/>
      <c r="AC132" s="393"/>
      <c r="AD132" s="392"/>
      <c r="AE132" s="392"/>
      <c r="AF132" s="392"/>
      <c r="AG132" s="392"/>
      <c r="AH132" s="392"/>
      <c r="AI132" s="392"/>
      <c r="AJ132" s="392"/>
      <c r="AK132" s="392"/>
      <c r="AL132" s="392"/>
      <c r="AM132" s="392"/>
      <c r="AN132" s="392"/>
      <c r="AO132" s="392"/>
      <c r="AP132" s="392"/>
      <c r="AQ132" s="392"/>
      <c r="AR132" s="392"/>
      <c r="AS132" s="392"/>
      <c r="AT132" s="392"/>
      <c r="AU132" s="392"/>
      <c r="AV132" s="392"/>
      <c r="AW132" s="392"/>
      <c r="AX132" s="392"/>
      <c r="AY132" s="392"/>
      <c r="AZ132" s="392"/>
      <c r="BA132" s="392"/>
      <c r="BB132" s="392"/>
      <c r="BC132" s="392"/>
      <c r="BD132" s="392"/>
      <c r="BG132" s="393"/>
      <c r="BH132" s="393"/>
      <c r="BI132" s="393"/>
      <c r="BJ132" s="393"/>
      <c r="BK132" s="393"/>
      <c r="BL132" s="393"/>
      <c r="BM132" s="393"/>
      <c r="BN132" s="393"/>
      <c r="BO132" s="394"/>
      <c r="BP132" s="394"/>
      <c r="BQ132" s="394"/>
      <c r="BR132" s="394"/>
      <c r="BS132" s="394"/>
      <c r="BT132" s="394"/>
      <c r="BU132" s="392"/>
      <c r="BV132" s="392"/>
      <c r="BW132" s="392"/>
      <c r="BX132" s="392"/>
      <c r="BY132" s="392"/>
      <c r="BZ132" s="392"/>
      <c r="CA132" s="392"/>
      <c r="CB132" s="392"/>
      <c r="CC132" s="392"/>
      <c r="CD132" s="392"/>
      <c r="CE132" s="392"/>
      <c r="DI132" s="392"/>
      <c r="DJ132" s="392"/>
      <c r="DK132" s="392"/>
      <c r="DL132" s="392"/>
      <c r="DM132" s="392"/>
      <c r="DN132" s="392"/>
      <c r="DO132" s="392"/>
      <c r="DQ132" s="392"/>
      <c r="DS132" s="394"/>
      <c r="DT132" s="394"/>
      <c r="DW132" s="392"/>
      <c r="DX132" s="394"/>
      <c r="DY132" s="394"/>
      <c r="EC132" s="392"/>
      <c r="ED132" s="394"/>
      <c r="EH132" s="394"/>
      <c r="EI132" s="392"/>
      <c r="EJ132" s="394"/>
      <c r="EN132" s="394"/>
      <c r="EO132" s="392"/>
      <c r="EP132" s="394"/>
      <c r="ET132" s="394"/>
      <c r="EU132" s="392"/>
      <c r="EV132" s="394"/>
      <c r="EZ132" s="394"/>
      <c r="FA132" s="392"/>
      <c r="FB132" s="394"/>
      <c r="FF132" s="394"/>
      <c r="FG132" s="392"/>
      <c r="FH132" s="394"/>
      <c r="FL132" s="394"/>
      <c r="FM132" s="392"/>
      <c r="FN132" s="394"/>
      <c r="FR132" s="394"/>
      <c r="FS132" s="392"/>
      <c r="FT132" s="394"/>
      <c r="FX132" s="394"/>
      <c r="FY132" s="392"/>
      <c r="FZ132" s="394"/>
      <c r="GD132" s="394"/>
      <c r="GE132" s="392"/>
      <c r="GF132" s="392"/>
      <c r="GG132" s="394"/>
      <c r="GJ132" s="394"/>
      <c r="GK132" s="392"/>
      <c r="GL132" s="392"/>
      <c r="GM132" s="394"/>
      <c r="GO132" s="394"/>
      <c r="GP132" s="394"/>
      <c r="GQ132" s="392"/>
      <c r="GR132" s="392"/>
      <c r="GS132" s="394"/>
      <c r="GT132" s="394"/>
    </row>
    <row r="133" spans="1:202" s="390" customFormat="1" ht="18" x14ac:dyDescent="0.2">
      <c r="A133" s="2047"/>
      <c r="B133" s="2047"/>
      <c r="R133" s="393"/>
      <c r="S133" s="394"/>
      <c r="T133" s="2408"/>
      <c r="U133" s="2409"/>
      <c r="V133" s="1889"/>
      <c r="W133" s="2407"/>
      <c r="X133" s="2426"/>
      <c r="Y133" s="2425"/>
      <c r="Z133" s="2425"/>
      <c r="AA133" s="2425"/>
      <c r="AB133" s="2425"/>
      <c r="AC133" s="391"/>
      <c r="AD133" s="392"/>
      <c r="AE133" s="392"/>
      <c r="AF133" s="392"/>
      <c r="AG133" s="392"/>
      <c r="AH133" s="392"/>
      <c r="AI133" s="392"/>
      <c r="AJ133" s="392"/>
      <c r="AK133" s="392"/>
      <c r="AL133" s="392"/>
      <c r="AM133" s="392"/>
      <c r="AN133" s="392"/>
      <c r="AO133" s="392"/>
      <c r="AP133" s="392"/>
      <c r="AQ133" s="392"/>
      <c r="AR133" s="392"/>
      <c r="AS133" s="392"/>
      <c r="AT133" s="392"/>
      <c r="AU133" s="392"/>
      <c r="AV133" s="392"/>
      <c r="AW133" s="392"/>
      <c r="AX133" s="392"/>
      <c r="AY133" s="392"/>
      <c r="AZ133" s="392"/>
      <c r="BA133" s="392"/>
      <c r="BB133" s="392"/>
      <c r="BC133" s="392"/>
      <c r="BD133" s="392"/>
      <c r="BG133" s="393"/>
      <c r="BH133" s="393"/>
      <c r="BI133" s="393"/>
      <c r="BJ133" s="393"/>
      <c r="BK133" s="393"/>
      <c r="BL133" s="393"/>
      <c r="BM133" s="393"/>
      <c r="BN133" s="393"/>
      <c r="BO133" s="394"/>
      <c r="BP133" s="394"/>
      <c r="BQ133" s="394"/>
      <c r="BR133" s="394"/>
      <c r="BS133" s="394"/>
      <c r="BT133" s="394"/>
      <c r="BU133" s="392"/>
      <c r="BV133" s="392"/>
      <c r="BW133" s="392"/>
      <c r="BX133" s="392"/>
      <c r="BY133" s="392"/>
      <c r="BZ133" s="392"/>
      <c r="CA133" s="392"/>
      <c r="CB133" s="392"/>
      <c r="CC133" s="392"/>
      <c r="CD133" s="392"/>
      <c r="CE133" s="392"/>
      <c r="DI133" s="392"/>
      <c r="DJ133" s="392"/>
      <c r="DK133" s="392"/>
      <c r="DL133" s="392"/>
      <c r="DM133" s="392"/>
      <c r="DN133" s="392"/>
      <c r="DO133" s="392"/>
      <c r="DQ133" s="392"/>
      <c r="DS133" s="394"/>
      <c r="DT133" s="394"/>
      <c r="DW133" s="392"/>
      <c r="DX133" s="394"/>
      <c r="DY133" s="394"/>
      <c r="EC133" s="392"/>
      <c r="ED133" s="394"/>
      <c r="EH133" s="394"/>
      <c r="EI133" s="392"/>
      <c r="EJ133" s="394"/>
      <c r="EN133" s="394"/>
      <c r="EO133" s="392"/>
      <c r="EP133" s="394"/>
      <c r="ET133" s="394"/>
      <c r="EU133" s="392"/>
      <c r="EV133" s="394"/>
      <c r="EZ133" s="394"/>
      <c r="FA133" s="392"/>
      <c r="FB133" s="394"/>
      <c r="FF133" s="394"/>
      <c r="FG133" s="392"/>
      <c r="FH133" s="394"/>
      <c r="FL133" s="394"/>
      <c r="FM133" s="392"/>
      <c r="FN133" s="394"/>
      <c r="FR133" s="394"/>
      <c r="FS133" s="392"/>
      <c r="FT133" s="394"/>
      <c r="FX133" s="394"/>
      <c r="FY133" s="392"/>
      <c r="FZ133" s="394"/>
      <c r="GD133" s="394"/>
      <c r="GE133" s="392"/>
      <c r="GF133" s="392"/>
      <c r="GG133" s="394"/>
      <c r="GJ133" s="394"/>
      <c r="GK133" s="392"/>
      <c r="GL133" s="392"/>
      <c r="GM133" s="394"/>
      <c r="GO133" s="394"/>
      <c r="GP133" s="394"/>
      <c r="GQ133" s="392"/>
      <c r="GR133" s="392"/>
      <c r="GS133" s="394"/>
      <c r="GT133" s="394"/>
    </row>
    <row r="134" spans="1:202" s="390" customFormat="1" ht="14" x14ac:dyDescent="0.15">
      <c r="A134" s="2170"/>
      <c r="R134" s="393"/>
      <c r="S134" s="394"/>
      <c r="T134" s="393"/>
      <c r="U134" s="1890"/>
      <c r="V134" s="2416"/>
      <c r="W134" s="1889"/>
      <c r="X134" s="1888"/>
      <c r="Y134" s="1888"/>
      <c r="Z134" s="1888"/>
      <c r="AA134" s="1888"/>
      <c r="AB134" s="1888"/>
      <c r="AC134" s="391"/>
      <c r="AD134" s="392"/>
      <c r="AE134" s="392"/>
      <c r="AF134" s="392"/>
      <c r="AG134" s="392"/>
      <c r="AH134" s="392"/>
      <c r="AI134" s="392"/>
      <c r="AJ134" s="392"/>
      <c r="AK134" s="392"/>
      <c r="AL134" s="392"/>
      <c r="AM134" s="392"/>
      <c r="AN134" s="392"/>
      <c r="AO134" s="392"/>
      <c r="AP134" s="392"/>
      <c r="AQ134" s="392"/>
      <c r="AR134" s="392"/>
      <c r="AS134" s="392"/>
      <c r="AT134" s="392"/>
      <c r="AU134" s="392"/>
      <c r="AV134" s="392"/>
      <c r="AW134" s="392"/>
      <c r="AX134" s="392"/>
      <c r="AY134" s="392"/>
      <c r="AZ134" s="392"/>
      <c r="BA134" s="392"/>
      <c r="BB134" s="392"/>
      <c r="BC134" s="392"/>
      <c r="BD134" s="392"/>
      <c r="BG134" s="393"/>
      <c r="BH134" s="393"/>
      <c r="BI134" s="393"/>
      <c r="BJ134" s="393"/>
      <c r="BK134" s="393"/>
      <c r="BL134" s="393"/>
      <c r="BM134" s="393"/>
      <c r="BN134" s="393"/>
      <c r="BO134" s="394"/>
      <c r="BP134" s="394"/>
      <c r="BQ134" s="394"/>
      <c r="BR134" s="394"/>
      <c r="BS134" s="394"/>
      <c r="BT134" s="394"/>
      <c r="BU134" s="392"/>
      <c r="BV134" s="392"/>
      <c r="BW134" s="392"/>
      <c r="BX134" s="392"/>
      <c r="BY134" s="392"/>
      <c r="BZ134" s="392"/>
      <c r="CA134" s="392"/>
      <c r="CB134" s="392"/>
      <c r="CC134" s="392"/>
      <c r="CD134" s="392"/>
      <c r="CE134" s="392"/>
      <c r="DI134" s="392"/>
      <c r="DJ134" s="392"/>
      <c r="DK134" s="392"/>
      <c r="DL134" s="392"/>
      <c r="DM134" s="392"/>
      <c r="DN134" s="392"/>
      <c r="DO134" s="392"/>
      <c r="DQ134" s="392"/>
      <c r="DS134" s="394"/>
      <c r="DT134" s="394"/>
      <c r="DW134" s="392"/>
      <c r="DX134" s="394"/>
      <c r="DY134" s="394"/>
      <c r="EC134" s="392"/>
      <c r="ED134" s="394"/>
      <c r="EH134" s="394"/>
      <c r="EI134" s="392"/>
      <c r="EJ134" s="394"/>
      <c r="EN134" s="394"/>
      <c r="EO134" s="392"/>
      <c r="EP134" s="394"/>
      <c r="ET134" s="394"/>
      <c r="EU134" s="392"/>
      <c r="EV134" s="394"/>
      <c r="EZ134" s="394"/>
      <c r="FA134" s="392"/>
      <c r="FB134" s="394"/>
      <c r="FF134" s="394"/>
      <c r="FG134" s="392"/>
      <c r="FH134" s="394"/>
      <c r="FL134" s="394"/>
      <c r="FM134" s="392"/>
      <c r="FN134" s="394"/>
      <c r="FR134" s="394"/>
      <c r="FS134" s="392"/>
      <c r="FT134" s="394"/>
      <c r="FX134" s="394"/>
      <c r="FY134" s="392"/>
      <c r="FZ134" s="394"/>
      <c r="GD134" s="394"/>
      <c r="GE134" s="392"/>
      <c r="GF134" s="392"/>
      <c r="GG134" s="394"/>
      <c r="GJ134" s="394"/>
      <c r="GK134" s="392"/>
      <c r="GL134" s="392"/>
      <c r="GM134" s="394"/>
      <c r="GO134" s="394"/>
      <c r="GP134" s="394"/>
      <c r="GQ134" s="392"/>
      <c r="GR134" s="392"/>
      <c r="GS134" s="394"/>
      <c r="GT134" s="394"/>
    </row>
    <row r="135" spans="1:202" s="390" customFormat="1" ht="14" x14ac:dyDescent="0.15">
      <c r="A135" s="2170"/>
      <c r="R135" s="393"/>
      <c r="S135" s="394"/>
      <c r="T135" s="393"/>
      <c r="U135" s="1890"/>
      <c r="V135" s="1889"/>
      <c r="W135" s="1889"/>
      <c r="X135" s="2402"/>
      <c r="Y135" s="2402"/>
      <c r="Z135" s="2402"/>
      <c r="AA135" s="2402"/>
      <c r="AB135" s="2402"/>
      <c r="AC135" s="391"/>
      <c r="AD135" s="392"/>
      <c r="AE135" s="392"/>
      <c r="AF135" s="392"/>
      <c r="AG135" s="392"/>
      <c r="AH135" s="392"/>
      <c r="AI135" s="392"/>
      <c r="AJ135" s="392"/>
      <c r="AK135" s="392"/>
      <c r="AL135" s="392"/>
      <c r="AM135" s="392"/>
      <c r="AN135" s="392"/>
      <c r="AO135" s="392"/>
      <c r="AP135" s="392"/>
      <c r="AQ135" s="392"/>
      <c r="AR135" s="392"/>
      <c r="AS135" s="392"/>
      <c r="AT135" s="392"/>
      <c r="AU135" s="392"/>
      <c r="AV135" s="392"/>
      <c r="AW135" s="392"/>
      <c r="AX135" s="392"/>
      <c r="AY135" s="392"/>
      <c r="AZ135" s="392"/>
      <c r="BA135" s="392"/>
      <c r="BB135" s="392"/>
      <c r="BC135" s="392"/>
      <c r="BD135" s="392"/>
      <c r="BG135" s="393"/>
      <c r="BH135" s="393"/>
      <c r="BI135" s="393"/>
      <c r="BJ135" s="393"/>
      <c r="BK135" s="393"/>
      <c r="BL135" s="393"/>
      <c r="BM135" s="393"/>
      <c r="BN135" s="393"/>
      <c r="BO135" s="394"/>
      <c r="BP135" s="394"/>
      <c r="BQ135" s="394"/>
      <c r="BR135" s="394"/>
      <c r="BS135" s="394"/>
      <c r="BT135" s="394"/>
      <c r="BU135" s="392"/>
      <c r="BV135" s="392"/>
      <c r="BW135" s="392"/>
      <c r="BX135" s="392"/>
      <c r="BY135" s="392"/>
      <c r="BZ135" s="392"/>
      <c r="CA135" s="392"/>
      <c r="CB135" s="392"/>
      <c r="CC135" s="392"/>
      <c r="CD135" s="392"/>
      <c r="CE135" s="392"/>
      <c r="DI135" s="392"/>
      <c r="DJ135" s="392"/>
      <c r="DK135" s="392"/>
      <c r="DL135" s="392"/>
      <c r="DM135" s="392"/>
      <c r="DN135" s="392"/>
      <c r="DO135" s="392"/>
      <c r="DQ135" s="392"/>
      <c r="DS135" s="394"/>
      <c r="DT135" s="394"/>
      <c r="DW135" s="392"/>
      <c r="DX135" s="394"/>
      <c r="DY135" s="394"/>
      <c r="EC135" s="392"/>
      <c r="ED135" s="394"/>
      <c r="EH135" s="394"/>
      <c r="EI135" s="392"/>
      <c r="EJ135" s="394"/>
      <c r="EN135" s="394"/>
      <c r="EO135" s="392"/>
      <c r="EP135" s="394"/>
      <c r="ET135" s="394"/>
      <c r="EU135" s="392"/>
      <c r="EV135" s="394"/>
      <c r="EZ135" s="394"/>
      <c r="FA135" s="392"/>
      <c r="FB135" s="394"/>
      <c r="FF135" s="394"/>
      <c r="FG135" s="392"/>
      <c r="FH135" s="394"/>
      <c r="FL135" s="394"/>
      <c r="FM135" s="392"/>
      <c r="FN135" s="394"/>
      <c r="FR135" s="394"/>
      <c r="FS135" s="392"/>
      <c r="FT135" s="394"/>
      <c r="FX135" s="394"/>
      <c r="FY135" s="392"/>
      <c r="FZ135" s="394"/>
      <c r="GD135" s="394"/>
      <c r="GE135" s="392"/>
      <c r="GF135" s="392"/>
      <c r="GG135" s="394"/>
      <c r="GJ135" s="394"/>
      <c r="GK135" s="392"/>
      <c r="GL135" s="392"/>
      <c r="GM135" s="394"/>
      <c r="GO135" s="394"/>
      <c r="GP135" s="394"/>
      <c r="GQ135" s="392"/>
      <c r="GR135" s="392"/>
      <c r="GS135" s="394"/>
      <c r="GT135" s="394"/>
    </row>
    <row r="136" spans="1:202" s="390" customFormat="1" ht="14" x14ac:dyDescent="0.15">
      <c r="A136" s="2170"/>
      <c r="R136" s="393"/>
      <c r="S136" s="394"/>
      <c r="T136" s="393"/>
      <c r="U136" s="1890"/>
      <c r="V136" s="1889"/>
      <c r="W136" s="1889"/>
      <c r="X136" s="2402"/>
      <c r="Y136" s="2402"/>
      <c r="Z136" s="2402"/>
      <c r="AA136" s="2402"/>
      <c r="AB136" s="2402"/>
      <c r="AC136" s="391"/>
      <c r="AD136" s="392"/>
      <c r="AE136" s="392"/>
      <c r="AF136" s="392"/>
      <c r="AG136" s="392"/>
      <c r="AH136" s="392"/>
      <c r="AI136" s="392"/>
      <c r="AJ136" s="392"/>
      <c r="AK136" s="392"/>
      <c r="AL136" s="392"/>
      <c r="AM136" s="392"/>
      <c r="AN136" s="392"/>
      <c r="AO136" s="392"/>
      <c r="AP136" s="392"/>
      <c r="AQ136" s="392"/>
      <c r="AR136" s="392"/>
      <c r="AS136" s="392"/>
      <c r="AT136" s="392"/>
      <c r="AU136" s="392"/>
      <c r="AV136" s="392"/>
      <c r="AW136" s="392"/>
      <c r="AX136" s="392"/>
      <c r="AY136" s="392"/>
      <c r="AZ136" s="392"/>
      <c r="BA136" s="392"/>
      <c r="BB136" s="392"/>
      <c r="BC136" s="392"/>
      <c r="BD136" s="392"/>
      <c r="BG136" s="393"/>
      <c r="BH136" s="393"/>
      <c r="BI136" s="393"/>
      <c r="BJ136" s="393"/>
      <c r="BK136" s="393"/>
      <c r="BL136" s="393"/>
      <c r="BM136" s="393"/>
      <c r="BN136" s="393"/>
      <c r="BO136" s="394"/>
      <c r="BP136" s="394"/>
      <c r="BQ136" s="394"/>
      <c r="BR136" s="394"/>
      <c r="BS136" s="394"/>
      <c r="BT136" s="394"/>
      <c r="BU136" s="392"/>
      <c r="BV136" s="392"/>
      <c r="BW136" s="392"/>
      <c r="BX136" s="392"/>
      <c r="BY136" s="392"/>
      <c r="BZ136" s="392"/>
      <c r="CA136" s="392"/>
      <c r="CB136" s="392"/>
      <c r="CC136" s="392"/>
      <c r="CD136" s="392"/>
      <c r="CE136" s="392"/>
      <c r="DI136" s="392"/>
      <c r="DJ136" s="392"/>
      <c r="DK136" s="392"/>
      <c r="DL136" s="392"/>
      <c r="DM136" s="392"/>
      <c r="DN136" s="392"/>
      <c r="DO136" s="392"/>
      <c r="DQ136" s="392"/>
      <c r="DS136" s="394"/>
      <c r="DT136" s="394"/>
      <c r="DW136" s="392"/>
      <c r="DX136" s="394"/>
      <c r="DY136" s="394"/>
      <c r="EC136" s="392"/>
      <c r="ED136" s="394"/>
      <c r="EH136" s="394"/>
      <c r="EI136" s="392"/>
      <c r="EJ136" s="394"/>
      <c r="EN136" s="394"/>
      <c r="EO136" s="392"/>
      <c r="EP136" s="394"/>
      <c r="ET136" s="394"/>
      <c r="EU136" s="392"/>
      <c r="EV136" s="394"/>
      <c r="EZ136" s="394"/>
      <c r="FA136" s="392"/>
      <c r="FB136" s="394"/>
      <c r="FF136" s="394"/>
      <c r="FG136" s="392"/>
      <c r="FH136" s="394"/>
      <c r="FL136" s="394"/>
      <c r="FM136" s="392"/>
      <c r="FN136" s="394"/>
      <c r="FR136" s="394"/>
      <c r="FS136" s="392"/>
      <c r="FT136" s="394"/>
      <c r="FX136" s="394"/>
      <c r="FY136" s="392"/>
      <c r="FZ136" s="394"/>
      <c r="GD136" s="394"/>
      <c r="GE136" s="392"/>
      <c r="GF136" s="392"/>
      <c r="GG136" s="394"/>
      <c r="GJ136" s="394"/>
      <c r="GK136" s="392"/>
      <c r="GL136" s="392"/>
      <c r="GM136" s="394"/>
      <c r="GO136" s="394"/>
      <c r="GP136" s="394"/>
      <c r="GQ136" s="392"/>
      <c r="GR136" s="392"/>
      <c r="GS136" s="394"/>
      <c r="GT136" s="394"/>
    </row>
    <row r="137" spans="1:202" s="390" customFormat="1" ht="14" x14ac:dyDescent="0.15">
      <c r="A137" s="2170"/>
      <c r="R137" s="393"/>
      <c r="S137" s="394"/>
      <c r="T137" s="393"/>
      <c r="U137" s="1890"/>
      <c r="V137" s="1889"/>
      <c r="W137" s="1889"/>
      <c r="X137" s="2402"/>
      <c r="Y137" s="2402"/>
      <c r="Z137" s="2402"/>
      <c r="AA137" s="2402"/>
      <c r="AB137" s="2402"/>
      <c r="AC137" s="391"/>
      <c r="AD137" s="392"/>
      <c r="AE137" s="392"/>
      <c r="AF137" s="392"/>
      <c r="AG137" s="392"/>
      <c r="AH137" s="392"/>
      <c r="AI137" s="392"/>
      <c r="AJ137" s="392"/>
      <c r="AK137" s="392"/>
      <c r="AL137" s="392"/>
      <c r="AM137" s="392"/>
      <c r="AN137" s="392"/>
      <c r="AO137" s="392"/>
      <c r="AP137" s="392"/>
      <c r="AQ137" s="392"/>
      <c r="AR137" s="392"/>
      <c r="AS137" s="392"/>
      <c r="AT137" s="392"/>
      <c r="AU137" s="392"/>
      <c r="AV137" s="392"/>
      <c r="AW137" s="392"/>
      <c r="AX137" s="392"/>
      <c r="AY137" s="392"/>
      <c r="AZ137" s="392"/>
      <c r="BA137" s="392"/>
      <c r="BB137" s="392"/>
      <c r="BC137" s="392"/>
      <c r="BD137" s="392"/>
      <c r="BG137" s="393"/>
      <c r="BH137" s="393"/>
      <c r="BI137" s="393"/>
      <c r="BJ137" s="393"/>
      <c r="BK137" s="393"/>
      <c r="BL137" s="393"/>
      <c r="BM137" s="393"/>
      <c r="BN137" s="393"/>
      <c r="BO137" s="394"/>
      <c r="BP137" s="394"/>
      <c r="BQ137" s="394"/>
      <c r="BR137" s="394"/>
      <c r="BS137" s="394"/>
      <c r="BT137" s="394"/>
      <c r="BU137" s="392"/>
      <c r="BV137" s="392"/>
      <c r="BW137" s="392"/>
      <c r="BX137" s="392"/>
      <c r="BY137" s="392"/>
      <c r="BZ137" s="392"/>
      <c r="CA137" s="392"/>
      <c r="CB137" s="392"/>
      <c r="CC137" s="392"/>
      <c r="CD137" s="392"/>
      <c r="CE137" s="392"/>
      <c r="DI137" s="392"/>
      <c r="DJ137" s="392"/>
      <c r="DK137" s="392"/>
      <c r="DL137" s="392"/>
      <c r="DM137" s="392"/>
      <c r="DN137" s="392"/>
      <c r="DO137" s="392"/>
      <c r="DQ137" s="392"/>
      <c r="DS137" s="394"/>
      <c r="DT137" s="394"/>
      <c r="DW137" s="392"/>
      <c r="DX137" s="394"/>
      <c r="DY137" s="394"/>
      <c r="EC137" s="392"/>
      <c r="ED137" s="394"/>
      <c r="EH137" s="394"/>
      <c r="EI137" s="392"/>
      <c r="EJ137" s="394"/>
      <c r="EN137" s="394"/>
      <c r="EO137" s="392"/>
      <c r="EP137" s="394"/>
      <c r="ET137" s="394"/>
      <c r="EU137" s="392"/>
      <c r="EV137" s="394"/>
      <c r="EZ137" s="394"/>
      <c r="FA137" s="392"/>
      <c r="FB137" s="394"/>
      <c r="FF137" s="394"/>
      <c r="FG137" s="392"/>
      <c r="FH137" s="394"/>
      <c r="FL137" s="394"/>
      <c r="FM137" s="392"/>
      <c r="FN137" s="394"/>
      <c r="FR137" s="394"/>
      <c r="FS137" s="392"/>
      <c r="FT137" s="394"/>
      <c r="FX137" s="394"/>
      <c r="FY137" s="392"/>
      <c r="FZ137" s="394"/>
      <c r="GD137" s="394"/>
      <c r="GE137" s="392"/>
      <c r="GF137" s="392"/>
      <c r="GG137" s="394"/>
      <c r="GJ137" s="394"/>
      <c r="GK137" s="392"/>
      <c r="GL137" s="392"/>
      <c r="GM137" s="394"/>
      <c r="GO137" s="394"/>
      <c r="GP137" s="394"/>
      <c r="GQ137" s="392"/>
      <c r="GR137" s="392"/>
      <c r="GS137" s="394"/>
      <c r="GT137" s="394"/>
    </row>
    <row r="138" spans="1:202" s="390" customFormat="1" x14ac:dyDescent="0.15">
      <c r="R138" s="393"/>
      <c r="S138" s="394"/>
      <c r="T138" s="393"/>
      <c r="U138" s="1890"/>
      <c r="V138" s="1889"/>
      <c r="W138" s="1889"/>
      <c r="X138" s="2402"/>
      <c r="Y138" s="2402"/>
      <c r="Z138" s="2403"/>
      <c r="AA138" s="2403"/>
      <c r="AB138" s="2403"/>
      <c r="AC138" s="391"/>
      <c r="AD138" s="392"/>
      <c r="AE138" s="392"/>
      <c r="AF138" s="392"/>
      <c r="AG138" s="392"/>
      <c r="AH138" s="392"/>
      <c r="AI138" s="392"/>
      <c r="AJ138" s="392"/>
      <c r="AK138" s="392"/>
      <c r="AL138" s="392"/>
      <c r="AM138" s="392"/>
      <c r="AN138" s="392"/>
      <c r="AO138" s="392"/>
      <c r="AP138" s="392"/>
      <c r="AQ138" s="392"/>
      <c r="AR138" s="392"/>
      <c r="AS138" s="392"/>
      <c r="AT138" s="392"/>
      <c r="AU138" s="392"/>
      <c r="AV138" s="392"/>
      <c r="AW138" s="392"/>
      <c r="AX138" s="392"/>
      <c r="AY138" s="392"/>
      <c r="AZ138" s="392"/>
      <c r="BA138" s="392"/>
      <c r="BB138" s="392"/>
      <c r="BC138" s="392"/>
      <c r="BD138" s="392"/>
      <c r="BG138" s="393"/>
      <c r="BH138" s="393"/>
      <c r="BI138" s="393"/>
      <c r="BJ138" s="393"/>
      <c r="BK138" s="393"/>
      <c r="BL138" s="393"/>
      <c r="BM138" s="393"/>
      <c r="BN138" s="393"/>
      <c r="BO138" s="394"/>
      <c r="BP138" s="394"/>
      <c r="BQ138" s="394"/>
      <c r="BR138" s="394"/>
      <c r="BS138" s="394"/>
      <c r="BT138" s="394"/>
      <c r="BU138" s="392"/>
      <c r="BV138" s="392"/>
      <c r="BW138" s="392"/>
      <c r="BX138" s="392"/>
      <c r="BY138" s="392"/>
      <c r="BZ138" s="392"/>
      <c r="CA138" s="392"/>
      <c r="CB138" s="392"/>
      <c r="CC138" s="392"/>
      <c r="CD138" s="392"/>
      <c r="CE138" s="392"/>
      <c r="DI138" s="392"/>
      <c r="DJ138" s="392"/>
      <c r="DK138" s="392"/>
      <c r="DL138" s="392"/>
      <c r="DM138" s="392"/>
      <c r="DN138" s="392"/>
      <c r="DO138" s="392"/>
      <c r="DQ138" s="392"/>
      <c r="DS138" s="394"/>
      <c r="DT138" s="394"/>
      <c r="DW138" s="392"/>
      <c r="DX138" s="394"/>
      <c r="DY138" s="394"/>
      <c r="EC138" s="392"/>
      <c r="ED138" s="394"/>
      <c r="EH138" s="394"/>
      <c r="EI138" s="392"/>
      <c r="EJ138" s="394"/>
      <c r="EN138" s="394"/>
      <c r="EO138" s="392"/>
      <c r="EP138" s="394"/>
      <c r="ET138" s="394"/>
      <c r="EU138" s="392"/>
      <c r="EV138" s="394"/>
      <c r="EZ138" s="394"/>
      <c r="FA138" s="392"/>
      <c r="FB138" s="394"/>
      <c r="FF138" s="394"/>
      <c r="FG138" s="392"/>
      <c r="FH138" s="394"/>
      <c r="FL138" s="394"/>
      <c r="FM138" s="392"/>
      <c r="FN138" s="394"/>
      <c r="FR138" s="394"/>
      <c r="FS138" s="392"/>
      <c r="FT138" s="394"/>
      <c r="FX138" s="394"/>
      <c r="FY138" s="392"/>
      <c r="FZ138" s="394"/>
      <c r="GD138" s="394"/>
      <c r="GE138" s="392"/>
      <c r="GF138" s="392"/>
      <c r="GG138" s="394"/>
      <c r="GJ138" s="394"/>
      <c r="GK138" s="392"/>
      <c r="GL138" s="392"/>
      <c r="GM138" s="394"/>
      <c r="GO138" s="394"/>
      <c r="GP138" s="394"/>
      <c r="GQ138" s="392"/>
      <c r="GR138" s="392"/>
      <c r="GS138" s="394"/>
      <c r="GT138" s="394"/>
    </row>
    <row r="139" spans="1:202" s="390" customFormat="1" x14ac:dyDescent="0.15">
      <c r="R139" s="393"/>
      <c r="S139" s="394"/>
      <c r="T139" s="393"/>
      <c r="U139" s="1890"/>
      <c r="V139" s="1889"/>
      <c r="W139" s="1889"/>
      <c r="X139" s="2402"/>
      <c r="Y139" s="2402"/>
      <c r="Z139" s="2402"/>
      <c r="AA139" s="2402"/>
      <c r="AB139" s="2402"/>
      <c r="AC139" s="391"/>
      <c r="AD139" s="392"/>
      <c r="AE139" s="392"/>
      <c r="AF139" s="392"/>
      <c r="AG139" s="392"/>
      <c r="AH139" s="392"/>
      <c r="AI139" s="392"/>
      <c r="AJ139" s="392"/>
      <c r="AK139" s="392"/>
      <c r="AL139" s="392"/>
      <c r="AM139" s="392"/>
      <c r="AN139" s="392"/>
      <c r="AO139" s="392"/>
      <c r="AP139" s="392"/>
      <c r="AQ139" s="392"/>
      <c r="AR139" s="392"/>
      <c r="AS139" s="392"/>
      <c r="AT139" s="392"/>
      <c r="AU139" s="392"/>
      <c r="AV139" s="392"/>
      <c r="AW139" s="392"/>
      <c r="AX139" s="392"/>
      <c r="AY139" s="392"/>
      <c r="AZ139" s="392"/>
      <c r="BA139" s="392"/>
      <c r="BB139" s="392"/>
      <c r="BC139" s="392"/>
      <c r="BD139" s="392"/>
      <c r="BG139" s="393"/>
      <c r="BH139" s="393"/>
      <c r="BI139" s="393"/>
      <c r="BJ139" s="393"/>
      <c r="BK139" s="393"/>
      <c r="BL139" s="393"/>
      <c r="BM139" s="393"/>
      <c r="BN139" s="393"/>
      <c r="BO139" s="394"/>
      <c r="BP139" s="394"/>
      <c r="BQ139" s="394"/>
      <c r="BR139" s="394"/>
      <c r="BS139" s="394"/>
      <c r="BT139" s="394"/>
      <c r="BU139" s="392"/>
      <c r="BV139" s="392"/>
      <c r="BW139" s="392"/>
      <c r="BX139" s="392"/>
      <c r="BY139" s="392"/>
      <c r="BZ139" s="392"/>
      <c r="CA139" s="392"/>
      <c r="CB139" s="392"/>
      <c r="CC139" s="392"/>
      <c r="CD139" s="392"/>
      <c r="CE139" s="392"/>
      <c r="DI139" s="392"/>
      <c r="DJ139" s="392"/>
      <c r="DK139" s="392"/>
      <c r="DL139" s="392"/>
      <c r="DM139" s="392"/>
      <c r="DN139" s="392"/>
      <c r="DO139" s="392"/>
      <c r="DQ139" s="392"/>
      <c r="DS139" s="394"/>
      <c r="DT139" s="394"/>
      <c r="DW139" s="392"/>
      <c r="DX139" s="394"/>
      <c r="DY139" s="394"/>
      <c r="EC139" s="392"/>
      <c r="ED139" s="394"/>
      <c r="EH139" s="394"/>
      <c r="EI139" s="392"/>
      <c r="EJ139" s="394"/>
      <c r="EN139" s="394"/>
      <c r="EO139" s="392"/>
      <c r="EP139" s="394"/>
      <c r="ET139" s="394"/>
      <c r="EU139" s="392"/>
      <c r="EV139" s="394"/>
      <c r="EZ139" s="394"/>
      <c r="FA139" s="392"/>
      <c r="FB139" s="394"/>
      <c r="FF139" s="394"/>
      <c r="FG139" s="392"/>
      <c r="FH139" s="394"/>
      <c r="FL139" s="394"/>
      <c r="FM139" s="392"/>
      <c r="FN139" s="394"/>
      <c r="FR139" s="394"/>
      <c r="FS139" s="392"/>
      <c r="FT139" s="394"/>
      <c r="FX139" s="394"/>
      <c r="FY139" s="392"/>
      <c r="FZ139" s="394"/>
      <c r="GD139" s="394"/>
      <c r="GE139" s="392"/>
      <c r="GF139" s="392"/>
      <c r="GG139" s="394"/>
      <c r="GJ139" s="394"/>
      <c r="GK139" s="392"/>
      <c r="GL139" s="392"/>
      <c r="GM139" s="394"/>
      <c r="GO139" s="394"/>
      <c r="GP139" s="394"/>
      <c r="GQ139" s="392"/>
      <c r="GR139" s="392"/>
      <c r="GS139" s="394"/>
      <c r="GT139" s="394"/>
    </row>
    <row r="140" spans="1:202" s="390" customFormat="1" x14ac:dyDescent="0.15">
      <c r="R140" s="393"/>
      <c r="S140" s="394"/>
      <c r="T140" s="393"/>
      <c r="U140" s="1890"/>
      <c r="V140" s="1889"/>
      <c r="W140" s="1889"/>
      <c r="X140" s="2402"/>
      <c r="Y140" s="2402"/>
      <c r="Z140" s="2402"/>
      <c r="AA140" s="2402"/>
      <c r="AB140" s="2402"/>
      <c r="AC140" s="391"/>
      <c r="AD140" s="392"/>
      <c r="AE140" s="392"/>
      <c r="AF140" s="392"/>
      <c r="AG140" s="392"/>
      <c r="AH140" s="392"/>
      <c r="AI140" s="392"/>
      <c r="AJ140" s="392"/>
      <c r="AK140" s="392"/>
      <c r="AL140" s="392"/>
      <c r="AM140" s="392"/>
      <c r="AN140" s="392"/>
      <c r="AO140" s="392"/>
      <c r="AP140" s="392"/>
      <c r="AQ140" s="392"/>
      <c r="AR140" s="392"/>
      <c r="AS140" s="392"/>
      <c r="AT140" s="392"/>
      <c r="AU140" s="392"/>
      <c r="AV140" s="392"/>
      <c r="AW140" s="392"/>
      <c r="AX140" s="392"/>
      <c r="AY140" s="392"/>
      <c r="AZ140" s="392"/>
      <c r="BA140" s="392"/>
      <c r="BB140" s="392"/>
      <c r="BC140" s="392"/>
      <c r="BD140" s="392"/>
      <c r="BG140" s="393"/>
      <c r="BH140" s="393"/>
      <c r="BI140" s="393"/>
      <c r="BJ140" s="393"/>
      <c r="BK140" s="393"/>
      <c r="BL140" s="393"/>
      <c r="BM140" s="393"/>
      <c r="BN140" s="393"/>
      <c r="BO140" s="394"/>
      <c r="BP140" s="394"/>
      <c r="BQ140" s="394"/>
      <c r="BR140" s="394"/>
      <c r="BS140" s="394"/>
      <c r="BT140" s="394"/>
      <c r="BU140" s="392"/>
      <c r="BV140" s="392"/>
      <c r="BW140" s="392"/>
      <c r="BX140" s="392"/>
      <c r="BY140" s="392"/>
      <c r="BZ140" s="392"/>
      <c r="CA140" s="392"/>
      <c r="CB140" s="392"/>
      <c r="CC140" s="392"/>
      <c r="CD140" s="392"/>
      <c r="CE140" s="392"/>
      <c r="DI140" s="392"/>
      <c r="DJ140" s="392"/>
      <c r="DK140" s="392"/>
      <c r="DL140" s="392"/>
      <c r="DM140" s="392"/>
      <c r="DN140" s="392"/>
      <c r="DO140" s="392"/>
      <c r="DQ140" s="392"/>
      <c r="DS140" s="394"/>
      <c r="DT140" s="394"/>
      <c r="DW140" s="392"/>
      <c r="DX140" s="394"/>
      <c r="DY140" s="394"/>
      <c r="EC140" s="392"/>
      <c r="ED140" s="394"/>
      <c r="EH140" s="394"/>
      <c r="EI140" s="392"/>
      <c r="EJ140" s="394"/>
      <c r="EN140" s="394"/>
      <c r="EO140" s="392"/>
      <c r="EP140" s="394"/>
      <c r="ET140" s="394"/>
      <c r="EU140" s="392"/>
      <c r="EV140" s="394"/>
      <c r="EZ140" s="394"/>
      <c r="FA140" s="392"/>
      <c r="FB140" s="394"/>
      <c r="FF140" s="394"/>
      <c r="FG140" s="392"/>
      <c r="FH140" s="394"/>
      <c r="FL140" s="394"/>
      <c r="FM140" s="392"/>
      <c r="FN140" s="394"/>
      <c r="FR140" s="394"/>
      <c r="FS140" s="392"/>
      <c r="FT140" s="394"/>
      <c r="FX140" s="394"/>
      <c r="FY140" s="392"/>
      <c r="FZ140" s="394"/>
      <c r="GD140" s="394"/>
      <c r="GE140" s="392"/>
      <c r="GF140" s="392"/>
      <c r="GG140" s="394"/>
      <c r="GJ140" s="394"/>
      <c r="GK140" s="392"/>
      <c r="GL140" s="392"/>
      <c r="GM140" s="394"/>
      <c r="GO140" s="394"/>
      <c r="GP140" s="394"/>
      <c r="GQ140" s="392"/>
      <c r="GR140" s="392"/>
      <c r="GS140" s="394"/>
      <c r="GT140" s="394"/>
    </row>
    <row r="141" spans="1:202" s="390" customFormat="1" x14ac:dyDescent="0.15">
      <c r="R141" s="393"/>
      <c r="S141" s="394"/>
      <c r="T141" s="393"/>
      <c r="U141" s="1890"/>
      <c r="V141" s="1889"/>
      <c r="W141" s="1889"/>
      <c r="X141" s="2402"/>
      <c r="Y141" s="2402"/>
      <c r="Z141" s="2402"/>
      <c r="AA141" s="2402"/>
      <c r="AB141" s="2402"/>
      <c r="AC141" s="391"/>
      <c r="AD141" s="392"/>
      <c r="AE141" s="392"/>
      <c r="AF141" s="392"/>
      <c r="AG141" s="392"/>
      <c r="AH141" s="392"/>
      <c r="AI141" s="392"/>
      <c r="AJ141" s="392"/>
      <c r="AK141" s="392"/>
      <c r="AL141" s="392"/>
      <c r="AM141" s="392"/>
      <c r="AN141" s="392"/>
      <c r="AO141" s="392"/>
      <c r="AP141" s="392"/>
      <c r="AQ141" s="392"/>
      <c r="AR141" s="392"/>
      <c r="AS141" s="392"/>
      <c r="AT141" s="392"/>
      <c r="AU141" s="392"/>
      <c r="AV141" s="392"/>
      <c r="AW141" s="392"/>
      <c r="AX141" s="392"/>
      <c r="AY141" s="392"/>
      <c r="AZ141" s="392"/>
      <c r="BA141" s="392"/>
      <c r="BB141" s="392"/>
      <c r="BC141" s="392"/>
      <c r="BD141" s="392"/>
      <c r="BG141" s="393"/>
      <c r="BH141" s="393"/>
      <c r="BI141" s="393"/>
      <c r="BJ141" s="393"/>
      <c r="BK141" s="393"/>
      <c r="BL141" s="393"/>
      <c r="BM141" s="393"/>
      <c r="BN141" s="393"/>
      <c r="BO141" s="394"/>
      <c r="BP141" s="394"/>
      <c r="BQ141" s="394"/>
      <c r="BR141" s="394"/>
      <c r="BS141" s="394"/>
      <c r="BT141" s="394"/>
      <c r="BU141" s="392"/>
      <c r="BV141" s="392"/>
      <c r="BW141" s="392"/>
      <c r="BX141" s="392"/>
      <c r="BY141" s="392"/>
      <c r="BZ141" s="392"/>
      <c r="CA141" s="392"/>
      <c r="CB141" s="392"/>
      <c r="CC141" s="392"/>
      <c r="CD141" s="392"/>
      <c r="CE141" s="392"/>
      <c r="DI141" s="392"/>
      <c r="DJ141" s="392"/>
      <c r="DK141" s="392"/>
      <c r="DL141" s="392"/>
      <c r="DM141" s="392"/>
      <c r="DN141" s="392"/>
      <c r="DO141" s="392"/>
      <c r="DQ141" s="392"/>
      <c r="DS141" s="394"/>
      <c r="DT141" s="394"/>
      <c r="DW141" s="392"/>
      <c r="DX141" s="394"/>
      <c r="DY141" s="394"/>
      <c r="EC141" s="392"/>
      <c r="ED141" s="394"/>
      <c r="EH141" s="394"/>
      <c r="EI141" s="392"/>
      <c r="EJ141" s="394"/>
      <c r="EN141" s="394"/>
      <c r="EO141" s="392"/>
      <c r="EP141" s="394"/>
      <c r="ET141" s="394"/>
      <c r="EU141" s="392"/>
      <c r="EV141" s="394"/>
      <c r="EZ141" s="394"/>
      <c r="FA141" s="392"/>
      <c r="FB141" s="394"/>
      <c r="FF141" s="394"/>
      <c r="FG141" s="392"/>
      <c r="FH141" s="394"/>
      <c r="FL141" s="394"/>
      <c r="FM141" s="392"/>
      <c r="FN141" s="394"/>
      <c r="FR141" s="394"/>
      <c r="FS141" s="392"/>
      <c r="FT141" s="394"/>
      <c r="FX141" s="394"/>
      <c r="FY141" s="392"/>
      <c r="FZ141" s="394"/>
      <c r="GD141" s="394"/>
      <c r="GE141" s="392"/>
      <c r="GF141" s="392"/>
      <c r="GG141" s="394"/>
      <c r="GJ141" s="394"/>
      <c r="GK141" s="392"/>
      <c r="GL141" s="392"/>
      <c r="GM141" s="394"/>
      <c r="GO141" s="394"/>
      <c r="GP141" s="394"/>
      <c r="GQ141" s="392"/>
      <c r="GR141" s="392"/>
      <c r="GS141" s="394"/>
      <c r="GT141" s="394"/>
    </row>
    <row r="142" spans="1:202" s="390" customFormat="1" x14ac:dyDescent="0.15">
      <c r="R142" s="393"/>
      <c r="S142" s="394"/>
      <c r="T142" s="393"/>
      <c r="U142" s="320"/>
      <c r="V142" s="320"/>
      <c r="W142" s="1889"/>
      <c r="X142" s="2402"/>
      <c r="Y142" s="2402"/>
      <c r="Z142" s="2402"/>
      <c r="AA142" s="2402"/>
      <c r="AB142" s="2402"/>
      <c r="AC142" s="391"/>
      <c r="AD142" s="392"/>
      <c r="AE142" s="392"/>
      <c r="AF142" s="392"/>
      <c r="AG142" s="392"/>
      <c r="AH142" s="392"/>
      <c r="AI142" s="392"/>
      <c r="AJ142" s="392"/>
      <c r="AK142" s="392"/>
      <c r="AL142" s="392"/>
      <c r="AM142" s="392"/>
      <c r="AN142" s="392"/>
      <c r="AO142" s="392"/>
      <c r="AP142" s="392"/>
      <c r="AQ142" s="392"/>
      <c r="AR142" s="392"/>
      <c r="AS142" s="392"/>
      <c r="AT142" s="392"/>
      <c r="AU142" s="392"/>
      <c r="AV142" s="392"/>
      <c r="AW142" s="392"/>
      <c r="AX142" s="392"/>
      <c r="AY142" s="392"/>
      <c r="AZ142" s="392"/>
      <c r="BA142" s="392"/>
      <c r="BB142" s="392"/>
      <c r="BC142" s="392"/>
      <c r="BD142" s="392"/>
      <c r="BG142" s="393"/>
      <c r="BH142" s="393"/>
      <c r="BI142" s="393"/>
      <c r="BJ142" s="393"/>
      <c r="BK142" s="393"/>
      <c r="BL142" s="393"/>
      <c r="BM142" s="393"/>
      <c r="BN142" s="393"/>
      <c r="BO142" s="394"/>
      <c r="BP142" s="394"/>
      <c r="BQ142" s="394"/>
      <c r="BR142" s="394"/>
      <c r="BS142" s="394"/>
      <c r="BT142" s="394"/>
      <c r="BU142" s="392"/>
      <c r="BV142" s="392"/>
      <c r="BW142" s="392"/>
      <c r="BX142" s="392"/>
      <c r="BY142" s="392"/>
      <c r="BZ142" s="392"/>
      <c r="CA142" s="392"/>
      <c r="CB142" s="392"/>
      <c r="CC142" s="392"/>
      <c r="CD142" s="392"/>
      <c r="CE142" s="392"/>
      <c r="DI142" s="392"/>
      <c r="DJ142" s="392"/>
      <c r="DK142" s="392"/>
      <c r="DL142" s="392"/>
      <c r="DM142" s="392"/>
      <c r="DN142" s="392"/>
      <c r="DO142" s="392"/>
      <c r="DQ142" s="392"/>
      <c r="DS142" s="394"/>
      <c r="DT142" s="394"/>
      <c r="DW142" s="392"/>
      <c r="DX142" s="394"/>
      <c r="DY142" s="394"/>
      <c r="EC142" s="392"/>
      <c r="ED142" s="394"/>
      <c r="EH142" s="394"/>
      <c r="EI142" s="392"/>
      <c r="EJ142" s="394"/>
      <c r="EN142" s="394"/>
      <c r="EO142" s="392"/>
      <c r="EP142" s="394"/>
      <c r="ET142" s="394"/>
      <c r="EU142" s="392"/>
      <c r="EV142" s="394"/>
      <c r="EZ142" s="394"/>
      <c r="FA142" s="392"/>
      <c r="FB142" s="394"/>
      <c r="FF142" s="394"/>
      <c r="FG142" s="392"/>
      <c r="FH142" s="394"/>
      <c r="FL142" s="394"/>
      <c r="FM142" s="392"/>
      <c r="FN142" s="394"/>
      <c r="FR142" s="394"/>
      <c r="FS142" s="392"/>
      <c r="FT142" s="394"/>
      <c r="FX142" s="394"/>
      <c r="FY142" s="392"/>
      <c r="FZ142" s="394"/>
      <c r="GD142" s="394"/>
      <c r="GE142" s="392"/>
      <c r="GF142" s="392"/>
      <c r="GG142" s="394"/>
      <c r="GJ142" s="394"/>
      <c r="GK142" s="392"/>
      <c r="GL142" s="392"/>
      <c r="GM142" s="394"/>
      <c r="GO142" s="394"/>
      <c r="GP142" s="394"/>
      <c r="GQ142" s="392"/>
      <c r="GR142" s="392"/>
      <c r="GS142" s="394"/>
      <c r="GT142" s="394"/>
    </row>
    <row r="143" spans="1:202" s="390" customFormat="1" x14ac:dyDescent="0.15">
      <c r="R143" s="393"/>
      <c r="S143" s="394"/>
      <c r="T143" s="393"/>
      <c r="U143" s="320"/>
      <c r="V143" s="320"/>
      <c r="W143" s="1889"/>
      <c r="X143" s="2402"/>
      <c r="Y143" s="2402"/>
      <c r="Z143" s="2402"/>
      <c r="AA143" s="2402"/>
      <c r="AB143" s="2402"/>
      <c r="AC143" s="391"/>
      <c r="AD143" s="392"/>
      <c r="AE143" s="392"/>
      <c r="AF143" s="392"/>
      <c r="AG143" s="392"/>
      <c r="AH143" s="392"/>
      <c r="AI143" s="392"/>
      <c r="AJ143" s="392"/>
      <c r="AK143" s="392"/>
      <c r="AL143" s="392"/>
      <c r="AM143" s="392"/>
      <c r="AN143" s="392"/>
      <c r="AO143" s="392"/>
      <c r="AP143" s="392"/>
      <c r="AQ143" s="392"/>
      <c r="AR143" s="392"/>
      <c r="AS143" s="392"/>
      <c r="AT143" s="392"/>
      <c r="AU143" s="392"/>
      <c r="AV143" s="392"/>
      <c r="AW143" s="392"/>
      <c r="AX143" s="392"/>
      <c r="AY143" s="392"/>
      <c r="AZ143" s="392"/>
      <c r="BA143" s="392"/>
      <c r="BB143" s="392"/>
      <c r="BC143" s="392"/>
      <c r="BD143" s="392"/>
      <c r="BG143" s="393"/>
      <c r="BH143" s="393"/>
      <c r="BI143" s="393"/>
      <c r="BJ143" s="393"/>
      <c r="BK143" s="393"/>
      <c r="BL143" s="393"/>
      <c r="BM143" s="393"/>
      <c r="BN143" s="393"/>
      <c r="BO143" s="394"/>
      <c r="BP143" s="394"/>
      <c r="BQ143" s="394"/>
      <c r="BR143" s="394"/>
      <c r="BS143" s="394"/>
      <c r="BT143" s="394"/>
      <c r="BU143" s="392"/>
      <c r="BV143" s="392"/>
      <c r="BW143" s="392"/>
      <c r="BX143" s="392"/>
      <c r="BY143" s="392"/>
      <c r="BZ143" s="392"/>
      <c r="CA143" s="392"/>
      <c r="CB143" s="392"/>
      <c r="CC143" s="392"/>
      <c r="CD143" s="392"/>
      <c r="CE143" s="392"/>
      <c r="DI143" s="392"/>
      <c r="DJ143" s="392"/>
      <c r="DK143" s="392"/>
      <c r="DL143" s="392"/>
      <c r="DM143" s="392"/>
      <c r="DN143" s="392"/>
      <c r="DO143" s="392"/>
      <c r="DQ143" s="392"/>
      <c r="DS143" s="394"/>
      <c r="DT143" s="394"/>
      <c r="DW143" s="392"/>
      <c r="DX143" s="394"/>
      <c r="DY143" s="394"/>
      <c r="EC143" s="392"/>
      <c r="ED143" s="394"/>
      <c r="EH143" s="394"/>
      <c r="EI143" s="392"/>
      <c r="EJ143" s="394"/>
      <c r="EN143" s="394"/>
      <c r="EO143" s="392"/>
      <c r="EP143" s="394"/>
      <c r="ET143" s="394"/>
      <c r="EU143" s="392"/>
      <c r="EV143" s="394"/>
      <c r="EZ143" s="394"/>
      <c r="FA143" s="392"/>
      <c r="FB143" s="394"/>
      <c r="FF143" s="394"/>
      <c r="FG143" s="392"/>
      <c r="FH143" s="394"/>
      <c r="FL143" s="394"/>
      <c r="FM143" s="392"/>
      <c r="FN143" s="394"/>
      <c r="FR143" s="394"/>
      <c r="FS143" s="392"/>
      <c r="FT143" s="394"/>
      <c r="FX143" s="394"/>
      <c r="FY143" s="392"/>
      <c r="FZ143" s="394"/>
      <c r="GD143" s="394"/>
      <c r="GE143" s="392"/>
      <c r="GF143" s="392"/>
      <c r="GG143" s="394"/>
      <c r="GJ143" s="394"/>
      <c r="GK143" s="392"/>
      <c r="GL143" s="392"/>
      <c r="GM143" s="394"/>
      <c r="GO143" s="394"/>
      <c r="GP143" s="394"/>
      <c r="GQ143" s="392"/>
      <c r="GR143" s="392"/>
      <c r="GS143" s="394"/>
      <c r="GT143" s="394"/>
    </row>
    <row r="144" spans="1:202" s="390" customFormat="1" x14ac:dyDescent="0.15">
      <c r="R144" s="393"/>
      <c r="S144" s="394"/>
      <c r="T144" s="393"/>
      <c r="U144" s="587"/>
      <c r="V144" s="587"/>
      <c r="W144" s="1889"/>
      <c r="X144" s="2403"/>
      <c r="Y144" s="2403"/>
      <c r="Z144" s="2403"/>
      <c r="AA144" s="2403"/>
      <c r="AB144" s="2403"/>
      <c r="AC144" s="391"/>
      <c r="AD144" s="392"/>
      <c r="AE144" s="392"/>
      <c r="AF144" s="392"/>
      <c r="AG144" s="392"/>
      <c r="AH144" s="392"/>
      <c r="AI144" s="392"/>
      <c r="AJ144" s="392"/>
      <c r="AK144" s="392"/>
      <c r="AL144" s="392"/>
      <c r="AM144" s="392"/>
      <c r="AN144" s="392"/>
      <c r="AO144" s="392"/>
      <c r="AP144" s="392"/>
      <c r="AQ144" s="392"/>
      <c r="AR144" s="392"/>
      <c r="AS144" s="392"/>
      <c r="AT144" s="392"/>
      <c r="AU144" s="392"/>
      <c r="AV144" s="392"/>
      <c r="AW144" s="392"/>
      <c r="AX144" s="392"/>
      <c r="AY144" s="392"/>
      <c r="AZ144" s="392"/>
      <c r="BA144" s="392"/>
      <c r="BB144" s="392"/>
      <c r="BC144" s="392"/>
      <c r="BD144" s="392"/>
      <c r="BG144" s="393"/>
      <c r="BH144" s="393"/>
      <c r="BI144" s="393"/>
      <c r="BJ144" s="393"/>
      <c r="BK144" s="393"/>
      <c r="BL144" s="393"/>
      <c r="BM144" s="393"/>
      <c r="BN144" s="393"/>
      <c r="BO144" s="394"/>
      <c r="BP144" s="394"/>
      <c r="BQ144" s="394"/>
      <c r="BR144" s="394"/>
      <c r="BS144" s="394"/>
      <c r="BT144" s="394"/>
      <c r="BU144" s="392"/>
      <c r="BV144" s="392"/>
      <c r="BW144" s="392"/>
      <c r="BX144" s="392"/>
      <c r="BY144" s="392"/>
      <c r="BZ144" s="392"/>
      <c r="CA144" s="392"/>
      <c r="CB144" s="392"/>
      <c r="CC144" s="392"/>
      <c r="CD144" s="392"/>
      <c r="CE144" s="392"/>
      <c r="DI144" s="392"/>
      <c r="DJ144" s="392"/>
      <c r="DK144" s="392"/>
      <c r="DL144" s="392"/>
      <c r="DM144" s="392"/>
      <c r="DN144" s="392"/>
      <c r="DO144" s="392"/>
      <c r="DQ144" s="392"/>
      <c r="DS144" s="394"/>
      <c r="DT144" s="394"/>
      <c r="DW144" s="392"/>
      <c r="DX144" s="394"/>
      <c r="DY144" s="394"/>
      <c r="EC144" s="392"/>
      <c r="ED144" s="394"/>
      <c r="EH144" s="394"/>
      <c r="EI144" s="392"/>
      <c r="EJ144" s="394"/>
      <c r="EN144" s="394"/>
      <c r="EO144" s="392"/>
      <c r="EP144" s="394"/>
      <c r="ET144" s="394"/>
      <c r="EU144" s="392"/>
      <c r="EV144" s="394"/>
      <c r="EZ144" s="394"/>
      <c r="FA144" s="392"/>
      <c r="FB144" s="394"/>
      <c r="FF144" s="394"/>
      <c r="FG144" s="392"/>
      <c r="FH144" s="394"/>
      <c r="FL144" s="394"/>
      <c r="FM144" s="392"/>
      <c r="FN144" s="394"/>
      <c r="FR144" s="394"/>
      <c r="FS144" s="392"/>
      <c r="FT144" s="394"/>
      <c r="FX144" s="394"/>
      <c r="FY144" s="392"/>
      <c r="FZ144" s="394"/>
      <c r="GD144" s="394"/>
      <c r="GE144" s="392"/>
      <c r="GF144" s="392"/>
      <c r="GG144" s="394"/>
      <c r="GJ144" s="394"/>
      <c r="GK144" s="392"/>
      <c r="GL144" s="392"/>
      <c r="GM144" s="394"/>
      <c r="GO144" s="394"/>
      <c r="GP144" s="394"/>
      <c r="GQ144" s="392"/>
      <c r="GR144" s="392"/>
      <c r="GS144" s="394"/>
      <c r="GT144" s="394"/>
    </row>
    <row r="145" spans="3:202" s="390" customFormat="1" x14ac:dyDescent="0.15">
      <c r="C145" s="587"/>
      <c r="D145" s="587"/>
      <c r="E145" s="587"/>
      <c r="F145" s="587"/>
      <c r="G145" s="587"/>
      <c r="H145" s="587"/>
      <c r="I145" s="587"/>
      <c r="J145" s="587"/>
      <c r="K145" s="392"/>
      <c r="L145" s="392"/>
      <c r="M145" s="392"/>
      <c r="N145" s="392"/>
      <c r="O145" s="392"/>
      <c r="P145" s="392"/>
      <c r="Q145" s="392"/>
      <c r="R145" s="393"/>
      <c r="S145" s="394"/>
      <c r="T145" s="393"/>
      <c r="U145" s="393"/>
      <c r="V145" s="394"/>
      <c r="W145" s="394"/>
      <c r="X145" s="394"/>
      <c r="Y145" s="394"/>
      <c r="Z145" s="394"/>
      <c r="AA145" s="394"/>
      <c r="AB145" s="394"/>
      <c r="AC145" s="391"/>
      <c r="AD145" s="392"/>
      <c r="AE145" s="392"/>
      <c r="AF145" s="392"/>
      <c r="AG145" s="392"/>
      <c r="AH145" s="392"/>
      <c r="AI145" s="392"/>
      <c r="AJ145" s="392"/>
      <c r="AK145" s="392"/>
      <c r="AL145" s="392"/>
      <c r="AM145" s="392"/>
      <c r="AN145" s="392"/>
      <c r="AO145" s="392"/>
      <c r="AP145" s="392"/>
      <c r="AQ145" s="392"/>
      <c r="AR145" s="392"/>
      <c r="AS145" s="392"/>
      <c r="AT145" s="392"/>
      <c r="AU145" s="392"/>
      <c r="AV145" s="392"/>
      <c r="AW145" s="392"/>
      <c r="AX145" s="392"/>
      <c r="AY145" s="392"/>
      <c r="AZ145" s="392"/>
      <c r="BA145" s="392"/>
      <c r="BB145" s="392"/>
      <c r="BC145" s="392"/>
      <c r="BD145" s="392"/>
      <c r="BG145" s="393"/>
      <c r="BH145" s="393"/>
      <c r="BI145" s="393"/>
      <c r="BJ145" s="393"/>
      <c r="BK145" s="393"/>
      <c r="BL145" s="393"/>
      <c r="BM145" s="393"/>
      <c r="BN145" s="393"/>
      <c r="BO145" s="394"/>
      <c r="BP145" s="394"/>
      <c r="BQ145" s="394"/>
      <c r="BR145" s="394"/>
      <c r="BS145" s="394"/>
      <c r="BT145" s="394"/>
      <c r="BU145" s="392"/>
      <c r="BV145" s="392"/>
      <c r="BW145" s="392"/>
      <c r="BX145" s="392"/>
      <c r="BY145" s="392"/>
      <c r="BZ145" s="392"/>
      <c r="CA145" s="392"/>
      <c r="CB145" s="392"/>
      <c r="CC145" s="392"/>
      <c r="CD145" s="392"/>
      <c r="CE145" s="392"/>
      <c r="DI145" s="392"/>
      <c r="DJ145" s="392"/>
      <c r="DK145" s="392"/>
      <c r="DL145" s="392"/>
      <c r="DM145" s="392"/>
      <c r="DN145" s="392"/>
      <c r="DO145" s="392"/>
      <c r="DQ145" s="392"/>
      <c r="DS145" s="394"/>
      <c r="DT145" s="394"/>
      <c r="DW145" s="392"/>
      <c r="DX145" s="394"/>
      <c r="DY145" s="394"/>
      <c r="EC145" s="392"/>
      <c r="ED145" s="394"/>
      <c r="EH145" s="394"/>
      <c r="EI145" s="392"/>
      <c r="EJ145" s="394"/>
      <c r="EN145" s="394"/>
      <c r="EO145" s="392"/>
      <c r="EP145" s="394"/>
      <c r="ET145" s="394"/>
      <c r="EU145" s="392"/>
      <c r="EV145" s="394"/>
      <c r="EZ145" s="394"/>
      <c r="FA145" s="392"/>
      <c r="FB145" s="394"/>
      <c r="FF145" s="394"/>
      <c r="FG145" s="392"/>
      <c r="FH145" s="394"/>
      <c r="FL145" s="394"/>
      <c r="FM145" s="392"/>
      <c r="FN145" s="394"/>
      <c r="FR145" s="394"/>
      <c r="FS145" s="392"/>
      <c r="FT145" s="394"/>
      <c r="FX145" s="394"/>
      <c r="FY145" s="392"/>
      <c r="FZ145" s="394"/>
      <c r="GD145" s="394"/>
      <c r="GE145" s="392"/>
      <c r="GF145" s="392"/>
      <c r="GG145" s="394"/>
      <c r="GJ145" s="394"/>
      <c r="GK145" s="392"/>
      <c r="GL145" s="392"/>
      <c r="GM145" s="394"/>
      <c r="GO145" s="394"/>
      <c r="GP145" s="394"/>
      <c r="GQ145" s="392"/>
      <c r="GR145" s="392"/>
      <c r="GS145" s="394"/>
      <c r="GT145" s="394"/>
    </row>
    <row r="146" spans="3:202" s="390" customFormat="1" x14ac:dyDescent="0.15">
      <c r="C146" s="587"/>
      <c r="D146" s="587"/>
      <c r="E146" s="587"/>
      <c r="F146" s="587"/>
      <c r="G146" s="587"/>
      <c r="H146" s="587"/>
      <c r="I146" s="587"/>
      <c r="J146" s="587"/>
      <c r="K146" s="392"/>
      <c r="L146" s="392"/>
      <c r="M146" s="392"/>
      <c r="N146" s="392"/>
      <c r="O146" s="392"/>
      <c r="P146" s="392"/>
      <c r="Q146" s="392"/>
      <c r="R146" s="393"/>
      <c r="S146" s="394"/>
      <c r="T146" s="393"/>
      <c r="U146" s="393"/>
      <c r="V146" s="394"/>
      <c r="W146" s="394"/>
      <c r="X146" s="394"/>
      <c r="Y146" s="394"/>
      <c r="Z146" s="394"/>
      <c r="AA146" s="394"/>
      <c r="AB146" s="394"/>
      <c r="AC146" s="391"/>
      <c r="AD146" s="392"/>
      <c r="AE146" s="392"/>
      <c r="AF146" s="392"/>
      <c r="AG146" s="392"/>
      <c r="AH146" s="392"/>
      <c r="AI146" s="392"/>
      <c r="AJ146" s="392"/>
      <c r="AK146" s="392"/>
      <c r="AL146" s="392"/>
      <c r="AM146" s="392"/>
      <c r="AN146" s="392"/>
      <c r="AO146" s="392"/>
      <c r="AP146" s="392"/>
      <c r="AQ146" s="392"/>
      <c r="AR146" s="392"/>
      <c r="AS146" s="392"/>
      <c r="AT146" s="392"/>
      <c r="AU146" s="392"/>
      <c r="AV146" s="392"/>
      <c r="AW146" s="392"/>
      <c r="AX146" s="392"/>
      <c r="AY146" s="392"/>
      <c r="AZ146" s="392"/>
      <c r="BA146" s="392"/>
      <c r="BB146" s="392"/>
      <c r="BC146" s="392"/>
      <c r="BD146" s="392"/>
      <c r="BG146" s="393"/>
      <c r="BH146" s="393"/>
      <c r="BI146" s="393"/>
      <c r="BJ146" s="393"/>
      <c r="BK146" s="393"/>
      <c r="BL146" s="393"/>
      <c r="BM146" s="393"/>
      <c r="BN146" s="393"/>
      <c r="BO146" s="394"/>
      <c r="BP146" s="394"/>
      <c r="BQ146" s="394"/>
      <c r="BR146" s="394"/>
      <c r="BS146" s="394"/>
      <c r="BT146" s="394"/>
      <c r="BU146" s="392"/>
      <c r="BV146" s="392"/>
      <c r="BW146" s="392"/>
      <c r="BX146" s="392"/>
      <c r="BY146" s="392"/>
      <c r="BZ146" s="392"/>
      <c r="CA146" s="392"/>
      <c r="CB146" s="392"/>
      <c r="CC146" s="392"/>
      <c r="CD146" s="392"/>
      <c r="CE146" s="392"/>
      <c r="DI146" s="392"/>
      <c r="DJ146" s="392"/>
      <c r="DK146" s="392"/>
      <c r="DL146" s="392"/>
      <c r="DM146" s="392"/>
      <c r="DN146" s="392"/>
      <c r="DO146" s="392"/>
      <c r="DQ146" s="392"/>
      <c r="DS146" s="394"/>
      <c r="DT146" s="394"/>
      <c r="DW146" s="392"/>
      <c r="DX146" s="394"/>
      <c r="DY146" s="394"/>
      <c r="EC146" s="392"/>
      <c r="ED146" s="394"/>
      <c r="EH146" s="394"/>
      <c r="EI146" s="392"/>
      <c r="EJ146" s="394"/>
      <c r="EN146" s="394"/>
      <c r="EO146" s="392"/>
      <c r="EP146" s="394"/>
      <c r="ET146" s="394"/>
      <c r="EU146" s="392"/>
      <c r="EV146" s="394"/>
      <c r="EZ146" s="394"/>
      <c r="FA146" s="392"/>
      <c r="FB146" s="394"/>
      <c r="FF146" s="394"/>
      <c r="FG146" s="392"/>
      <c r="FH146" s="394"/>
      <c r="FL146" s="394"/>
      <c r="FM146" s="392"/>
      <c r="FN146" s="394"/>
      <c r="FR146" s="394"/>
      <c r="FS146" s="392"/>
      <c r="FT146" s="394"/>
      <c r="FX146" s="394"/>
      <c r="FY146" s="392"/>
      <c r="FZ146" s="394"/>
      <c r="GD146" s="394"/>
      <c r="GE146" s="392"/>
      <c r="GF146" s="392"/>
      <c r="GG146" s="394"/>
      <c r="GJ146" s="394"/>
      <c r="GK146" s="392"/>
      <c r="GL146" s="392"/>
      <c r="GM146" s="394"/>
      <c r="GO146" s="394"/>
      <c r="GP146" s="394"/>
      <c r="GQ146" s="392"/>
      <c r="GR146" s="392"/>
      <c r="GS146" s="394"/>
      <c r="GT146" s="394"/>
    </row>
    <row r="147" spans="3:202" s="390" customFormat="1" x14ac:dyDescent="0.15">
      <c r="H147" s="23"/>
      <c r="I147" s="391"/>
      <c r="J147" s="392"/>
      <c r="K147" s="392"/>
      <c r="L147" s="392"/>
      <c r="M147" s="392"/>
      <c r="N147" s="392"/>
      <c r="O147" s="392"/>
      <c r="P147" s="392"/>
      <c r="Q147" s="392"/>
      <c r="R147" s="393"/>
      <c r="S147" s="394"/>
      <c r="T147" s="393"/>
      <c r="U147" s="393"/>
      <c r="V147" s="394"/>
      <c r="W147" s="394"/>
      <c r="X147" s="394"/>
      <c r="Y147" s="394"/>
      <c r="Z147" s="394"/>
      <c r="AA147" s="394"/>
      <c r="AB147" s="394"/>
      <c r="AC147" s="391"/>
      <c r="AD147" s="392"/>
      <c r="AE147" s="392"/>
      <c r="AF147" s="392"/>
      <c r="AG147" s="392"/>
      <c r="AH147" s="392"/>
      <c r="AI147" s="392"/>
      <c r="AJ147" s="392"/>
      <c r="AK147" s="392"/>
      <c r="AL147" s="392"/>
      <c r="AM147" s="392"/>
      <c r="AN147" s="392"/>
      <c r="AO147" s="392"/>
      <c r="AP147" s="392"/>
      <c r="AQ147" s="392"/>
      <c r="AR147" s="392"/>
      <c r="AS147" s="392"/>
      <c r="AT147" s="392"/>
      <c r="AU147" s="392"/>
      <c r="AV147" s="392"/>
      <c r="AW147" s="392"/>
      <c r="AX147" s="392"/>
      <c r="AY147" s="392"/>
      <c r="AZ147" s="392"/>
      <c r="BA147" s="392"/>
      <c r="BB147" s="392"/>
      <c r="BC147" s="392"/>
      <c r="BD147" s="392"/>
      <c r="BG147" s="393"/>
      <c r="BH147" s="393"/>
      <c r="BI147" s="393"/>
      <c r="BJ147" s="393"/>
      <c r="BK147" s="393"/>
      <c r="BL147" s="393"/>
      <c r="BM147" s="393"/>
      <c r="BN147" s="393"/>
      <c r="BO147" s="394"/>
      <c r="BP147" s="394"/>
      <c r="BQ147" s="394"/>
      <c r="BR147" s="394"/>
      <c r="BS147" s="394"/>
      <c r="BT147" s="394"/>
      <c r="BU147" s="392"/>
      <c r="BV147" s="392"/>
      <c r="BW147" s="392"/>
      <c r="BX147" s="392"/>
      <c r="BY147" s="392"/>
      <c r="BZ147" s="392"/>
      <c r="CA147" s="392"/>
      <c r="CB147" s="392"/>
      <c r="CC147" s="392"/>
      <c r="CD147" s="392"/>
      <c r="CE147" s="392"/>
      <c r="DI147" s="392"/>
      <c r="DJ147" s="392"/>
      <c r="DK147" s="392"/>
      <c r="DL147" s="392"/>
      <c r="DM147" s="392"/>
      <c r="DN147" s="392"/>
      <c r="DO147" s="392"/>
      <c r="DQ147" s="392"/>
      <c r="DS147" s="394"/>
      <c r="DT147" s="394"/>
      <c r="DW147" s="392"/>
      <c r="DX147" s="394"/>
      <c r="DY147" s="394"/>
      <c r="EC147" s="392"/>
      <c r="ED147" s="394"/>
      <c r="EH147" s="394"/>
      <c r="EI147" s="392"/>
      <c r="EJ147" s="394"/>
      <c r="EN147" s="394"/>
      <c r="EO147" s="392"/>
      <c r="EP147" s="394"/>
      <c r="ET147" s="394"/>
      <c r="EU147" s="392"/>
      <c r="EV147" s="394"/>
      <c r="EZ147" s="394"/>
      <c r="FA147" s="392"/>
      <c r="FB147" s="394"/>
      <c r="FF147" s="394"/>
      <c r="FG147" s="392"/>
      <c r="FH147" s="394"/>
      <c r="FL147" s="394"/>
      <c r="FM147" s="392"/>
      <c r="FN147" s="394"/>
      <c r="FR147" s="394"/>
      <c r="FS147" s="392"/>
      <c r="FT147" s="394"/>
      <c r="FX147" s="394"/>
      <c r="FY147" s="392"/>
      <c r="FZ147" s="394"/>
      <c r="GD147" s="394"/>
      <c r="GE147" s="392"/>
      <c r="GF147" s="392"/>
      <c r="GG147" s="394"/>
      <c r="GJ147" s="394"/>
      <c r="GK147" s="392"/>
      <c r="GL147" s="392"/>
      <c r="GM147" s="394"/>
      <c r="GO147" s="394"/>
      <c r="GP147" s="394"/>
      <c r="GQ147" s="392"/>
      <c r="GR147" s="392"/>
      <c r="GS147" s="394"/>
      <c r="GT147" s="394"/>
    </row>
    <row r="148" spans="3:202" s="390" customFormat="1" x14ac:dyDescent="0.15">
      <c r="H148" s="23"/>
      <c r="I148" s="391"/>
      <c r="J148" s="392"/>
      <c r="K148" s="392"/>
      <c r="L148" s="392"/>
      <c r="M148" s="392"/>
      <c r="N148" s="392"/>
      <c r="O148" s="392"/>
      <c r="P148" s="392"/>
      <c r="Q148" s="392"/>
      <c r="R148" s="393"/>
      <c r="S148" s="394"/>
      <c r="T148" s="393"/>
      <c r="U148" s="393"/>
      <c r="V148" s="394"/>
      <c r="W148" s="394"/>
      <c r="X148" s="394"/>
      <c r="Y148" s="394"/>
      <c r="Z148" s="394"/>
      <c r="AA148" s="394"/>
      <c r="AB148" s="394"/>
      <c r="AC148" s="391"/>
      <c r="AD148" s="392"/>
      <c r="AE148" s="392"/>
      <c r="AF148" s="392"/>
      <c r="AG148" s="392"/>
      <c r="AH148" s="392"/>
      <c r="AI148" s="392"/>
      <c r="AJ148" s="392"/>
      <c r="AK148" s="392"/>
      <c r="AL148" s="392"/>
      <c r="AM148" s="392"/>
      <c r="AN148" s="392"/>
      <c r="AO148" s="392"/>
      <c r="AP148" s="392"/>
      <c r="AQ148" s="392"/>
      <c r="AR148" s="392"/>
      <c r="AS148" s="392"/>
      <c r="AT148" s="392"/>
      <c r="AU148" s="392"/>
      <c r="AV148" s="392"/>
      <c r="AW148" s="392"/>
      <c r="AX148" s="392"/>
      <c r="AY148" s="392"/>
      <c r="AZ148" s="392"/>
      <c r="BA148" s="392"/>
      <c r="BB148" s="392"/>
      <c r="BC148" s="392"/>
      <c r="BD148" s="392"/>
      <c r="BG148" s="393"/>
      <c r="BH148" s="393"/>
      <c r="BI148" s="393"/>
      <c r="BJ148" s="393"/>
      <c r="BK148" s="393"/>
      <c r="BL148" s="393"/>
      <c r="BM148" s="393"/>
      <c r="BN148" s="393"/>
      <c r="BO148" s="394"/>
      <c r="BP148" s="394"/>
      <c r="BQ148" s="394"/>
      <c r="BR148" s="394"/>
      <c r="BS148" s="394"/>
      <c r="BT148" s="394"/>
      <c r="BU148" s="392"/>
      <c r="BV148" s="392"/>
      <c r="BW148" s="392"/>
      <c r="BX148" s="392"/>
      <c r="BY148" s="392"/>
      <c r="BZ148" s="392"/>
      <c r="CA148" s="392"/>
      <c r="CB148" s="392"/>
      <c r="CC148" s="392"/>
      <c r="CD148" s="392"/>
      <c r="CE148" s="392"/>
      <c r="DI148" s="392"/>
      <c r="DJ148" s="392"/>
      <c r="DK148" s="392"/>
      <c r="DL148" s="392"/>
      <c r="DM148" s="392"/>
      <c r="DN148" s="392"/>
      <c r="DO148" s="392"/>
      <c r="DQ148" s="392"/>
      <c r="DS148" s="394"/>
      <c r="DT148" s="394"/>
      <c r="DW148" s="392"/>
      <c r="DX148" s="394"/>
      <c r="DY148" s="394"/>
      <c r="EC148" s="392"/>
      <c r="ED148" s="394"/>
      <c r="EH148" s="394"/>
      <c r="EI148" s="392"/>
      <c r="EJ148" s="394"/>
      <c r="EN148" s="394"/>
      <c r="EO148" s="392"/>
      <c r="EP148" s="394"/>
      <c r="ET148" s="394"/>
      <c r="EU148" s="392"/>
      <c r="EV148" s="394"/>
      <c r="EZ148" s="394"/>
      <c r="FA148" s="392"/>
      <c r="FB148" s="394"/>
      <c r="FF148" s="394"/>
      <c r="FG148" s="392"/>
      <c r="FH148" s="394"/>
      <c r="FL148" s="394"/>
      <c r="FM148" s="392"/>
      <c r="FN148" s="394"/>
      <c r="FR148" s="394"/>
      <c r="FS148" s="392"/>
      <c r="FT148" s="394"/>
      <c r="FX148" s="394"/>
      <c r="FY148" s="392"/>
      <c r="FZ148" s="394"/>
      <c r="GD148" s="394"/>
      <c r="GE148" s="392"/>
      <c r="GF148" s="392"/>
      <c r="GG148" s="394"/>
      <c r="GJ148" s="394"/>
      <c r="GK148" s="392"/>
      <c r="GL148" s="392"/>
      <c r="GM148" s="394"/>
      <c r="GO148" s="394"/>
      <c r="GP148" s="394"/>
      <c r="GQ148" s="392"/>
      <c r="GR148" s="392"/>
      <c r="GS148" s="394"/>
      <c r="GT148" s="394"/>
    </row>
    <row r="149" spans="3:202" s="390" customFormat="1" x14ac:dyDescent="0.15">
      <c r="H149" s="23"/>
      <c r="I149" s="391"/>
      <c r="J149" s="392"/>
      <c r="K149" s="392"/>
      <c r="L149" s="392"/>
      <c r="M149" s="392"/>
      <c r="N149" s="392"/>
      <c r="O149" s="392"/>
      <c r="P149" s="392"/>
      <c r="Q149" s="392"/>
      <c r="R149" s="393"/>
      <c r="S149" s="394"/>
      <c r="T149" s="393"/>
      <c r="U149" s="393"/>
      <c r="V149" s="394"/>
      <c r="W149" s="394"/>
      <c r="X149" s="394"/>
      <c r="Y149" s="394"/>
      <c r="Z149" s="394"/>
      <c r="AA149" s="394"/>
      <c r="AB149" s="394"/>
      <c r="AC149" s="391"/>
      <c r="AD149" s="392"/>
      <c r="AE149" s="392"/>
      <c r="AF149" s="392"/>
      <c r="AG149" s="392"/>
      <c r="AH149" s="392"/>
      <c r="AI149" s="392"/>
      <c r="AJ149" s="392"/>
      <c r="AK149" s="392"/>
      <c r="AL149" s="392"/>
      <c r="AM149" s="392"/>
      <c r="AN149" s="392"/>
      <c r="AO149" s="392"/>
      <c r="AP149" s="392"/>
      <c r="AQ149" s="392"/>
      <c r="AR149" s="392"/>
      <c r="AS149" s="392"/>
      <c r="AT149" s="392"/>
      <c r="AU149" s="392"/>
      <c r="AV149" s="392"/>
      <c r="AW149" s="392"/>
      <c r="AX149" s="392"/>
      <c r="AY149" s="392"/>
      <c r="AZ149" s="392"/>
      <c r="BA149" s="392"/>
      <c r="BB149" s="392"/>
      <c r="BC149" s="392"/>
      <c r="BD149" s="392"/>
      <c r="BG149" s="393"/>
      <c r="BH149" s="393"/>
      <c r="BI149" s="393"/>
      <c r="BJ149" s="393"/>
      <c r="BK149" s="393"/>
      <c r="BL149" s="393"/>
      <c r="BM149" s="393"/>
      <c r="BN149" s="393"/>
      <c r="BO149" s="394"/>
      <c r="BP149" s="394"/>
      <c r="BQ149" s="394"/>
      <c r="BR149" s="394"/>
      <c r="BS149" s="394"/>
      <c r="BT149" s="394"/>
      <c r="BU149" s="392"/>
      <c r="BV149" s="392"/>
      <c r="BW149" s="392"/>
      <c r="BX149" s="392"/>
      <c r="BY149" s="392"/>
      <c r="BZ149" s="392"/>
      <c r="CA149" s="392"/>
      <c r="CB149" s="392"/>
      <c r="CC149" s="392"/>
      <c r="CD149" s="392"/>
      <c r="CE149" s="392"/>
      <c r="DI149" s="392"/>
      <c r="DJ149" s="392"/>
      <c r="DK149" s="392"/>
      <c r="DL149" s="392"/>
      <c r="DM149" s="392"/>
      <c r="DN149" s="392"/>
      <c r="DO149" s="392"/>
      <c r="DQ149" s="392"/>
      <c r="DS149" s="394"/>
      <c r="DT149" s="394"/>
      <c r="DW149" s="392"/>
      <c r="DX149" s="394"/>
      <c r="DY149" s="394"/>
      <c r="EC149" s="392"/>
      <c r="ED149" s="394"/>
      <c r="EH149" s="394"/>
      <c r="EI149" s="392"/>
      <c r="EJ149" s="394"/>
      <c r="EN149" s="394"/>
      <c r="EO149" s="392"/>
      <c r="EP149" s="394"/>
      <c r="ET149" s="394"/>
      <c r="EU149" s="392"/>
      <c r="EV149" s="394"/>
      <c r="EZ149" s="394"/>
      <c r="FA149" s="392"/>
      <c r="FB149" s="394"/>
      <c r="FF149" s="394"/>
      <c r="FG149" s="392"/>
      <c r="FH149" s="394"/>
      <c r="FL149" s="394"/>
      <c r="FM149" s="392"/>
      <c r="FN149" s="394"/>
      <c r="FR149" s="394"/>
      <c r="FS149" s="392"/>
      <c r="FT149" s="394"/>
      <c r="FX149" s="394"/>
      <c r="FY149" s="392"/>
      <c r="FZ149" s="394"/>
      <c r="GD149" s="394"/>
      <c r="GE149" s="392"/>
      <c r="GF149" s="392"/>
      <c r="GG149" s="394"/>
      <c r="GJ149" s="394"/>
      <c r="GK149" s="392"/>
      <c r="GL149" s="392"/>
      <c r="GM149" s="394"/>
      <c r="GO149" s="394"/>
      <c r="GP149" s="394"/>
      <c r="GQ149" s="392"/>
      <c r="GR149" s="392"/>
      <c r="GS149" s="394"/>
      <c r="GT149" s="394"/>
    </row>
    <row r="150" spans="3:202" s="390" customFormat="1" x14ac:dyDescent="0.15">
      <c r="H150" s="23"/>
      <c r="I150" s="391"/>
      <c r="J150" s="392"/>
      <c r="K150" s="392"/>
      <c r="L150" s="392"/>
      <c r="M150" s="392"/>
      <c r="N150" s="392"/>
      <c r="O150" s="392"/>
      <c r="P150" s="392"/>
      <c r="Q150" s="392"/>
      <c r="R150" s="393"/>
      <c r="S150" s="394"/>
      <c r="T150" s="393"/>
      <c r="U150" s="393"/>
      <c r="V150" s="394"/>
      <c r="W150" s="394"/>
      <c r="X150" s="394"/>
      <c r="Y150" s="394"/>
      <c r="Z150" s="394"/>
      <c r="AA150" s="394"/>
      <c r="AB150" s="394"/>
      <c r="AC150" s="391"/>
      <c r="AD150" s="392"/>
      <c r="AE150" s="392"/>
      <c r="AF150" s="392"/>
      <c r="AG150" s="392"/>
      <c r="AH150" s="392"/>
      <c r="AI150" s="392"/>
      <c r="AJ150" s="392"/>
      <c r="AK150" s="392"/>
      <c r="AL150" s="392"/>
      <c r="AM150" s="392"/>
      <c r="AN150" s="392"/>
      <c r="AO150" s="392"/>
      <c r="AP150" s="392"/>
      <c r="AQ150" s="392"/>
      <c r="AR150" s="392"/>
      <c r="AS150" s="392"/>
      <c r="AT150" s="392"/>
      <c r="AU150" s="392"/>
      <c r="AV150" s="392"/>
      <c r="AW150" s="392"/>
      <c r="AX150" s="392"/>
      <c r="AY150" s="392"/>
      <c r="AZ150" s="392"/>
      <c r="BA150" s="392"/>
      <c r="BB150" s="392"/>
      <c r="BC150" s="392"/>
      <c r="BD150" s="392"/>
      <c r="BG150" s="393"/>
      <c r="BH150" s="393"/>
      <c r="BI150" s="393"/>
      <c r="BJ150" s="393"/>
      <c r="BK150" s="393"/>
      <c r="BL150" s="393"/>
      <c r="BM150" s="393"/>
      <c r="BN150" s="393"/>
      <c r="BO150" s="394"/>
      <c r="BP150" s="394"/>
      <c r="BQ150" s="394"/>
      <c r="BR150" s="394"/>
      <c r="BS150" s="394"/>
      <c r="BT150" s="394"/>
      <c r="BU150" s="392"/>
      <c r="BV150" s="392"/>
      <c r="BW150" s="392"/>
      <c r="BX150" s="392"/>
      <c r="BY150" s="392"/>
      <c r="BZ150" s="392"/>
      <c r="CA150" s="392"/>
      <c r="CB150" s="392"/>
      <c r="CC150" s="392"/>
      <c r="CD150" s="392"/>
      <c r="CE150" s="392"/>
      <c r="DI150" s="392"/>
      <c r="DJ150" s="392"/>
      <c r="DK150" s="392"/>
      <c r="DL150" s="392"/>
      <c r="DM150" s="392"/>
      <c r="DN150" s="392"/>
      <c r="DO150" s="392"/>
      <c r="DQ150" s="392"/>
      <c r="DS150" s="394"/>
      <c r="DT150" s="394"/>
      <c r="DW150" s="392"/>
      <c r="DX150" s="394"/>
      <c r="DY150" s="394"/>
      <c r="EC150" s="392"/>
      <c r="ED150" s="394"/>
      <c r="EH150" s="394"/>
      <c r="EI150" s="392"/>
      <c r="EJ150" s="394"/>
      <c r="EN150" s="394"/>
      <c r="EO150" s="392"/>
      <c r="EP150" s="394"/>
      <c r="ET150" s="394"/>
      <c r="EU150" s="392"/>
      <c r="EV150" s="394"/>
      <c r="EZ150" s="394"/>
      <c r="FA150" s="392"/>
      <c r="FB150" s="394"/>
      <c r="FF150" s="394"/>
      <c r="FG150" s="392"/>
      <c r="FH150" s="394"/>
      <c r="FL150" s="394"/>
      <c r="FM150" s="392"/>
      <c r="FN150" s="394"/>
      <c r="FR150" s="394"/>
      <c r="FS150" s="392"/>
      <c r="FT150" s="394"/>
      <c r="FX150" s="394"/>
      <c r="FY150" s="392"/>
      <c r="FZ150" s="394"/>
      <c r="GD150" s="394"/>
      <c r="GE150" s="392"/>
      <c r="GF150" s="392"/>
      <c r="GG150" s="394"/>
      <c r="GJ150" s="394"/>
      <c r="GK150" s="392"/>
      <c r="GL150" s="392"/>
      <c r="GM150" s="394"/>
      <c r="GO150" s="394"/>
      <c r="GP150" s="394"/>
      <c r="GQ150" s="392"/>
      <c r="GR150" s="392"/>
      <c r="GS150" s="394"/>
      <c r="GT150" s="394"/>
    </row>
    <row r="151" spans="3:202" s="390" customFormat="1" x14ac:dyDescent="0.15">
      <c r="H151" s="23"/>
      <c r="I151" s="391"/>
      <c r="J151" s="392"/>
      <c r="K151" s="392"/>
      <c r="L151" s="392"/>
      <c r="M151" s="392"/>
      <c r="N151" s="392"/>
      <c r="O151" s="392"/>
      <c r="P151" s="392"/>
      <c r="Q151" s="392"/>
      <c r="R151" s="393"/>
      <c r="S151" s="394"/>
      <c r="T151" s="393"/>
      <c r="U151" s="393"/>
      <c r="V151" s="394"/>
      <c r="W151" s="394"/>
      <c r="X151" s="394"/>
      <c r="Y151" s="394"/>
      <c r="Z151" s="394"/>
      <c r="AA151" s="394"/>
      <c r="AB151" s="394"/>
      <c r="AC151" s="391"/>
      <c r="AD151" s="392"/>
      <c r="AE151" s="392"/>
      <c r="AF151" s="392"/>
      <c r="AG151" s="392"/>
      <c r="AH151" s="392"/>
      <c r="AI151" s="392"/>
      <c r="AJ151" s="392"/>
      <c r="AK151" s="392"/>
      <c r="AL151" s="392"/>
      <c r="AM151" s="392"/>
      <c r="AN151" s="392"/>
      <c r="AO151" s="392"/>
      <c r="AP151" s="392"/>
      <c r="AQ151" s="392"/>
      <c r="AR151" s="392"/>
      <c r="AS151" s="392"/>
      <c r="AT151" s="392"/>
      <c r="AU151" s="392"/>
      <c r="AV151" s="392"/>
      <c r="AW151" s="392"/>
      <c r="AX151" s="392"/>
      <c r="AY151" s="392"/>
      <c r="AZ151" s="392"/>
      <c r="BA151" s="392"/>
      <c r="BB151" s="392"/>
      <c r="BC151" s="392"/>
      <c r="BD151" s="392"/>
      <c r="BG151" s="393"/>
      <c r="BH151" s="393"/>
      <c r="BI151" s="393"/>
      <c r="BJ151" s="393"/>
      <c r="BK151" s="393"/>
      <c r="BL151" s="393"/>
      <c r="BM151" s="393"/>
      <c r="BN151" s="393"/>
      <c r="BO151" s="394"/>
      <c r="BP151" s="394"/>
      <c r="BQ151" s="394"/>
      <c r="BR151" s="394"/>
      <c r="BS151" s="394"/>
      <c r="BT151" s="394"/>
      <c r="BU151" s="392"/>
      <c r="BV151" s="392"/>
      <c r="BW151" s="392"/>
      <c r="BX151" s="392"/>
      <c r="BY151" s="392"/>
      <c r="BZ151" s="392"/>
      <c r="CA151" s="392"/>
      <c r="CB151" s="392"/>
      <c r="CC151" s="392"/>
      <c r="CD151" s="392"/>
      <c r="CE151" s="392"/>
      <c r="DI151" s="392"/>
      <c r="DJ151" s="392"/>
      <c r="DK151" s="392"/>
      <c r="DL151" s="392"/>
      <c r="DM151" s="392"/>
      <c r="DN151" s="392"/>
      <c r="DO151" s="392"/>
      <c r="DQ151" s="392"/>
      <c r="DS151" s="394"/>
      <c r="DT151" s="394"/>
      <c r="DW151" s="392"/>
      <c r="DX151" s="394"/>
      <c r="DY151" s="394"/>
      <c r="EC151" s="392"/>
      <c r="ED151" s="394"/>
      <c r="EH151" s="394"/>
      <c r="EI151" s="392"/>
      <c r="EJ151" s="394"/>
      <c r="EN151" s="394"/>
      <c r="EO151" s="392"/>
      <c r="EP151" s="394"/>
      <c r="ET151" s="394"/>
      <c r="EU151" s="392"/>
      <c r="EV151" s="394"/>
      <c r="EZ151" s="394"/>
      <c r="FA151" s="392"/>
      <c r="FB151" s="394"/>
      <c r="FF151" s="394"/>
      <c r="FG151" s="392"/>
      <c r="FH151" s="394"/>
      <c r="FL151" s="394"/>
      <c r="FM151" s="392"/>
      <c r="FN151" s="394"/>
      <c r="FR151" s="394"/>
      <c r="FS151" s="392"/>
      <c r="FT151" s="394"/>
      <c r="FX151" s="394"/>
      <c r="FY151" s="392"/>
      <c r="FZ151" s="394"/>
      <c r="GD151" s="394"/>
      <c r="GE151" s="392"/>
      <c r="GF151" s="392"/>
      <c r="GG151" s="394"/>
      <c r="GJ151" s="394"/>
      <c r="GK151" s="392"/>
      <c r="GL151" s="392"/>
      <c r="GM151" s="394"/>
      <c r="GO151" s="394"/>
      <c r="GP151" s="394"/>
      <c r="GQ151" s="392"/>
      <c r="GR151" s="392"/>
      <c r="GS151" s="394"/>
      <c r="GT151" s="394"/>
    </row>
    <row r="152" spans="3:202" s="390" customFormat="1" x14ac:dyDescent="0.15">
      <c r="H152" s="23"/>
      <c r="I152" s="391"/>
      <c r="J152" s="392"/>
      <c r="K152" s="392"/>
      <c r="L152" s="392"/>
      <c r="M152" s="392"/>
      <c r="N152" s="392"/>
      <c r="O152" s="392"/>
      <c r="P152" s="392"/>
      <c r="Q152" s="392"/>
      <c r="R152" s="393"/>
      <c r="S152" s="394"/>
      <c r="T152" s="393"/>
      <c r="U152" s="393"/>
      <c r="V152" s="394"/>
      <c r="W152" s="394"/>
      <c r="X152" s="394"/>
      <c r="Y152" s="394"/>
      <c r="Z152" s="394"/>
      <c r="AA152" s="394"/>
      <c r="AB152" s="394"/>
      <c r="AC152" s="391"/>
      <c r="AD152" s="392"/>
      <c r="AE152" s="392"/>
      <c r="AF152" s="392"/>
      <c r="AG152" s="392"/>
      <c r="AH152" s="392"/>
      <c r="AI152" s="392"/>
      <c r="AJ152" s="392"/>
      <c r="AK152" s="392"/>
      <c r="AL152" s="392"/>
      <c r="AM152" s="392"/>
      <c r="AN152" s="392"/>
      <c r="AO152" s="392"/>
      <c r="AP152" s="392"/>
      <c r="AQ152" s="392"/>
      <c r="AR152" s="392"/>
      <c r="AS152" s="392"/>
      <c r="AT152" s="392"/>
      <c r="AU152" s="392"/>
      <c r="AV152" s="392"/>
      <c r="AW152" s="392"/>
      <c r="AX152" s="392"/>
      <c r="AY152" s="392"/>
      <c r="AZ152" s="392"/>
      <c r="BA152" s="392"/>
      <c r="BB152" s="392"/>
      <c r="BC152" s="392"/>
      <c r="BD152" s="392"/>
      <c r="BG152" s="393"/>
      <c r="BH152" s="393"/>
      <c r="BI152" s="393"/>
      <c r="BJ152" s="393"/>
      <c r="BK152" s="393"/>
      <c r="BL152" s="393"/>
      <c r="BM152" s="393"/>
      <c r="BN152" s="393"/>
      <c r="BO152" s="394"/>
      <c r="BP152" s="394"/>
      <c r="BQ152" s="394"/>
      <c r="BR152" s="394"/>
      <c r="BS152" s="394"/>
      <c r="BT152" s="394"/>
      <c r="BU152" s="392"/>
      <c r="BV152" s="392"/>
      <c r="BW152" s="392"/>
      <c r="BX152" s="392"/>
      <c r="BY152" s="392"/>
      <c r="BZ152" s="392"/>
      <c r="CA152" s="392"/>
      <c r="CB152" s="392"/>
      <c r="CC152" s="392"/>
      <c r="CD152" s="392"/>
      <c r="CE152" s="392"/>
      <c r="DI152" s="392"/>
      <c r="DJ152" s="392"/>
      <c r="DK152" s="392"/>
      <c r="DL152" s="392"/>
      <c r="DM152" s="392"/>
      <c r="DN152" s="392"/>
      <c r="DO152" s="392"/>
      <c r="DQ152" s="392"/>
      <c r="DS152" s="394"/>
      <c r="DT152" s="394"/>
      <c r="DW152" s="392"/>
      <c r="DX152" s="394"/>
      <c r="DY152" s="394"/>
      <c r="EC152" s="392"/>
      <c r="ED152" s="394"/>
      <c r="EH152" s="394"/>
      <c r="EI152" s="392"/>
      <c r="EJ152" s="394"/>
      <c r="EN152" s="394"/>
      <c r="EO152" s="392"/>
      <c r="EP152" s="394"/>
      <c r="ET152" s="394"/>
      <c r="EU152" s="392"/>
      <c r="EV152" s="394"/>
      <c r="EZ152" s="394"/>
      <c r="FA152" s="392"/>
      <c r="FB152" s="394"/>
      <c r="FF152" s="394"/>
      <c r="FG152" s="392"/>
      <c r="FH152" s="394"/>
      <c r="FL152" s="394"/>
      <c r="FM152" s="392"/>
      <c r="FN152" s="394"/>
      <c r="FR152" s="394"/>
      <c r="FS152" s="392"/>
      <c r="FT152" s="394"/>
      <c r="FX152" s="394"/>
      <c r="FY152" s="392"/>
      <c r="FZ152" s="394"/>
      <c r="GD152" s="394"/>
      <c r="GE152" s="392"/>
      <c r="GF152" s="392"/>
      <c r="GG152" s="394"/>
      <c r="GJ152" s="394"/>
      <c r="GK152" s="392"/>
      <c r="GL152" s="392"/>
      <c r="GM152" s="394"/>
      <c r="GO152" s="394"/>
      <c r="GP152" s="394"/>
      <c r="GQ152" s="392"/>
      <c r="GR152" s="392"/>
      <c r="GS152" s="394"/>
      <c r="GT152" s="394"/>
    </row>
    <row r="153" spans="3:202" s="390" customFormat="1" x14ac:dyDescent="0.15">
      <c r="H153" s="23"/>
      <c r="I153" s="391"/>
      <c r="J153" s="392"/>
      <c r="K153" s="392"/>
      <c r="L153" s="392"/>
      <c r="M153" s="392"/>
      <c r="N153" s="392"/>
      <c r="O153" s="392"/>
      <c r="P153" s="392"/>
      <c r="Q153" s="392"/>
      <c r="R153" s="393"/>
      <c r="S153" s="394"/>
      <c r="T153" s="393"/>
      <c r="U153" s="393"/>
      <c r="V153" s="394"/>
      <c r="W153" s="394"/>
      <c r="X153" s="394"/>
      <c r="Y153" s="394"/>
      <c r="Z153" s="394"/>
      <c r="AA153" s="394"/>
      <c r="AB153" s="394"/>
      <c r="AC153" s="391"/>
      <c r="AD153" s="392"/>
      <c r="AE153" s="392"/>
      <c r="AF153" s="392"/>
      <c r="AG153" s="392"/>
      <c r="AH153" s="392"/>
      <c r="AI153" s="392"/>
      <c r="AJ153" s="392"/>
      <c r="AK153" s="392"/>
      <c r="AL153" s="392"/>
      <c r="AM153" s="392"/>
      <c r="AN153" s="392"/>
      <c r="AO153" s="392"/>
      <c r="AP153" s="392"/>
      <c r="AQ153" s="392"/>
      <c r="AR153" s="392"/>
      <c r="AS153" s="392"/>
      <c r="AT153" s="392"/>
      <c r="AU153" s="392"/>
      <c r="AV153" s="392"/>
      <c r="AW153" s="392"/>
      <c r="AX153" s="392"/>
      <c r="AY153" s="392"/>
      <c r="AZ153" s="392"/>
      <c r="BA153" s="392"/>
      <c r="BB153" s="392"/>
      <c r="BC153" s="392"/>
      <c r="BD153" s="392"/>
      <c r="BG153" s="393"/>
      <c r="BH153" s="393"/>
      <c r="BI153" s="393"/>
      <c r="BJ153" s="393"/>
      <c r="BK153" s="393"/>
      <c r="BL153" s="393"/>
      <c r="BM153" s="393"/>
      <c r="BN153" s="393"/>
      <c r="BO153" s="394"/>
      <c r="BP153" s="394"/>
      <c r="BQ153" s="394"/>
      <c r="BR153" s="394"/>
      <c r="BS153" s="394"/>
      <c r="BT153" s="394"/>
      <c r="BU153" s="392"/>
      <c r="BV153" s="392"/>
      <c r="BW153" s="392"/>
      <c r="BX153" s="392"/>
      <c r="BY153" s="392"/>
      <c r="BZ153" s="392"/>
      <c r="CA153" s="392"/>
      <c r="CB153" s="392"/>
      <c r="CC153" s="392"/>
      <c r="CD153" s="392"/>
      <c r="CE153" s="392"/>
      <c r="DI153" s="392"/>
      <c r="DJ153" s="392"/>
      <c r="DK153" s="392"/>
      <c r="DL153" s="392"/>
      <c r="DM153" s="392"/>
      <c r="DN153" s="392"/>
      <c r="DO153" s="392"/>
      <c r="DQ153" s="392"/>
      <c r="DS153" s="394"/>
      <c r="DT153" s="394"/>
      <c r="DW153" s="392"/>
      <c r="DX153" s="394"/>
      <c r="DY153" s="394"/>
      <c r="EC153" s="392"/>
      <c r="ED153" s="394"/>
      <c r="EH153" s="394"/>
      <c r="EI153" s="392"/>
      <c r="EJ153" s="394"/>
      <c r="EN153" s="394"/>
      <c r="EO153" s="392"/>
      <c r="EP153" s="394"/>
      <c r="ET153" s="394"/>
      <c r="EU153" s="392"/>
      <c r="EV153" s="394"/>
      <c r="EZ153" s="394"/>
      <c r="FA153" s="392"/>
      <c r="FB153" s="394"/>
      <c r="FF153" s="394"/>
      <c r="FG153" s="392"/>
      <c r="FH153" s="394"/>
      <c r="FL153" s="394"/>
      <c r="FM153" s="392"/>
      <c r="FN153" s="394"/>
      <c r="FR153" s="394"/>
      <c r="FS153" s="392"/>
      <c r="FT153" s="394"/>
      <c r="FX153" s="394"/>
      <c r="FY153" s="392"/>
      <c r="FZ153" s="394"/>
      <c r="GD153" s="394"/>
      <c r="GE153" s="392"/>
      <c r="GF153" s="392"/>
      <c r="GG153" s="394"/>
      <c r="GJ153" s="394"/>
      <c r="GK153" s="392"/>
      <c r="GL153" s="392"/>
      <c r="GM153" s="394"/>
      <c r="GO153" s="394"/>
      <c r="GP153" s="394"/>
      <c r="GQ153" s="392"/>
      <c r="GR153" s="392"/>
      <c r="GS153" s="394"/>
      <c r="GT153" s="394"/>
    </row>
    <row r="154" spans="3:202" s="390" customFormat="1" x14ac:dyDescent="0.15">
      <c r="H154" s="23"/>
      <c r="I154" s="391"/>
      <c r="J154" s="392"/>
      <c r="K154" s="392"/>
      <c r="L154" s="392"/>
      <c r="M154" s="392"/>
      <c r="N154" s="392"/>
      <c r="O154" s="392"/>
      <c r="P154" s="392"/>
      <c r="Q154" s="392"/>
      <c r="R154" s="393"/>
      <c r="S154" s="394"/>
      <c r="T154" s="393"/>
      <c r="U154" s="393"/>
      <c r="V154" s="394"/>
      <c r="W154" s="394"/>
      <c r="X154" s="394"/>
      <c r="Y154" s="394"/>
      <c r="Z154" s="394"/>
      <c r="AA154" s="394"/>
      <c r="AB154" s="394"/>
      <c r="AC154" s="391"/>
      <c r="AD154" s="392"/>
      <c r="AE154" s="392"/>
      <c r="AF154" s="392"/>
      <c r="AG154" s="392"/>
      <c r="AH154" s="392"/>
      <c r="AI154" s="392"/>
      <c r="AJ154" s="392"/>
      <c r="AK154" s="392"/>
      <c r="AL154" s="392"/>
      <c r="AM154" s="392"/>
      <c r="AN154" s="392"/>
      <c r="AO154" s="392"/>
      <c r="AP154" s="392"/>
      <c r="AQ154" s="392"/>
      <c r="AR154" s="392"/>
      <c r="AS154" s="392"/>
      <c r="AT154" s="392"/>
      <c r="AU154" s="392"/>
      <c r="AV154" s="392"/>
      <c r="AW154" s="392"/>
      <c r="AX154" s="392"/>
      <c r="AY154" s="392"/>
      <c r="AZ154" s="392"/>
      <c r="BA154" s="392"/>
      <c r="BB154" s="392"/>
      <c r="BC154" s="392"/>
      <c r="BD154" s="392"/>
      <c r="BG154" s="393"/>
      <c r="BH154" s="393"/>
      <c r="BI154" s="393"/>
      <c r="BJ154" s="393"/>
      <c r="BK154" s="393"/>
      <c r="BL154" s="393"/>
      <c r="BM154" s="393"/>
      <c r="BN154" s="393"/>
      <c r="BO154" s="394"/>
      <c r="BP154" s="394"/>
      <c r="BQ154" s="394"/>
      <c r="BR154" s="394"/>
      <c r="BS154" s="394"/>
      <c r="BT154" s="394"/>
      <c r="BU154" s="392"/>
      <c r="BV154" s="392"/>
      <c r="BW154" s="392"/>
      <c r="BX154" s="392"/>
      <c r="BY154" s="392"/>
      <c r="BZ154" s="392"/>
      <c r="CA154" s="392"/>
      <c r="CB154" s="392"/>
      <c r="CC154" s="392"/>
      <c r="CD154" s="392"/>
      <c r="CE154" s="392"/>
      <c r="DI154" s="392"/>
      <c r="DJ154" s="392"/>
      <c r="DK154" s="392"/>
      <c r="DL154" s="392"/>
      <c r="DM154" s="392"/>
      <c r="DN154" s="392"/>
      <c r="DO154" s="392"/>
      <c r="DQ154" s="392"/>
      <c r="DS154" s="394"/>
      <c r="DT154" s="394"/>
      <c r="DW154" s="392"/>
      <c r="DX154" s="394"/>
      <c r="DY154" s="394"/>
      <c r="EC154" s="392"/>
      <c r="ED154" s="394"/>
      <c r="EH154" s="394"/>
      <c r="EI154" s="392"/>
      <c r="EJ154" s="394"/>
      <c r="EN154" s="394"/>
      <c r="EO154" s="392"/>
      <c r="EP154" s="394"/>
      <c r="ET154" s="394"/>
      <c r="EU154" s="392"/>
      <c r="EV154" s="394"/>
      <c r="EZ154" s="394"/>
      <c r="FA154" s="392"/>
      <c r="FB154" s="394"/>
      <c r="FF154" s="394"/>
      <c r="FG154" s="392"/>
      <c r="FH154" s="394"/>
      <c r="FL154" s="394"/>
      <c r="FM154" s="392"/>
      <c r="FN154" s="394"/>
      <c r="FR154" s="394"/>
      <c r="FS154" s="392"/>
      <c r="FT154" s="394"/>
      <c r="FX154" s="394"/>
      <c r="FY154" s="392"/>
      <c r="FZ154" s="394"/>
      <c r="GD154" s="394"/>
      <c r="GE154" s="392"/>
      <c r="GF154" s="392"/>
      <c r="GG154" s="394"/>
      <c r="GJ154" s="394"/>
      <c r="GK154" s="392"/>
      <c r="GL154" s="392"/>
      <c r="GM154" s="394"/>
      <c r="GO154" s="394"/>
      <c r="GP154" s="394"/>
      <c r="GQ154" s="392"/>
      <c r="GR154" s="392"/>
      <c r="GS154" s="394"/>
      <c r="GT154" s="394"/>
    </row>
    <row r="155" spans="3:202" s="390" customFormat="1" x14ac:dyDescent="0.15">
      <c r="H155" s="23"/>
      <c r="I155" s="391"/>
      <c r="J155" s="392"/>
      <c r="K155" s="392"/>
      <c r="L155" s="392"/>
      <c r="M155" s="392"/>
      <c r="N155" s="392"/>
      <c r="O155" s="392"/>
      <c r="P155" s="392"/>
      <c r="Q155" s="392"/>
      <c r="R155" s="393"/>
      <c r="S155" s="394"/>
      <c r="T155" s="393"/>
      <c r="U155" s="393"/>
      <c r="V155" s="394"/>
      <c r="W155" s="394"/>
      <c r="X155" s="394"/>
      <c r="Y155" s="394"/>
      <c r="Z155" s="394"/>
      <c r="AA155" s="394"/>
      <c r="AB155" s="394"/>
      <c r="AC155" s="391"/>
      <c r="AD155" s="392"/>
      <c r="AE155" s="392"/>
      <c r="AF155" s="392"/>
      <c r="AG155" s="392"/>
      <c r="AH155" s="392"/>
      <c r="AI155" s="392"/>
      <c r="AJ155" s="392"/>
      <c r="AK155" s="392"/>
      <c r="AL155" s="392"/>
      <c r="AM155" s="392"/>
      <c r="AN155" s="392"/>
      <c r="AO155" s="392"/>
      <c r="AP155" s="392"/>
      <c r="AQ155" s="392"/>
      <c r="AR155" s="392"/>
      <c r="AS155" s="392"/>
      <c r="AT155" s="392"/>
      <c r="AU155" s="392"/>
      <c r="AV155" s="392"/>
      <c r="AW155" s="392"/>
      <c r="AX155" s="392"/>
      <c r="AY155" s="392"/>
      <c r="AZ155" s="392"/>
      <c r="BA155" s="392"/>
      <c r="BB155" s="392"/>
      <c r="BC155" s="392"/>
      <c r="BD155" s="392"/>
      <c r="BG155" s="393"/>
      <c r="BH155" s="393"/>
      <c r="BI155" s="393"/>
      <c r="BJ155" s="393"/>
      <c r="BK155" s="393"/>
      <c r="BL155" s="393"/>
      <c r="BM155" s="393"/>
      <c r="BN155" s="393"/>
      <c r="BO155" s="394"/>
      <c r="BP155" s="394"/>
      <c r="BQ155" s="394"/>
      <c r="BR155" s="394"/>
      <c r="BS155" s="394"/>
      <c r="BT155" s="394"/>
      <c r="BU155" s="392"/>
      <c r="BV155" s="392"/>
      <c r="BW155" s="392"/>
      <c r="BX155" s="392"/>
      <c r="BY155" s="392"/>
      <c r="BZ155" s="392"/>
      <c r="CA155" s="392"/>
      <c r="CB155" s="392"/>
      <c r="CC155" s="392"/>
      <c r="CD155" s="392"/>
      <c r="CE155" s="392"/>
      <c r="DI155" s="392"/>
      <c r="DJ155" s="392"/>
      <c r="DK155" s="392"/>
      <c r="DL155" s="392"/>
      <c r="DM155" s="392"/>
      <c r="DN155" s="392"/>
      <c r="DO155" s="392"/>
      <c r="DQ155" s="392"/>
      <c r="DS155" s="394"/>
      <c r="DT155" s="394"/>
      <c r="DW155" s="392"/>
      <c r="DX155" s="394"/>
      <c r="DY155" s="394"/>
      <c r="EC155" s="392"/>
      <c r="ED155" s="394"/>
      <c r="EH155" s="394"/>
      <c r="EI155" s="392"/>
      <c r="EJ155" s="394"/>
      <c r="EN155" s="394"/>
      <c r="EO155" s="392"/>
      <c r="EP155" s="394"/>
      <c r="ET155" s="394"/>
      <c r="EU155" s="392"/>
      <c r="EV155" s="394"/>
      <c r="EZ155" s="394"/>
      <c r="FA155" s="392"/>
      <c r="FB155" s="394"/>
      <c r="FF155" s="394"/>
      <c r="FG155" s="392"/>
      <c r="FH155" s="394"/>
      <c r="FL155" s="394"/>
      <c r="FM155" s="392"/>
      <c r="FN155" s="394"/>
      <c r="FR155" s="394"/>
      <c r="FS155" s="392"/>
      <c r="FT155" s="394"/>
      <c r="FX155" s="394"/>
      <c r="FY155" s="392"/>
      <c r="FZ155" s="394"/>
      <c r="GD155" s="394"/>
      <c r="GE155" s="392"/>
      <c r="GF155" s="392"/>
      <c r="GG155" s="394"/>
      <c r="GJ155" s="394"/>
      <c r="GK155" s="392"/>
      <c r="GL155" s="392"/>
      <c r="GM155" s="394"/>
      <c r="GO155" s="394"/>
      <c r="GP155" s="394"/>
      <c r="GQ155" s="392"/>
      <c r="GR155" s="392"/>
      <c r="GS155" s="394"/>
      <c r="GT155" s="394"/>
    </row>
    <row r="156" spans="3:202" s="390" customFormat="1" x14ac:dyDescent="0.15">
      <c r="H156" s="23"/>
      <c r="I156" s="391"/>
      <c r="J156" s="392"/>
      <c r="K156" s="392"/>
      <c r="L156" s="392"/>
      <c r="M156" s="392"/>
      <c r="N156" s="392"/>
      <c r="O156" s="392"/>
      <c r="P156" s="392"/>
      <c r="Q156" s="392"/>
      <c r="R156" s="393"/>
      <c r="S156" s="394"/>
      <c r="T156" s="393"/>
      <c r="U156" s="393"/>
      <c r="V156" s="394"/>
      <c r="W156" s="394"/>
      <c r="X156" s="394"/>
      <c r="Y156" s="394"/>
      <c r="Z156" s="394"/>
      <c r="AA156" s="394"/>
      <c r="AB156" s="394"/>
      <c r="AC156" s="391"/>
      <c r="AD156" s="392"/>
      <c r="AE156" s="392"/>
      <c r="AF156" s="392"/>
      <c r="AG156" s="392"/>
      <c r="AH156" s="392"/>
      <c r="AI156" s="392"/>
      <c r="AJ156" s="392"/>
      <c r="AK156" s="392"/>
      <c r="AL156" s="392"/>
      <c r="AM156" s="392"/>
      <c r="AN156" s="392"/>
      <c r="AO156" s="392"/>
      <c r="AP156" s="392"/>
      <c r="AQ156" s="392"/>
      <c r="AR156" s="392"/>
      <c r="AS156" s="392"/>
      <c r="AT156" s="392"/>
      <c r="AU156" s="392"/>
      <c r="AV156" s="392"/>
      <c r="AW156" s="392"/>
      <c r="AX156" s="392"/>
      <c r="AY156" s="392"/>
      <c r="AZ156" s="392"/>
      <c r="BA156" s="392"/>
      <c r="BB156" s="392"/>
      <c r="BC156" s="392"/>
      <c r="BD156" s="392"/>
      <c r="BG156" s="393"/>
      <c r="BH156" s="393"/>
      <c r="BI156" s="393"/>
      <c r="BJ156" s="393"/>
      <c r="BK156" s="393"/>
      <c r="BL156" s="393"/>
      <c r="BM156" s="393"/>
      <c r="BN156" s="393"/>
      <c r="BO156" s="394"/>
      <c r="BP156" s="394"/>
      <c r="BQ156" s="394"/>
      <c r="BR156" s="394"/>
      <c r="BS156" s="394"/>
      <c r="BT156" s="394"/>
      <c r="BU156" s="392"/>
      <c r="BV156" s="392"/>
      <c r="BW156" s="392"/>
      <c r="BX156" s="392"/>
      <c r="BY156" s="392"/>
      <c r="BZ156" s="392"/>
      <c r="CA156" s="392"/>
      <c r="CB156" s="392"/>
      <c r="CC156" s="392"/>
      <c r="CD156" s="392"/>
      <c r="CE156" s="392"/>
      <c r="DI156" s="392"/>
      <c r="DJ156" s="392"/>
      <c r="DK156" s="392"/>
      <c r="DL156" s="392"/>
      <c r="DM156" s="392"/>
      <c r="DN156" s="392"/>
      <c r="DO156" s="392"/>
      <c r="DQ156" s="392"/>
      <c r="DS156" s="394"/>
      <c r="DT156" s="394"/>
      <c r="DW156" s="392"/>
      <c r="DX156" s="394"/>
      <c r="DY156" s="394"/>
      <c r="EC156" s="392"/>
      <c r="ED156" s="394"/>
      <c r="EH156" s="394"/>
      <c r="EI156" s="392"/>
      <c r="EJ156" s="394"/>
      <c r="EN156" s="394"/>
      <c r="EO156" s="392"/>
      <c r="EP156" s="394"/>
      <c r="ET156" s="394"/>
      <c r="EU156" s="392"/>
      <c r="EV156" s="394"/>
      <c r="EZ156" s="394"/>
      <c r="FA156" s="392"/>
      <c r="FB156" s="394"/>
      <c r="FF156" s="394"/>
      <c r="FG156" s="392"/>
      <c r="FH156" s="394"/>
      <c r="FL156" s="394"/>
      <c r="FM156" s="392"/>
      <c r="FN156" s="394"/>
      <c r="FR156" s="394"/>
      <c r="FS156" s="392"/>
      <c r="FT156" s="394"/>
      <c r="FX156" s="394"/>
      <c r="FY156" s="392"/>
      <c r="FZ156" s="394"/>
      <c r="GD156" s="394"/>
      <c r="GE156" s="392"/>
      <c r="GF156" s="392"/>
      <c r="GG156" s="394"/>
      <c r="GJ156" s="394"/>
      <c r="GK156" s="392"/>
      <c r="GL156" s="392"/>
      <c r="GM156" s="394"/>
      <c r="GO156" s="394"/>
      <c r="GP156" s="394"/>
      <c r="GQ156" s="392"/>
      <c r="GR156" s="392"/>
      <c r="GS156" s="394"/>
      <c r="GT156" s="394"/>
    </row>
    <row r="157" spans="3:202" s="390" customFormat="1" x14ac:dyDescent="0.15">
      <c r="H157" s="23"/>
      <c r="I157" s="391"/>
      <c r="J157" s="392"/>
      <c r="K157" s="392"/>
      <c r="L157" s="392"/>
      <c r="M157" s="392"/>
      <c r="N157" s="392"/>
      <c r="O157" s="392"/>
      <c r="P157" s="392"/>
      <c r="Q157" s="392"/>
      <c r="R157" s="393"/>
      <c r="S157" s="394"/>
      <c r="T157" s="393"/>
      <c r="U157" s="393"/>
      <c r="V157" s="394"/>
      <c r="W157" s="394"/>
      <c r="X157" s="394"/>
      <c r="Y157" s="394"/>
      <c r="Z157" s="394"/>
      <c r="AA157" s="394"/>
      <c r="AB157" s="394"/>
      <c r="AC157" s="391"/>
      <c r="AD157" s="392"/>
      <c r="AE157" s="392"/>
      <c r="AF157" s="392"/>
      <c r="AG157" s="392"/>
      <c r="AH157" s="392"/>
      <c r="AI157" s="392"/>
      <c r="AJ157" s="392"/>
      <c r="AK157" s="392"/>
      <c r="AL157" s="392"/>
      <c r="AM157" s="392"/>
      <c r="AN157" s="392"/>
      <c r="AO157" s="392"/>
      <c r="AP157" s="392"/>
      <c r="AQ157" s="392"/>
      <c r="AR157" s="392"/>
      <c r="AS157" s="392"/>
      <c r="AT157" s="392"/>
      <c r="AU157" s="392"/>
      <c r="AV157" s="392"/>
      <c r="AW157" s="392"/>
      <c r="AX157" s="392"/>
      <c r="AY157" s="392"/>
      <c r="AZ157" s="392"/>
      <c r="BA157" s="392"/>
      <c r="BB157" s="392"/>
      <c r="BC157" s="392"/>
      <c r="BD157" s="392"/>
      <c r="BG157" s="393"/>
      <c r="BH157" s="393"/>
      <c r="BI157" s="393"/>
      <c r="BJ157" s="393"/>
      <c r="BK157" s="393"/>
      <c r="BL157" s="393"/>
      <c r="BM157" s="393"/>
      <c r="BN157" s="393"/>
      <c r="BO157" s="394"/>
      <c r="BP157" s="394"/>
      <c r="BQ157" s="394"/>
      <c r="BR157" s="394"/>
      <c r="BS157" s="394"/>
      <c r="BT157" s="394"/>
      <c r="BU157" s="392"/>
      <c r="BV157" s="392"/>
      <c r="BW157" s="392"/>
      <c r="BX157" s="392"/>
      <c r="BY157" s="392"/>
      <c r="BZ157" s="392"/>
      <c r="CA157" s="392"/>
      <c r="CB157" s="392"/>
      <c r="CC157" s="392"/>
      <c r="CD157" s="392"/>
      <c r="CE157" s="392"/>
      <c r="DI157" s="392"/>
      <c r="DJ157" s="392"/>
      <c r="DK157" s="392"/>
      <c r="DL157" s="392"/>
      <c r="DM157" s="392"/>
      <c r="DN157" s="392"/>
      <c r="DO157" s="392"/>
      <c r="DQ157" s="392"/>
      <c r="DS157" s="394"/>
      <c r="DT157" s="394"/>
      <c r="DW157" s="392"/>
      <c r="DX157" s="394"/>
      <c r="DY157" s="394"/>
      <c r="EC157" s="392"/>
      <c r="ED157" s="394"/>
      <c r="EH157" s="394"/>
      <c r="EI157" s="392"/>
      <c r="EJ157" s="394"/>
      <c r="EN157" s="394"/>
      <c r="EO157" s="392"/>
      <c r="EP157" s="394"/>
      <c r="ET157" s="394"/>
      <c r="EU157" s="392"/>
      <c r="EV157" s="394"/>
      <c r="EZ157" s="394"/>
      <c r="FA157" s="392"/>
      <c r="FB157" s="394"/>
      <c r="FF157" s="394"/>
      <c r="FG157" s="392"/>
      <c r="FH157" s="394"/>
      <c r="FL157" s="394"/>
      <c r="FM157" s="392"/>
      <c r="FN157" s="394"/>
      <c r="FR157" s="394"/>
      <c r="FS157" s="392"/>
      <c r="FT157" s="394"/>
      <c r="FX157" s="394"/>
      <c r="FY157" s="392"/>
      <c r="FZ157" s="394"/>
      <c r="GD157" s="394"/>
      <c r="GE157" s="392"/>
      <c r="GF157" s="392"/>
      <c r="GG157" s="394"/>
      <c r="GJ157" s="394"/>
      <c r="GK157" s="392"/>
      <c r="GL157" s="392"/>
      <c r="GM157" s="394"/>
      <c r="GO157" s="394"/>
      <c r="GP157" s="394"/>
      <c r="GQ157" s="392"/>
      <c r="GR157" s="392"/>
      <c r="GS157" s="394"/>
      <c r="GT157" s="394"/>
    </row>
    <row r="158" spans="3:202" s="390" customFormat="1" x14ac:dyDescent="0.15">
      <c r="H158" s="23"/>
      <c r="I158" s="391"/>
      <c r="J158" s="392"/>
      <c r="K158" s="392"/>
      <c r="L158" s="392"/>
      <c r="M158" s="392"/>
      <c r="N158" s="392"/>
      <c r="O158" s="392"/>
      <c r="P158" s="392"/>
      <c r="Q158" s="392"/>
      <c r="R158" s="393"/>
      <c r="S158" s="394"/>
      <c r="T158" s="393"/>
      <c r="U158" s="393"/>
      <c r="V158" s="394"/>
      <c r="W158" s="394"/>
      <c r="X158" s="394"/>
      <c r="Y158" s="394"/>
      <c r="Z158" s="394"/>
      <c r="AA158" s="394"/>
      <c r="AB158" s="394"/>
      <c r="AC158" s="391"/>
      <c r="AD158" s="392"/>
      <c r="AE158" s="392"/>
      <c r="AF158" s="392"/>
      <c r="AG158" s="392"/>
      <c r="AH158" s="392"/>
      <c r="AI158" s="392"/>
      <c r="AJ158" s="392"/>
      <c r="AK158" s="392"/>
      <c r="AL158" s="392"/>
      <c r="AM158" s="392"/>
      <c r="AN158" s="392"/>
      <c r="AO158" s="392"/>
      <c r="AP158" s="392"/>
      <c r="AQ158" s="392"/>
      <c r="AR158" s="392"/>
      <c r="AS158" s="392"/>
      <c r="AT158" s="392"/>
      <c r="AU158" s="392"/>
      <c r="AV158" s="392"/>
      <c r="AW158" s="392"/>
      <c r="AX158" s="392"/>
      <c r="AY158" s="392"/>
      <c r="AZ158" s="392"/>
      <c r="BA158" s="392"/>
      <c r="BB158" s="392"/>
      <c r="BC158" s="392"/>
      <c r="BD158" s="392"/>
      <c r="BG158" s="393"/>
      <c r="BH158" s="393"/>
      <c r="BI158" s="393"/>
      <c r="BJ158" s="393"/>
      <c r="BK158" s="393"/>
      <c r="BL158" s="393"/>
      <c r="BM158" s="393"/>
      <c r="BN158" s="393"/>
      <c r="BO158" s="394"/>
      <c r="BP158" s="394"/>
      <c r="BQ158" s="394"/>
      <c r="BR158" s="394"/>
      <c r="BS158" s="394"/>
      <c r="BT158" s="394"/>
      <c r="BU158" s="392"/>
      <c r="BV158" s="392"/>
      <c r="BW158" s="392"/>
      <c r="BX158" s="392"/>
      <c r="BY158" s="392"/>
      <c r="BZ158" s="392"/>
      <c r="CA158" s="392"/>
      <c r="CB158" s="392"/>
      <c r="CC158" s="392"/>
      <c r="CD158" s="392"/>
      <c r="CE158" s="392"/>
      <c r="DI158" s="392"/>
      <c r="DJ158" s="392"/>
      <c r="DK158" s="392"/>
      <c r="DL158" s="392"/>
      <c r="DM158" s="392"/>
      <c r="DN158" s="392"/>
      <c r="DO158" s="392"/>
      <c r="DQ158" s="392"/>
      <c r="DS158" s="394"/>
      <c r="DT158" s="394"/>
      <c r="DW158" s="392"/>
      <c r="DX158" s="394"/>
      <c r="DY158" s="394"/>
      <c r="EC158" s="392"/>
      <c r="ED158" s="394"/>
      <c r="EH158" s="394"/>
      <c r="EI158" s="392"/>
      <c r="EJ158" s="394"/>
      <c r="EN158" s="394"/>
      <c r="EO158" s="392"/>
      <c r="EP158" s="394"/>
      <c r="ET158" s="394"/>
      <c r="EU158" s="392"/>
      <c r="EV158" s="394"/>
      <c r="EZ158" s="394"/>
      <c r="FA158" s="392"/>
      <c r="FB158" s="394"/>
      <c r="FF158" s="394"/>
      <c r="FG158" s="392"/>
      <c r="FH158" s="394"/>
      <c r="FL158" s="394"/>
      <c r="FM158" s="392"/>
      <c r="FN158" s="394"/>
      <c r="FR158" s="394"/>
      <c r="FS158" s="392"/>
      <c r="FT158" s="394"/>
      <c r="FX158" s="394"/>
      <c r="FY158" s="392"/>
      <c r="FZ158" s="394"/>
      <c r="GD158" s="394"/>
      <c r="GE158" s="392"/>
      <c r="GF158" s="392"/>
      <c r="GG158" s="394"/>
      <c r="GJ158" s="394"/>
      <c r="GK158" s="392"/>
      <c r="GL158" s="392"/>
      <c r="GM158" s="394"/>
      <c r="GO158" s="394"/>
      <c r="GP158" s="394"/>
      <c r="GQ158" s="392"/>
      <c r="GR158" s="392"/>
      <c r="GS158" s="394"/>
      <c r="GT158" s="394"/>
    </row>
    <row r="159" spans="3:202" s="390" customFormat="1" x14ac:dyDescent="0.15">
      <c r="H159" s="23"/>
      <c r="I159" s="391"/>
      <c r="J159" s="392"/>
      <c r="K159" s="392"/>
      <c r="L159" s="392"/>
      <c r="M159" s="392"/>
      <c r="N159" s="392"/>
      <c r="O159" s="392"/>
      <c r="P159" s="392"/>
      <c r="Q159" s="392"/>
      <c r="R159" s="393"/>
      <c r="S159" s="394"/>
      <c r="T159" s="393"/>
      <c r="U159" s="393"/>
      <c r="V159" s="394"/>
      <c r="W159" s="394"/>
      <c r="X159" s="394"/>
      <c r="Y159" s="394"/>
      <c r="Z159" s="394"/>
      <c r="AA159" s="394"/>
      <c r="AB159" s="394"/>
      <c r="AC159" s="391"/>
      <c r="AD159" s="392"/>
      <c r="AE159" s="392"/>
      <c r="AF159" s="392"/>
      <c r="AG159" s="392"/>
      <c r="AH159" s="392"/>
      <c r="AI159" s="392"/>
      <c r="AJ159" s="392"/>
      <c r="AK159" s="392"/>
      <c r="AL159" s="392"/>
      <c r="AM159" s="392"/>
      <c r="AN159" s="392"/>
      <c r="AO159" s="392"/>
      <c r="AP159" s="392"/>
      <c r="AQ159" s="392"/>
      <c r="AR159" s="392"/>
      <c r="AS159" s="392"/>
      <c r="AT159" s="392"/>
      <c r="AU159" s="392"/>
      <c r="AV159" s="392"/>
      <c r="AW159" s="392"/>
      <c r="AX159" s="392"/>
      <c r="AY159" s="392"/>
      <c r="AZ159" s="392"/>
      <c r="BA159" s="392"/>
      <c r="BB159" s="392"/>
      <c r="BC159" s="392"/>
      <c r="BD159" s="392"/>
      <c r="BG159" s="393"/>
      <c r="BH159" s="393"/>
      <c r="BI159" s="393"/>
      <c r="BJ159" s="393"/>
      <c r="BK159" s="393"/>
      <c r="BL159" s="393"/>
      <c r="BM159" s="393"/>
      <c r="BN159" s="393"/>
      <c r="BO159" s="394"/>
      <c r="BP159" s="394"/>
      <c r="BQ159" s="394"/>
      <c r="BR159" s="394"/>
      <c r="BS159" s="394"/>
      <c r="BT159" s="394"/>
      <c r="BU159" s="392"/>
      <c r="BV159" s="392"/>
      <c r="BW159" s="392"/>
      <c r="BX159" s="392"/>
      <c r="BY159" s="392"/>
      <c r="BZ159" s="392"/>
      <c r="CA159" s="392"/>
      <c r="CB159" s="392"/>
      <c r="CC159" s="392"/>
      <c r="CD159" s="392"/>
      <c r="CE159" s="392"/>
      <c r="DI159" s="392"/>
      <c r="DJ159" s="392"/>
      <c r="DK159" s="392"/>
      <c r="DL159" s="392"/>
      <c r="DM159" s="392"/>
      <c r="DN159" s="392"/>
      <c r="DO159" s="392"/>
      <c r="DQ159" s="392"/>
      <c r="DS159" s="394"/>
      <c r="DT159" s="394"/>
      <c r="DW159" s="392"/>
      <c r="DX159" s="394"/>
      <c r="DY159" s="394"/>
      <c r="EC159" s="392"/>
      <c r="ED159" s="394"/>
      <c r="EH159" s="394"/>
      <c r="EI159" s="392"/>
      <c r="EJ159" s="394"/>
      <c r="EN159" s="394"/>
      <c r="EO159" s="392"/>
      <c r="EP159" s="394"/>
      <c r="ET159" s="394"/>
      <c r="EU159" s="392"/>
      <c r="EV159" s="394"/>
      <c r="EZ159" s="394"/>
      <c r="FA159" s="392"/>
      <c r="FB159" s="394"/>
      <c r="FF159" s="394"/>
      <c r="FG159" s="392"/>
      <c r="FH159" s="394"/>
      <c r="FL159" s="394"/>
      <c r="FM159" s="392"/>
      <c r="FN159" s="394"/>
      <c r="FR159" s="394"/>
      <c r="FS159" s="392"/>
      <c r="FT159" s="394"/>
      <c r="FX159" s="394"/>
      <c r="FY159" s="392"/>
      <c r="FZ159" s="394"/>
      <c r="GD159" s="394"/>
      <c r="GE159" s="392"/>
      <c r="GF159" s="392"/>
      <c r="GG159" s="394"/>
      <c r="GJ159" s="394"/>
      <c r="GK159" s="392"/>
      <c r="GL159" s="392"/>
      <c r="GM159" s="394"/>
      <c r="GO159" s="394"/>
      <c r="GP159" s="394"/>
      <c r="GQ159" s="392"/>
      <c r="GR159" s="392"/>
      <c r="GS159" s="394"/>
      <c r="GT159" s="394"/>
    </row>
    <row r="160" spans="3:202" s="390" customFormat="1" x14ac:dyDescent="0.15">
      <c r="H160" s="23"/>
      <c r="I160" s="391"/>
      <c r="J160" s="392"/>
      <c r="K160" s="392"/>
      <c r="L160" s="392"/>
      <c r="M160" s="392"/>
      <c r="N160" s="392"/>
      <c r="O160" s="392"/>
      <c r="P160" s="392"/>
      <c r="Q160" s="392"/>
      <c r="R160" s="393"/>
      <c r="S160" s="394"/>
      <c r="T160" s="393"/>
      <c r="U160" s="393"/>
      <c r="V160" s="394"/>
      <c r="W160" s="394"/>
      <c r="X160" s="394"/>
      <c r="Y160" s="394"/>
      <c r="Z160" s="394"/>
      <c r="AA160" s="394"/>
      <c r="AB160" s="394"/>
      <c r="AC160" s="391"/>
      <c r="AD160" s="392"/>
      <c r="AE160" s="392"/>
      <c r="AF160" s="392"/>
      <c r="AG160" s="392"/>
      <c r="AH160" s="392"/>
      <c r="AI160" s="392"/>
      <c r="AJ160" s="392"/>
      <c r="AK160" s="392"/>
      <c r="AL160" s="392"/>
      <c r="AM160" s="392"/>
      <c r="AN160" s="392"/>
      <c r="AO160" s="392"/>
      <c r="AP160" s="392"/>
      <c r="AQ160" s="392"/>
      <c r="AR160" s="392"/>
      <c r="AS160" s="392"/>
      <c r="AT160" s="392"/>
      <c r="AU160" s="392"/>
      <c r="AV160" s="392"/>
      <c r="AW160" s="392"/>
      <c r="AX160" s="392"/>
      <c r="AY160" s="392"/>
      <c r="AZ160" s="392"/>
      <c r="BA160" s="392"/>
      <c r="BB160" s="392"/>
      <c r="BC160" s="392"/>
      <c r="BD160" s="392"/>
      <c r="BG160" s="393"/>
      <c r="BH160" s="393"/>
      <c r="BI160" s="393"/>
      <c r="BJ160" s="393"/>
      <c r="BK160" s="393"/>
      <c r="BL160" s="393"/>
      <c r="BM160" s="393"/>
      <c r="BN160" s="393"/>
      <c r="BO160" s="394"/>
      <c r="BP160" s="394"/>
      <c r="BQ160" s="394"/>
      <c r="BR160" s="394"/>
      <c r="BS160" s="394"/>
      <c r="BT160" s="394"/>
      <c r="BU160" s="392"/>
      <c r="BV160" s="392"/>
      <c r="BW160" s="392"/>
      <c r="BX160" s="392"/>
      <c r="BY160" s="392"/>
      <c r="BZ160" s="392"/>
      <c r="CA160" s="392"/>
      <c r="CB160" s="392"/>
      <c r="CC160" s="392"/>
      <c r="CD160" s="392"/>
      <c r="CE160" s="392"/>
      <c r="DI160" s="392"/>
      <c r="DJ160" s="392"/>
      <c r="DK160" s="392"/>
      <c r="DL160" s="392"/>
      <c r="DM160" s="392"/>
      <c r="DN160" s="392"/>
      <c r="DO160" s="392"/>
      <c r="DQ160" s="392"/>
      <c r="DS160" s="394"/>
      <c r="DT160" s="394"/>
      <c r="DW160" s="392"/>
      <c r="DX160" s="394"/>
      <c r="DY160" s="394"/>
      <c r="EC160" s="392"/>
      <c r="ED160" s="394"/>
      <c r="EH160" s="394"/>
      <c r="EI160" s="392"/>
      <c r="EJ160" s="394"/>
      <c r="EN160" s="394"/>
      <c r="EO160" s="392"/>
      <c r="EP160" s="394"/>
      <c r="ET160" s="394"/>
      <c r="EU160" s="392"/>
      <c r="EV160" s="394"/>
      <c r="EZ160" s="394"/>
      <c r="FA160" s="392"/>
      <c r="FB160" s="394"/>
      <c r="FF160" s="394"/>
      <c r="FG160" s="392"/>
      <c r="FH160" s="394"/>
      <c r="FL160" s="394"/>
      <c r="FM160" s="392"/>
      <c r="FN160" s="394"/>
      <c r="FR160" s="394"/>
      <c r="FS160" s="392"/>
      <c r="FT160" s="394"/>
      <c r="FX160" s="394"/>
      <c r="FY160" s="392"/>
      <c r="FZ160" s="394"/>
      <c r="GD160" s="394"/>
      <c r="GE160" s="392"/>
      <c r="GF160" s="392"/>
      <c r="GG160" s="394"/>
      <c r="GJ160" s="394"/>
      <c r="GK160" s="392"/>
      <c r="GL160" s="392"/>
      <c r="GM160" s="394"/>
      <c r="GO160" s="394"/>
      <c r="GP160" s="394"/>
      <c r="GQ160" s="392"/>
      <c r="GR160" s="392"/>
      <c r="GS160" s="394"/>
      <c r="GT160" s="394"/>
    </row>
    <row r="161" spans="1:209" s="390" customFormat="1" x14ac:dyDescent="0.15">
      <c r="H161" s="23"/>
      <c r="I161" s="391"/>
      <c r="J161" s="392"/>
      <c r="K161" s="392"/>
      <c r="L161" s="392"/>
      <c r="M161" s="392"/>
      <c r="N161" s="392"/>
      <c r="O161" s="392"/>
      <c r="P161" s="392"/>
      <c r="Q161" s="392"/>
      <c r="R161" s="393"/>
      <c r="S161" s="394"/>
      <c r="T161" s="393"/>
      <c r="U161" s="393"/>
      <c r="V161" s="394"/>
      <c r="W161" s="394"/>
      <c r="X161" s="394"/>
      <c r="Y161" s="394"/>
      <c r="Z161" s="394"/>
      <c r="AA161" s="394"/>
      <c r="AB161" s="394"/>
      <c r="AC161" s="391"/>
      <c r="AD161" s="392"/>
      <c r="AE161" s="392"/>
      <c r="AF161" s="392"/>
      <c r="AG161" s="392"/>
      <c r="AH161" s="392"/>
      <c r="AI161" s="392"/>
      <c r="AJ161" s="392"/>
      <c r="AK161" s="392"/>
      <c r="AL161" s="392"/>
      <c r="AM161" s="392"/>
      <c r="AN161" s="392"/>
      <c r="AO161" s="392"/>
      <c r="AP161" s="392"/>
      <c r="AQ161" s="392"/>
      <c r="AR161" s="392"/>
      <c r="AS161" s="392"/>
      <c r="AT161" s="392"/>
      <c r="AU161" s="392"/>
      <c r="AV161" s="392"/>
      <c r="AW161" s="392"/>
      <c r="AX161" s="392"/>
      <c r="AY161" s="392"/>
      <c r="AZ161" s="392"/>
      <c r="BA161" s="392"/>
      <c r="BB161" s="392"/>
      <c r="BC161" s="392"/>
      <c r="BD161" s="392"/>
      <c r="BG161" s="393"/>
      <c r="BH161" s="393"/>
      <c r="BI161" s="393"/>
      <c r="BJ161" s="393"/>
      <c r="BK161" s="393"/>
      <c r="BL161" s="393"/>
      <c r="BM161" s="393"/>
      <c r="BN161" s="393"/>
      <c r="BO161" s="394"/>
      <c r="BP161" s="394"/>
      <c r="BQ161" s="394"/>
      <c r="BR161" s="394"/>
      <c r="BS161" s="394"/>
      <c r="BT161" s="394"/>
      <c r="BU161" s="392"/>
      <c r="BV161" s="392"/>
      <c r="BW161" s="392"/>
      <c r="BX161" s="392"/>
      <c r="BY161" s="392"/>
      <c r="BZ161" s="392"/>
      <c r="CA161" s="392"/>
      <c r="CB161" s="392"/>
      <c r="CC161" s="392"/>
      <c r="CD161" s="392"/>
      <c r="CE161" s="392"/>
      <c r="DI161" s="392"/>
      <c r="DJ161" s="392"/>
      <c r="DK161" s="392"/>
      <c r="DL161" s="392"/>
      <c r="DM161" s="392"/>
      <c r="DN161" s="392"/>
      <c r="DO161" s="392"/>
      <c r="DQ161" s="392"/>
      <c r="DS161" s="394"/>
      <c r="DT161" s="394"/>
      <c r="DW161" s="392"/>
      <c r="DX161" s="394"/>
      <c r="DY161" s="394"/>
      <c r="EC161" s="392"/>
      <c r="ED161" s="394"/>
      <c r="EH161" s="394"/>
      <c r="EI161" s="392"/>
      <c r="EJ161" s="394"/>
      <c r="EN161" s="394"/>
      <c r="EO161" s="392"/>
      <c r="EP161" s="394"/>
      <c r="ET161" s="394"/>
      <c r="EU161" s="392"/>
      <c r="EV161" s="394"/>
      <c r="EZ161" s="394"/>
      <c r="FA161" s="392"/>
      <c r="FB161" s="394"/>
      <c r="FF161" s="394"/>
      <c r="FG161" s="392"/>
      <c r="FH161" s="394"/>
      <c r="FL161" s="394"/>
      <c r="FM161" s="392"/>
      <c r="FN161" s="394"/>
      <c r="FR161" s="394"/>
      <c r="FS161" s="392"/>
      <c r="FT161" s="394"/>
      <c r="FX161" s="394"/>
      <c r="FY161" s="392"/>
      <c r="FZ161" s="394"/>
      <c r="GD161" s="394"/>
      <c r="GE161" s="392"/>
      <c r="GF161" s="392"/>
      <c r="GG161" s="394"/>
      <c r="GJ161" s="394"/>
      <c r="GK161" s="392"/>
      <c r="GL161" s="392"/>
      <c r="GM161" s="394"/>
      <c r="GO161" s="394"/>
      <c r="GP161" s="394"/>
      <c r="GQ161" s="392"/>
      <c r="GR161" s="392"/>
      <c r="GS161" s="394"/>
      <c r="GT161" s="394"/>
    </row>
    <row r="162" spans="1:209" s="390" customFormat="1" x14ac:dyDescent="0.15">
      <c r="H162" s="23"/>
      <c r="I162" s="391"/>
      <c r="J162" s="392"/>
      <c r="K162" s="392"/>
      <c r="L162" s="392"/>
      <c r="M162" s="392"/>
      <c r="N162" s="392"/>
      <c r="O162" s="392"/>
      <c r="P162" s="392"/>
      <c r="Q162" s="392"/>
      <c r="R162" s="393"/>
      <c r="S162" s="394"/>
      <c r="T162" s="393"/>
      <c r="U162" s="393"/>
      <c r="V162" s="394"/>
      <c r="W162" s="394"/>
      <c r="X162" s="394"/>
      <c r="Y162" s="394"/>
      <c r="Z162" s="394"/>
      <c r="AA162" s="394"/>
      <c r="AB162" s="394"/>
      <c r="AC162" s="391"/>
      <c r="AD162" s="392"/>
      <c r="AE162" s="392"/>
      <c r="AF162" s="392"/>
      <c r="AG162" s="392"/>
      <c r="AH162" s="392"/>
      <c r="AI162" s="392"/>
      <c r="AJ162" s="392"/>
      <c r="AK162" s="392"/>
      <c r="AL162" s="392"/>
      <c r="AM162" s="392"/>
      <c r="AN162" s="392"/>
      <c r="AO162" s="392"/>
      <c r="AP162" s="392"/>
      <c r="AQ162" s="392"/>
      <c r="AR162" s="392"/>
      <c r="AS162" s="392"/>
      <c r="AT162" s="392"/>
      <c r="AU162" s="392"/>
      <c r="AV162" s="392"/>
      <c r="AW162" s="392"/>
      <c r="AX162" s="392"/>
      <c r="AY162" s="392"/>
      <c r="AZ162" s="392"/>
      <c r="BA162" s="392"/>
      <c r="BB162" s="392"/>
      <c r="BC162" s="392"/>
      <c r="BD162" s="392"/>
      <c r="BG162" s="393"/>
      <c r="BH162" s="393"/>
      <c r="BI162" s="393"/>
      <c r="BJ162" s="393"/>
      <c r="BK162" s="393"/>
      <c r="BL162" s="393"/>
      <c r="BM162" s="393"/>
      <c r="BN162" s="393"/>
      <c r="BO162" s="394"/>
      <c r="BP162" s="394"/>
      <c r="BQ162" s="394"/>
      <c r="BR162" s="394"/>
      <c r="BS162" s="394"/>
      <c r="BT162" s="394"/>
      <c r="BU162" s="392"/>
      <c r="BV162" s="392"/>
      <c r="BW162" s="392"/>
      <c r="BX162" s="392"/>
      <c r="BY162" s="392"/>
      <c r="BZ162" s="392"/>
      <c r="CA162" s="392"/>
      <c r="CB162" s="392"/>
      <c r="CC162" s="392"/>
      <c r="CD162" s="392"/>
      <c r="CE162" s="392"/>
      <c r="DI162" s="392"/>
      <c r="DJ162" s="392"/>
      <c r="DK162" s="392"/>
      <c r="DL162" s="392"/>
      <c r="DM162" s="392"/>
      <c r="DN162" s="392"/>
      <c r="DO162" s="392"/>
      <c r="DQ162" s="392"/>
      <c r="DS162" s="394"/>
      <c r="DT162" s="394"/>
      <c r="DW162" s="392"/>
      <c r="DX162" s="394"/>
      <c r="DY162" s="394"/>
      <c r="EC162" s="392"/>
      <c r="ED162" s="394"/>
      <c r="EH162" s="394"/>
      <c r="EI162" s="392"/>
      <c r="EJ162" s="394"/>
      <c r="EN162" s="394"/>
      <c r="EO162" s="392"/>
      <c r="EP162" s="394"/>
      <c r="ET162" s="394"/>
      <c r="EU162" s="392"/>
      <c r="EV162" s="394"/>
      <c r="EZ162" s="394"/>
      <c r="FA162" s="392"/>
      <c r="FB162" s="394"/>
      <c r="FF162" s="394"/>
      <c r="FG162" s="392"/>
      <c r="FH162" s="394"/>
      <c r="FL162" s="394"/>
      <c r="FM162" s="392"/>
      <c r="FN162" s="394"/>
      <c r="FR162" s="394"/>
      <c r="FS162" s="392"/>
      <c r="FT162" s="394"/>
      <c r="FX162" s="394"/>
      <c r="FY162" s="392"/>
      <c r="FZ162" s="394"/>
      <c r="GD162" s="394"/>
      <c r="GE162" s="392"/>
      <c r="GF162" s="392"/>
      <c r="GG162" s="394"/>
      <c r="GJ162" s="394"/>
      <c r="GK162" s="392"/>
      <c r="GL162" s="392"/>
      <c r="GM162" s="394"/>
      <c r="GO162" s="394"/>
      <c r="GP162" s="394"/>
      <c r="GQ162" s="392"/>
      <c r="GR162" s="392"/>
      <c r="GS162" s="394"/>
      <c r="GT162" s="394"/>
    </row>
    <row r="163" spans="1:209" s="390" customFormat="1" x14ac:dyDescent="0.15">
      <c r="H163" s="23"/>
      <c r="I163" s="391"/>
      <c r="J163" s="392"/>
      <c r="K163" s="392"/>
      <c r="L163" s="392"/>
      <c r="M163" s="392"/>
      <c r="N163" s="392"/>
      <c r="O163" s="392"/>
      <c r="P163" s="392"/>
      <c r="Q163" s="392"/>
      <c r="R163" s="393"/>
      <c r="S163" s="394"/>
      <c r="T163" s="393"/>
      <c r="U163" s="393"/>
      <c r="V163" s="394"/>
      <c r="W163" s="394"/>
      <c r="X163" s="394"/>
      <c r="Y163" s="394"/>
      <c r="Z163" s="394"/>
      <c r="AA163" s="394"/>
      <c r="AB163" s="394"/>
      <c r="AC163" s="391"/>
      <c r="AD163" s="392"/>
      <c r="AE163" s="392"/>
      <c r="AF163" s="392"/>
      <c r="AG163" s="392"/>
      <c r="AH163" s="392"/>
      <c r="AI163" s="392"/>
      <c r="AJ163" s="392"/>
      <c r="AK163" s="392"/>
      <c r="AL163" s="392"/>
      <c r="AM163" s="392"/>
      <c r="AN163" s="392"/>
      <c r="AO163" s="392"/>
      <c r="AP163" s="392"/>
      <c r="AQ163" s="392"/>
      <c r="AR163" s="392"/>
      <c r="AS163" s="392"/>
      <c r="AT163" s="392"/>
      <c r="AU163" s="392"/>
      <c r="AV163" s="392"/>
      <c r="AW163" s="392"/>
      <c r="AX163" s="392"/>
      <c r="AY163" s="392"/>
      <c r="AZ163" s="392"/>
      <c r="BA163" s="392"/>
      <c r="BB163" s="392"/>
      <c r="BC163" s="392"/>
      <c r="BD163" s="392"/>
      <c r="BG163" s="393"/>
      <c r="BH163" s="393"/>
      <c r="BI163" s="393"/>
      <c r="BJ163" s="393"/>
      <c r="BK163" s="393"/>
      <c r="BL163" s="393"/>
      <c r="BM163" s="393"/>
      <c r="BN163" s="393"/>
      <c r="BO163" s="394"/>
      <c r="BP163" s="394"/>
      <c r="BQ163" s="394"/>
      <c r="BR163" s="394"/>
      <c r="BS163" s="394"/>
      <c r="BT163" s="394"/>
      <c r="BU163" s="392"/>
      <c r="BV163" s="392"/>
      <c r="BW163" s="392"/>
      <c r="BX163" s="392"/>
      <c r="BY163" s="392"/>
      <c r="BZ163" s="392"/>
      <c r="CA163" s="392"/>
      <c r="CB163" s="392"/>
      <c r="CC163" s="392"/>
      <c r="CD163" s="392"/>
      <c r="CE163" s="392"/>
      <c r="DI163" s="392"/>
      <c r="DJ163" s="392"/>
      <c r="DK163" s="392"/>
      <c r="DL163" s="392"/>
      <c r="DM163" s="392"/>
      <c r="DN163" s="392"/>
      <c r="DO163" s="392"/>
      <c r="DQ163" s="392"/>
      <c r="DS163" s="394"/>
      <c r="DT163" s="394"/>
      <c r="DW163" s="392"/>
      <c r="DX163" s="394"/>
      <c r="DY163" s="394"/>
      <c r="EC163" s="392"/>
      <c r="ED163" s="394"/>
      <c r="EH163" s="394"/>
      <c r="EI163" s="392"/>
      <c r="EJ163" s="394"/>
      <c r="EN163" s="394"/>
      <c r="EO163" s="392"/>
      <c r="EP163" s="394"/>
      <c r="ET163" s="394"/>
      <c r="EU163" s="392"/>
      <c r="EV163" s="394"/>
      <c r="EZ163" s="394"/>
      <c r="FA163" s="392"/>
      <c r="FB163" s="394"/>
      <c r="FF163" s="394"/>
      <c r="FG163" s="392"/>
      <c r="FH163" s="394"/>
      <c r="FL163" s="394"/>
      <c r="FM163" s="392"/>
      <c r="FN163" s="394"/>
      <c r="FR163" s="394"/>
      <c r="FS163" s="392"/>
      <c r="FT163" s="394"/>
      <c r="FX163" s="394"/>
      <c r="FY163" s="392"/>
      <c r="FZ163" s="394"/>
      <c r="GD163" s="394"/>
      <c r="GE163" s="392"/>
      <c r="GF163" s="392"/>
      <c r="GG163" s="394"/>
      <c r="GJ163" s="394"/>
      <c r="GK163" s="392"/>
      <c r="GL163" s="392"/>
      <c r="GM163" s="394"/>
      <c r="GO163" s="394"/>
      <c r="GP163" s="394"/>
      <c r="GQ163" s="392"/>
      <c r="GR163" s="392"/>
      <c r="GS163" s="394"/>
      <c r="GT163" s="394"/>
    </row>
    <row r="164" spans="1:209" s="390" customFormat="1" x14ac:dyDescent="0.15">
      <c r="C164" s="1631"/>
      <c r="H164" s="23"/>
      <c r="I164" s="391"/>
      <c r="J164" s="392"/>
      <c r="K164" s="392"/>
      <c r="L164" s="392"/>
      <c r="M164" s="392"/>
      <c r="N164" s="392"/>
      <c r="O164" s="392"/>
      <c r="P164" s="392"/>
      <c r="Q164" s="392"/>
      <c r="R164" s="393"/>
      <c r="S164" s="394"/>
      <c r="T164" s="393"/>
      <c r="U164" s="393"/>
      <c r="V164" s="394"/>
      <c r="W164" s="394"/>
      <c r="X164" s="394"/>
      <c r="Y164" s="394"/>
      <c r="Z164" s="394"/>
      <c r="AA164" s="394"/>
      <c r="AB164" s="394"/>
      <c r="AC164" s="391"/>
      <c r="AD164" s="392"/>
      <c r="AE164" s="392"/>
      <c r="AF164" s="392"/>
      <c r="AG164" s="392"/>
      <c r="AH164" s="392"/>
      <c r="AI164" s="392"/>
      <c r="AJ164" s="392"/>
      <c r="AK164" s="392"/>
      <c r="AL164" s="392"/>
      <c r="AM164" s="392"/>
      <c r="AN164" s="392"/>
      <c r="AO164" s="392"/>
      <c r="AP164" s="392"/>
      <c r="AQ164" s="392"/>
      <c r="AR164" s="392"/>
      <c r="AS164" s="392"/>
      <c r="AT164" s="392"/>
      <c r="AU164" s="392"/>
      <c r="AV164" s="392"/>
      <c r="AW164" s="392"/>
      <c r="AX164" s="392"/>
      <c r="AY164" s="392"/>
      <c r="AZ164" s="392"/>
      <c r="BA164" s="392"/>
      <c r="BB164" s="392"/>
      <c r="BC164" s="392"/>
      <c r="BD164" s="392"/>
      <c r="BG164" s="393"/>
      <c r="BH164" s="393"/>
      <c r="BI164" s="393"/>
      <c r="BJ164" s="393"/>
      <c r="BK164" s="393"/>
      <c r="BL164" s="393"/>
      <c r="BM164" s="393"/>
      <c r="BN164" s="393"/>
      <c r="BO164" s="394"/>
      <c r="BP164" s="394"/>
      <c r="BQ164" s="394"/>
      <c r="BR164" s="394"/>
      <c r="BS164" s="394"/>
      <c r="BT164" s="394"/>
      <c r="BU164" s="392"/>
      <c r="BV164" s="392"/>
      <c r="BW164" s="392"/>
      <c r="BX164" s="392"/>
      <c r="BY164" s="392"/>
      <c r="BZ164" s="392"/>
      <c r="CA164" s="392"/>
      <c r="CB164" s="392"/>
      <c r="CC164" s="392"/>
      <c r="CD164" s="392"/>
      <c r="CE164" s="392"/>
      <c r="DI164" s="392"/>
      <c r="DJ164" s="392"/>
      <c r="DK164" s="392"/>
      <c r="DL164" s="392"/>
      <c r="DM164" s="392"/>
      <c r="DN164" s="392"/>
      <c r="DO164" s="392"/>
      <c r="DQ164" s="392"/>
      <c r="DS164" s="394"/>
      <c r="DT164" s="394"/>
      <c r="DW164" s="392"/>
      <c r="DX164" s="394"/>
      <c r="DY164" s="394"/>
      <c r="EC164" s="392"/>
      <c r="ED164" s="394"/>
      <c r="EH164" s="394"/>
      <c r="EI164" s="392"/>
      <c r="EJ164" s="394"/>
      <c r="EN164" s="394"/>
      <c r="EO164" s="392"/>
      <c r="EP164" s="394"/>
      <c r="ET164" s="394"/>
      <c r="EU164" s="392"/>
      <c r="EV164" s="394"/>
      <c r="EZ164" s="394"/>
      <c r="FA164" s="392"/>
      <c r="FB164" s="394"/>
      <c r="FF164" s="394"/>
      <c r="FG164" s="392"/>
      <c r="FH164" s="394"/>
      <c r="FL164" s="394"/>
      <c r="FM164" s="392"/>
      <c r="FN164" s="394"/>
      <c r="FR164" s="394"/>
      <c r="FS164" s="392"/>
      <c r="FT164" s="394"/>
      <c r="FX164" s="394"/>
      <c r="FY164" s="392"/>
      <c r="FZ164" s="394"/>
      <c r="GD164" s="394"/>
      <c r="GE164" s="392"/>
      <c r="GF164" s="392"/>
      <c r="GG164" s="394"/>
      <c r="GJ164" s="394"/>
      <c r="GK164" s="392"/>
      <c r="GL164" s="392"/>
      <c r="GM164" s="394"/>
      <c r="GO164" s="394"/>
      <c r="GP164" s="394"/>
      <c r="GQ164" s="392"/>
      <c r="GR164" s="392"/>
      <c r="GS164" s="394"/>
      <c r="GT164" s="394"/>
    </row>
    <row r="165" spans="1:209" s="390" customFormat="1" x14ac:dyDescent="0.15">
      <c r="H165" s="2663"/>
      <c r="I165" s="391"/>
      <c r="J165" s="392"/>
      <c r="K165" s="392"/>
      <c r="L165" s="392"/>
      <c r="M165" s="392"/>
      <c r="N165" s="392"/>
      <c r="O165" s="392"/>
      <c r="P165" s="392"/>
      <c r="Q165" s="392"/>
      <c r="R165" s="393"/>
      <c r="S165" s="394"/>
      <c r="T165" s="393"/>
      <c r="U165" s="393"/>
      <c r="V165" s="394"/>
      <c r="W165" s="394"/>
      <c r="X165" s="394"/>
      <c r="Y165" s="394"/>
      <c r="Z165" s="394"/>
      <c r="AA165" s="394"/>
      <c r="AB165" s="394"/>
      <c r="AC165" s="391"/>
      <c r="AD165" s="392"/>
      <c r="AE165" s="392"/>
      <c r="AF165" s="392"/>
      <c r="AG165" s="392"/>
      <c r="AH165" s="392"/>
      <c r="AI165" s="392"/>
      <c r="AJ165" s="392"/>
      <c r="AK165" s="392"/>
      <c r="AL165" s="392"/>
      <c r="AM165" s="392"/>
      <c r="AN165" s="392"/>
      <c r="AO165" s="392"/>
      <c r="AP165" s="392"/>
      <c r="AQ165" s="392"/>
      <c r="AR165" s="392"/>
      <c r="AS165" s="392"/>
      <c r="AT165" s="392"/>
      <c r="AU165" s="392"/>
      <c r="AV165" s="392"/>
      <c r="AW165" s="392"/>
      <c r="AX165" s="392"/>
      <c r="AY165" s="392"/>
      <c r="AZ165" s="392"/>
      <c r="BA165" s="392"/>
      <c r="BB165" s="392"/>
      <c r="BC165" s="392"/>
      <c r="BD165" s="392"/>
      <c r="BG165" s="393"/>
      <c r="BH165" s="393"/>
      <c r="BI165" s="393"/>
      <c r="BJ165" s="393"/>
      <c r="BK165" s="393"/>
      <c r="BL165" s="393"/>
      <c r="BM165" s="393"/>
      <c r="BN165" s="393"/>
      <c r="BO165" s="394"/>
      <c r="BP165" s="394"/>
      <c r="BQ165" s="394"/>
      <c r="BR165" s="394"/>
      <c r="BS165" s="394"/>
      <c r="BT165" s="394"/>
      <c r="BU165" s="392"/>
      <c r="BV165" s="392"/>
      <c r="BW165" s="392"/>
      <c r="BX165" s="392"/>
      <c r="BY165" s="392"/>
      <c r="BZ165" s="392"/>
      <c r="CA165" s="392"/>
      <c r="CB165" s="392"/>
      <c r="CC165" s="392"/>
      <c r="CD165" s="392"/>
      <c r="CE165" s="392"/>
      <c r="DI165" s="392"/>
      <c r="DJ165" s="392"/>
      <c r="DK165" s="392"/>
      <c r="DL165" s="392"/>
      <c r="DM165" s="392"/>
      <c r="DN165" s="392"/>
      <c r="DO165" s="392"/>
      <c r="DQ165" s="392"/>
      <c r="DS165" s="394"/>
      <c r="DT165" s="394"/>
      <c r="DW165" s="392"/>
      <c r="DX165" s="394"/>
      <c r="DY165" s="394"/>
      <c r="EC165" s="392"/>
      <c r="ED165" s="394"/>
      <c r="EH165" s="394"/>
      <c r="EI165" s="392"/>
      <c r="EJ165" s="394"/>
      <c r="EN165" s="394"/>
      <c r="EO165" s="392"/>
      <c r="EP165" s="394"/>
      <c r="ET165" s="394"/>
      <c r="EU165" s="392"/>
      <c r="EV165" s="394"/>
      <c r="EZ165" s="394"/>
      <c r="FA165" s="392"/>
      <c r="FB165" s="394"/>
      <c r="FF165" s="394"/>
      <c r="FG165" s="392"/>
      <c r="FH165" s="394"/>
      <c r="FL165" s="394"/>
      <c r="FM165" s="392"/>
      <c r="FN165" s="394"/>
      <c r="FR165" s="394"/>
      <c r="FS165" s="392"/>
      <c r="FT165" s="394"/>
      <c r="FX165" s="394"/>
      <c r="FY165" s="392"/>
      <c r="FZ165" s="394"/>
      <c r="GD165" s="394"/>
      <c r="GE165" s="392"/>
      <c r="GF165" s="392"/>
      <c r="GG165" s="394"/>
      <c r="GJ165" s="394"/>
      <c r="GK165" s="392"/>
      <c r="GL165" s="392"/>
      <c r="GM165" s="394"/>
      <c r="GO165" s="394"/>
      <c r="GP165" s="394"/>
      <c r="GQ165" s="392"/>
      <c r="GR165" s="392"/>
      <c r="GS165" s="394"/>
      <c r="GT165" s="394"/>
    </row>
    <row r="166" spans="1:209" s="390" customFormat="1" ht="12.75" hidden="1" customHeight="1" x14ac:dyDescent="0.15">
      <c r="A166" s="565" t="s">
        <v>121</v>
      </c>
      <c r="B166" s="1632" t="s">
        <v>120</v>
      </c>
      <c r="C166" s="2162" t="s">
        <v>314</v>
      </c>
      <c r="D166" s="2162" t="s">
        <v>132</v>
      </c>
      <c r="E166" s="2162" t="s">
        <v>313</v>
      </c>
      <c r="F166" s="2162" t="s">
        <v>273</v>
      </c>
      <c r="G166" s="2162" t="s">
        <v>1560</v>
      </c>
      <c r="H166" s="1633" t="s">
        <v>118</v>
      </c>
      <c r="I166" s="1634" t="s">
        <v>239</v>
      </c>
      <c r="J166" s="1848" t="s">
        <v>584</v>
      </c>
      <c r="K166" s="1844" t="s">
        <v>744</v>
      </c>
      <c r="L166" s="1844" t="s">
        <v>741</v>
      </c>
      <c r="M166" s="1840" t="s">
        <v>738</v>
      </c>
      <c r="N166" s="1840" t="s">
        <v>742</v>
      </c>
      <c r="O166" s="1840" t="s">
        <v>743</v>
      </c>
      <c r="P166" s="1703" t="s">
        <v>776</v>
      </c>
      <c r="Q166" s="1978" t="s">
        <v>305</v>
      </c>
      <c r="R166" s="1978" t="s">
        <v>1562</v>
      </c>
      <c r="S166" s="1683"/>
      <c r="T166" s="1683"/>
      <c r="U166" s="1683"/>
      <c r="V166" s="1683"/>
      <c r="W166" s="1683"/>
      <c r="X166" s="1683"/>
      <c r="Y166" s="1683"/>
      <c r="Z166" s="1683"/>
      <c r="AA166" s="1683"/>
      <c r="AB166" s="1683"/>
      <c r="AC166" s="1683"/>
      <c r="AD166" s="1683"/>
      <c r="AE166" s="1638"/>
      <c r="AF166" s="1639"/>
      <c r="AG166" s="1638"/>
      <c r="AH166" s="1638"/>
      <c r="AI166" s="1638"/>
      <c r="AJ166" s="1635"/>
      <c r="AK166" s="1638"/>
      <c r="AL166" s="1635"/>
      <c r="AM166" s="1638"/>
      <c r="AN166" s="1635"/>
      <c r="AO166" s="1638"/>
      <c r="AP166" s="1635"/>
      <c r="AQ166" s="1638"/>
      <c r="AR166" s="1635"/>
      <c r="AS166" s="1638"/>
      <c r="AT166" s="1635"/>
      <c r="AU166" s="1635"/>
      <c r="AV166" s="1635"/>
      <c r="AW166" s="1635"/>
      <c r="AX166" s="1635"/>
      <c r="AY166" s="1635"/>
      <c r="AZ166" s="1635"/>
      <c r="BA166" s="1635"/>
      <c r="BB166" s="1635"/>
      <c r="BC166" s="1635"/>
      <c r="BD166" s="1635"/>
      <c r="BE166" s="1635"/>
      <c r="BF166" s="1639"/>
      <c r="BG166" s="1636"/>
      <c r="BH166" s="1636"/>
      <c r="BI166" s="1636"/>
      <c r="BJ166" s="1636"/>
      <c r="BK166" s="1636"/>
      <c r="BL166" s="1636"/>
      <c r="BM166" s="1636"/>
      <c r="BN166" s="1636"/>
      <c r="BO166" s="1636"/>
      <c r="BP166" s="1683"/>
      <c r="BQ166" s="1703"/>
      <c r="BR166" s="1704"/>
      <c r="BS166" s="1683">
        <v>0</v>
      </c>
      <c r="BT166" s="1683"/>
      <c r="BU166" s="1703"/>
      <c r="BV166" s="1704"/>
      <c r="BW166" s="1683"/>
      <c r="BX166" s="1683"/>
      <c r="BY166" s="1683"/>
      <c r="BZ166" s="1683"/>
      <c r="CA166" s="1683"/>
      <c r="CB166" s="1683"/>
      <c r="CC166" s="1683"/>
      <c r="CD166" s="1703"/>
      <c r="CE166" s="1704"/>
      <c r="CF166" s="1635"/>
      <c r="CI166" s="1639"/>
      <c r="CJ166" s="1639"/>
      <c r="CK166" s="1639"/>
      <c r="CL166" s="1639"/>
      <c r="CM166" s="1639"/>
      <c r="CN166" s="1639"/>
      <c r="CO166" s="1639"/>
      <c r="CP166" s="1639"/>
      <c r="CQ166" s="1639"/>
      <c r="CR166" s="1639"/>
      <c r="CS166" s="1639"/>
      <c r="CT166" s="1639"/>
      <c r="CU166" s="1639"/>
      <c r="CV166" s="1639"/>
      <c r="CW166" s="1639"/>
      <c r="CX166" s="1639"/>
      <c r="CY166" s="1639"/>
      <c r="CZ166" s="1639"/>
      <c r="DA166" s="1639"/>
      <c r="DB166" s="1639"/>
      <c r="DC166" s="1639"/>
      <c r="DD166" s="1639"/>
      <c r="DE166" s="1639"/>
      <c r="DF166" s="1639"/>
      <c r="DG166" s="1639"/>
      <c r="DH166" s="1639"/>
      <c r="DI166" s="1640"/>
      <c r="DJ166" s="1635"/>
      <c r="DK166" s="1635"/>
      <c r="DL166" s="1635"/>
      <c r="DM166" s="1635"/>
      <c r="DN166" s="1635"/>
      <c r="DO166" s="1635"/>
      <c r="DP166" s="1635"/>
      <c r="DQ166" s="1635"/>
      <c r="DR166" s="1639"/>
      <c r="DS166" s="1639"/>
      <c r="DT166" s="1638"/>
      <c r="DU166" s="1638"/>
      <c r="DV166" s="1639"/>
      <c r="DW166" s="1635"/>
      <c r="DX166" s="1639"/>
      <c r="DY166" s="1638"/>
      <c r="DZ166" s="1638"/>
      <c r="EA166" s="1639"/>
      <c r="EB166" s="1639"/>
      <c r="EC166" s="1635"/>
      <c r="ED166" s="1638"/>
      <c r="EE166" s="1638"/>
      <c r="EF166" s="1639"/>
      <c r="EG166" s="1639"/>
      <c r="EH166" s="1639"/>
      <c r="EI166" s="1635"/>
      <c r="EJ166" s="1638"/>
      <c r="EK166" s="1638"/>
      <c r="EL166" s="1639"/>
      <c r="EM166" s="1639"/>
      <c r="EN166" s="1639"/>
      <c r="EO166" s="1635"/>
      <c r="EP166" s="1638"/>
      <c r="EQ166" s="1638"/>
      <c r="ER166" s="1639"/>
      <c r="ES166" s="1639"/>
      <c r="ET166" s="1639"/>
      <c r="EU166" s="1635"/>
      <c r="EV166" s="1638"/>
      <c r="EW166" s="1638"/>
      <c r="EX166" s="1639"/>
      <c r="EY166" s="1639"/>
      <c r="EZ166" s="1639"/>
      <c r="FA166" s="1635"/>
      <c r="FB166" s="1638"/>
      <c r="FC166" s="1638"/>
      <c r="FD166" s="1639"/>
      <c r="FE166" s="1639"/>
      <c r="FF166" s="1639"/>
      <c r="FG166" s="1635"/>
      <c r="FH166" s="1638"/>
      <c r="FI166" s="1638"/>
      <c r="FJ166" s="1639"/>
      <c r="FK166" s="1639"/>
      <c r="FL166" s="1639"/>
      <c r="FM166" s="1635"/>
      <c r="FN166" s="1638"/>
      <c r="FO166" s="1638"/>
      <c r="FP166" s="1639"/>
      <c r="FQ166" s="1639"/>
      <c r="FR166" s="1639"/>
      <c r="FS166" s="1635"/>
      <c r="FT166" s="1638"/>
      <c r="FU166" s="1638"/>
      <c r="FV166" s="1639"/>
      <c r="FW166" s="1639"/>
      <c r="FX166" s="1639"/>
      <c r="FY166" s="1635"/>
      <c r="FZ166" s="1638"/>
      <c r="GA166" s="1638"/>
      <c r="GB166" s="1639"/>
      <c r="GC166" s="1639"/>
      <c r="GD166" s="1639"/>
      <c r="GE166" s="1635"/>
      <c r="GF166" s="1638"/>
      <c r="GG166" s="1635"/>
      <c r="GH166" s="1638"/>
      <c r="GI166" s="1639"/>
      <c r="GJ166" s="1639"/>
      <c r="GK166" s="1635"/>
      <c r="GL166" s="1638"/>
      <c r="GM166" s="1635"/>
      <c r="GN166" s="1638"/>
      <c r="GO166" s="1639"/>
      <c r="GP166" s="1638"/>
      <c r="GQ166" s="1635"/>
      <c r="GR166" s="1638"/>
      <c r="GS166" s="1635"/>
      <c r="GT166" s="1635"/>
      <c r="GU166" s="1638"/>
      <c r="HA166" s="1640"/>
    </row>
    <row r="167" spans="1:209" s="1640" customFormat="1" ht="15" hidden="1" customHeight="1" x14ac:dyDescent="0.15">
      <c r="A167" s="2727" t="s">
        <v>382</v>
      </c>
      <c r="B167" s="2728" t="s">
        <v>381</v>
      </c>
      <c r="C167" s="2162" t="s">
        <v>1015</v>
      </c>
      <c r="D167" s="2162" t="s">
        <v>216</v>
      </c>
      <c r="E167" s="2162" t="s">
        <v>737</v>
      </c>
      <c r="F167" s="2162" t="s">
        <v>325</v>
      </c>
      <c r="G167" s="2162" t="s">
        <v>1561</v>
      </c>
      <c r="H167" s="1641" t="s">
        <v>389</v>
      </c>
      <c r="I167" s="1837" t="str">
        <f>H3</f>
        <v>Mbps</v>
      </c>
      <c r="J167" s="1642" t="s">
        <v>408</v>
      </c>
      <c r="K167" s="1769" t="s">
        <v>408</v>
      </c>
      <c r="L167" s="1769" t="s">
        <v>740</v>
      </c>
      <c r="M167" s="1769" t="s">
        <v>718</v>
      </c>
      <c r="N167" s="1769" t="s">
        <v>718</v>
      </c>
      <c r="O167" s="1769" t="s">
        <v>718</v>
      </c>
      <c r="P167" s="1874" t="s">
        <v>727</v>
      </c>
      <c r="Q167" s="1874" t="s">
        <v>727</v>
      </c>
      <c r="R167" s="1874" t="s">
        <v>1560</v>
      </c>
      <c r="S167" s="1186"/>
      <c r="W167" s="2064" t="s">
        <v>948</v>
      </c>
      <c r="AE167" s="390"/>
      <c r="AF167" s="390"/>
      <c r="AG167" s="390"/>
      <c r="AH167" s="390"/>
      <c r="AJ167" s="392"/>
      <c r="AL167" s="392"/>
      <c r="AN167" s="392"/>
      <c r="AP167" s="392"/>
      <c r="AR167" s="392"/>
      <c r="AT167" s="392"/>
      <c r="AU167" s="392"/>
      <c r="AV167" s="392"/>
      <c r="AW167" s="392"/>
      <c r="AX167" s="392"/>
      <c r="AY167" s="392"/>
      <c r="AZ167" s="392"/>
      <c r="BA167" s="392"/>
      <c r="BB167" s="392"/>
      <c r="BC167" s="392"/>
      <c r="BD167" s="392"/>
      <c r="BE167" s="392"/>
      <c r="BF167" s="390"/>
      <c r="BG167" s="392"/>
      <c r="BH167" s="392"/>
      <c r="BI167" s="392"/>
      <c r="BJ167" s="392"/>
      <c r="BK167" s="392"/>
      <c r="BL167" s="392"/>
      <c r="BM167" s="392"/>
      <c r="BN167" s="392"/>
      <c r="BO167" s="392"/>
      <c r="BP167" s="1186"/>
      <c r="BQ167" s="1186"/>
      <c r="BR167" s="1186"/>
      <c r="BS167" s="1186"/>
      <c r="BT167" s="1186"/>
      <c r="BU167" s="1186"/>
      <c r="BV167" s="1186"/>
      <c r="BW167" s="1186"/>
      <c r="BX167" s="1186"/>
      <c r="BY167" s="1186"/>
      <c r="BZ167" s="1186"/>
      <c r="CA167" s="1186"/>
      <c r="CB167" s="1186"/>
      <c r="CC167" s="1186"/>
      <c r="CD167" s="1186"/>
      <c r="CE167" s="1186"/>
      <c r="CF167" s="392"/>
      <c r="CI167" s="390"/>
      <c r="CJ167" s="390"/>
      <c r="CK167" s="390"/>
      <c r="CL167" s="390"/>
      <c r="CM167" s="390"/>
      <c r="CN167" s="390"/>
      <c r="CO167" s="390"/>
      <c r="CP167" s="390"/>
      <c r="CQ167" s="390"/>
      <c r="CR167" s="390"/>
      <c r="CS167" s="390"/>
      <c r="CT167" s="390"/>
      <c r="CU167" s="390"/>
      <c r="CV167" s="390"/>
      <c r="CW167" s="390"/>
      <c r="CX167" s="390"/>
      <c r="CY167" s="1643"/>
      <c r="CZ167" s="1644"/>
      <c r="DA167" s="1644"/>
      <c r="DB167" s="1644"/>
      <c r="DC167" s="1644"/>
      <c r="DD167" s="1644"/>
      <c r="DE167" s="1644"/>
      <c r="DF167" s="1644"/>
      <c r="DG167" s="1644"/>
      <c r="DH167" s="1644"/>
      <c r="DI167" s="390"/>
      <c r="DJ167" s="392"/>
      <c r="DK167" s="392"/>
      <c r="DL167" s="392"/>
      <c r="DM167" s="392"/>
      <c r="DN167" s="392"/>
      <c r="DO167" s="392"/>
      <c r="DP167" s="392"/>
      <c r="DQ167" s="392"/>
      <c r="DR167" s="390"/>
      <c r="DS167" s="390"/>
      <c r="DT167" s="394"/>
      <c r="DU167" s="394"/>
      <c r="DV167" s="390"/>
      <c r="DW167" s="392"/>
      <c r="DX167" s="390"/>
      <c r="DY167" s="394"/>
      <c r="DZ167" s="394"/>
      <c r="EA167" s="390"/>
      <c r="EB167" s="390"/>
      <c r="EC167" s="392"/>
      <c r="ED167" s="394"/>
      <c r="EE167" s="394"/>
      <c r="EF167" s="390"/>
      <c r="EG167" s="390"/>
      <c r="EH167" s="390"/>
      <c r="EI167" s="392"/>
      <c r="EJ167" s="394"/>
      <c r="EK167" s="394"/>
      <c r="EL167" s="390"/>
      <c r="EM167" s="390"/>
      <c r="EN167" s="390"/>
      <c r="EO167" s="392"/>
      <c r="EP167" s="394"/>
      <c r="EQ167" s="394"/>
      <c r="ER167" s="390"/>
      <c r="ES167" s="390"/>
      <c r="ET167" s="390"/>
      <c r="EU167" s="392"/>
      <c r="EV167" s="394"/>
      <c r="EW167" s="394"/>
      <c r="EX167" s="390"/>
      <c r="EY167" s="390"/>
      <c r="EZ167" s="390"/>
      <c r="FA167" s="392"/>
      <c r="FB167" s="394"/>
      <c r="FC167" s="394"/>
      <c r="FD167" s="390"/>
      <c r="FE167" s="390"/>
      <c r="FF167" s="390"/>
      <c r="FG167" s="392"/>
      <c r="FH167" s="394"/>
      <c r="FI167" s="394"/>
      <c r="FJ167" s="390"/>
      <c r="FK167" s="390"/>
      <c r="FL167" s="390"/>
      <c r="FM167" s="392"/>
      <c r="FN167" s="394"/>
      <c r="FO167" s="394"/>
      <c r="FP167" s="390"/>
      <c r="FQ167" s="390"/>
      <c r="FR167" s="390"/>
      <c r="FS167" s="392"/>
      <c r="FT167" s="394"/>
      <c r="FU167" s="394"/>
      <c r="FV167" s="390"/>
      <c r="FW167" s="390"/>
      <c r="FX167" s="390"/>
      <c r="FY167" s="392"/>
      <c r="FZ167" s="394"/>
      <c r="GA167" s="394"/>
      <c r="GB167" s="390"/>
      <c r="GC167" s="390"/>
      <c r="GD167" s="390"/>
      <c r="GE167" s="392"/>
      <c r="GF167" s="394"/>
      <c r="GG167" s="392"/>
      <c r="GH167" s="394"/>
      <c r="GI167" s="390"/>
      <c r="GJ167" s="390"/>
      <c r="GK167" s="392"/>
      <c r="GL167" s="394"/>
      <c r="GM167" s="392"/>
      <c r="GN167" s="394"/>
      <c r="GO167" s="390"/>
      <c r="GP167" s="394"/>
      <c r="GQ167" s="392"/>
      <c r="GR167" s="394"/>
      <c r="GS167" s="392"/>
      <c r="GT167" s="392"/>
      <c r="GU167" s="394"/>
      <c r="HA167" s="390"/>
    </row>
    <row r="168" spans="1:209" s="390" customFormat="1" ht="15" hidden="1" customHeight="1" x14ac:dyDescent="0.15">
      <c r="A168" s="775" t="str">
        <f>IF(ISERROR(FIND(":",B168)),B168,LEFT(B168,FIND(":",B168)-1))</f>
        <v>Client</v>
      </c>
      <c r="B168" s="1645" t="str">
        <f>A22</f>
        <v>Client</v>
      </c>
      <c r="C168" s="2163"/>
      <c r="D168" s="2163"/>
      <c r="E168" s="2166"/>
      <c r="F168" s="2166"/>
      <c r="G168" s="2166"/>
      <c r="H168" s="1646" t="s">
        <v>388</v>
      </c>
      <c r="I168" s="1834">
        <v>10000</v>
      </c>
      <c r="J168" s="1762" t="s">
        <v>737</v>
      </c>
      <c r="K168" s="1771" t="s">
        <v>526</v>
      </c>
      <c r="L168" s="1771" t="s">
        <v>739</v>
      </c>
      <c r="M168" s="1771" t="s">
        <v>1243</v>
      </c>
      <c r="N168" s="1771" t="s">
        <v>25</v>
      </c>
      <c r="O168" s="1771" t="s">
        <v>313</v>
      </c>
      <c r="P168" s="1771" t="s">
        <v>776</v>
      </c>
      <c r="Q168" s="1771" t="s">
        <v>305</v>
      </c>
      <c r="R168" s="1770" t="s">
        <v>776</v>
      </c>
      <c r="S168" s="1186"/>
      <c r="W168" s="2065" t="s">
        <v>949</v>
      </c>
      <c r="BG168" s="392"/>
      <c r="BH168" s="392"/>
      <c r="BI168" s="392"/>
      <c r="BJ168" s="392"/>
      <c r="BK168" s="392"/>
      <c r="BL168" s="392"/>
      <c r="BM168" s="392"/>
      <c r="BN168" s="392"/>
      <c r="BO168" s="392"/>
      <c r="BP168" s="1186"/>
      <c r="BQ168" s="1186"/>
      <c r="BR168" s="1186"/>
      <c r="BS168" s="1186"/>
      <c r="BT168" s="1186"/>
      <c r="BU168" s="1186"/>
      <c r="BV168" s="1186"/>
      <c r="BW168" s="1186"/>
      <c r="BX168" s="1186"/>
      <c r="BY168" s="1186"/>
      <c r="BZ168" s="1186"/>
      <c r="CA168" s="1186"/>
      <c r="CB168" s="1186"/>
      <c r="CC168" s="1186"/>
      <c r="CD168" s="1186"/>
      <c r="CE168" s="1186"/>
      <c r="CF168" s="392"/>
      <c r="CL168" s="394"/>
      <c r="CM168" s="391"/>
      <c r="CO168" s="392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J168" s="392"/>
      <c r="DK168" s="392"/>
      <c r="DL168" s="392"/>
      <c r="DM168" s="392"/>
      <c r="DN168" s="392"/>
      <c r="DO168" s="392"/>
      <c r="DP168" s="392"/>
      <c r="DQ168" s="392"/>
      <c r="DT168" s="394"/>
      <c r="DU168" s="394"/>
      <c r="DW168" s="392"/>
      <c r="DY168" s="394"/>
      <c r="DZ168" s="394"/>
      <c r="EC168" s="392"/>
      <c r="ED168" s="394"/>
      <c r="EE168" s="394"/>
      <c r="EI168" s="392"/>
      <c r="EJ168" s="394"/>
      <c r="EK168" s="394"/>
      <c r="EO168" s="392"/>
      <c r="EP168" s="394"/>
      <c r="EQ168" s="394"/>
      <c r="EU168" s="392"/>
      <c r="EV168" s="394"/>
      <c r="EW168" s="394"/>
      <c r="FA168" s="392"/>
      <c r="FB168" s="394"/>
      <c r="FC168" s="394"/>
      <c r="FG168" s="392"/>
      <c r="FH168" s="394"/>
      <c r="FI168" s="394"/>
      <c r="FM168" s="392"/>
      <c r="FN168" s="394"/>
      <c r="FO168" s="394"/>
      <c r="FS168" s="392"/>
      <c r="FT168" s="394"/>
      <c r="FU168" s="394"/>
      <c r="FY168" s="392"/>
      <c r="FZ168" s="394"/>
      <c r="GA168" s="394"/>
      <c r="GE168" s="392"/>
      <c r="GF168" s="394"/>
      <c r="GG168" s="392"/>
      <c r="GH168" s="394"/>
      <c r="GK168" s="392"/>
      <c r="GL168" s="394"/>
      <c r="GM168" s="392"/>
      <c r="GN168" s="394"/>
      <c r="GP168" s="394"/>
      <c r="GQ168" s="392"/>
      <c r="GR168" s="394"/>
      <c r="GS168" s="392"/>
      <c r="GT168" s="392"/>
      <c r="GU168" s="394"/>
    </row>
    <row r="169" spans="1:209" s="390" customFormat="1" ht="15" hidden="1" customHeight="1" thickBot="1" x14ac:dyDescent="0.2">
      <c r="A169" s="775" t="str">
        <f t="shared" ref="A169:A183" si="89">IF(ISERROR(FIND(":",B169)),B169,LEFT(B169,FIND(":",B169)-1))</f>
        <v>Tier01</v>
      </c>
      <c r="B169" s="1645" t="str">
        <f>B24</f>
        <v>Tier01: Platform Tier 01</v>
      </c>
      <c r="C169" s="2165" t="str">
        <f>B25</f>
        <v>Xeon E5-2637v4 4 core (1 chip) 3500 MHz</v>
      </c>
      <c r="D169" s="2161">
        <f>C25</f>
        <v>0</v>
      </c>
      <c r="E169" s="2167">
        <f>D25</f>
        <v>0</v>
      </c>
      <c r="F169" s="2168">
        <f>IF(I26=$H$189,L27,0)</f>
        <v>0</v>
      </c>
      <c r="G169" s="2999">
        <f>IF(AF24="",0,AF25)</f>
        <v>0</v>
      </c>
      <c r="H169" s="1647" t="s">
        <v>95</v>
      </c>
      <c r="I169" s="1835">
        <v>1000</v>
      </c>
      <c r="J169" s="1763" t="str">
        <f t="shared" ref="J169:J183" si="90">A169</f>
        <v>Tier01</v>
      </c>
      <c r="K169" s="1845" t="str">
        <f>$I$26</f>
        <v>Physical</v>
      </c>
      <c r="L169" s="1770">
        <f>IF(K169=$J$167,0,$I$24)</f>
        <v>0</v>
      </c>
      <c r="M169" s="1841">
        <f>IF($K169=$J$167,0,$J$24*$DQ$22)+J27*A26</f>
        <v>0</v>
      </c>
      <c r="N169" s="1843">
        <f>IF($K169=$J$167,0,$C$25*$F$26*IF($W$25=$W$167,2,1))</f>
        <v>0</v>
      </c>
      <c r="O169" s="1843">
        <f>IF($K169=$J$167,0,$D$25)</f>
        <v>0</v>
      </c>
      <c r="P169" s="1875">
        <f>IF(K169=$J$167,0,IF(B25=VLOOKUP(L169,HostArray,3,FALSE),1,0))</f>
        <v>0</v>
      </c>
      <c r="Q169" s="3000">
        <f>A24</f>
        <v>0</v>
      </c>
      <c r="R169" s="1875">
        <f t="shared" ref="R169:R183" si="91">IF(G169=0,0,IF(G169=VLOOKUP(L169,HostArray,9,FALSE),0,1))</f>
        <v>0</v>
      </c>
      <c r="S169" s="1186"/>
      <c r="BG169" s="392"/>
      <c r="BH169" s="392"/>
      <c r="BI169" s="392"/>
      <c r="BJ169" s="392"/>
      <c r="BK169" s="392"/>
      <c r="BL169" s="392"/>
      <c r="BM169" s="392"/>
      <c r="BN169" s="392"/>
      <c r="BO169" s="392"/>
      <c r="BP169" s="1186"/>
      <c r="BQ169" s="1186"/>
      <c r="BR169" s="1186"/>
      <c r="BS169" s="1186"/>
      <c r="BT169" s="1186"/>
      <c r="BU169" s="1186"/>
      <c r="BV169" s="1186"/>
      <c r="BW169" s="1186"/>
      <c r="BX169" s="1186"/>
      <c r="BY169" s="1186"/>
      <c r="BZ169" s="1186"/>
      <c r="CA169" s="1186"/>
      <c r="CB169" s="1186"/>
      <c r="CC169" s="1186"/>
      <c r="CD169" s="1186"/>
      <c r="CE169" s="1186"/>
      <c r="CF169" s="392"/>
      <c r="CL169" s="394"/>
      <c r="CM169" s="391"/>
      <c r="CO169" s="392"/>
      <c r="CY169" s="1635" t="s">
        <v>344</v>
      </c>
      <c r="CZ169" s="1635"/>
      <c r="DA169" s="1635"/>
      <c r="DB169" s="1635"/>
      <c r="DC169" s="1635"/>
      <c r="DD169" s="1635"/>
      <c r="DE169" s="1635"/>
      <c r="DF169" s="1635"/>
      <c r="DG169" s="1635"/>
      <c r="DH169" s="1635"/>
      <c r="DJ169" s="392"/>
      <c r="DK169" s="392"/>
      <c r="DL169" s="392"/>
      <c r="DM169" s="392"/>
      <c r="DN169" s="392"/>
      <c r="DO169" s="392"/>
      <c r="DP169" s="392"/>
      <c r="DQ169" s="392"/>
      <c r="DT169" s="394"/>
      <c r="DU169" s="394"/>
      <c r="DW169" s="392"/>
      <c r="DY169" s="394"/>
      <c r="DZ169" s="394"/>
      <c r="EC169" s="392"/>
      <c r="ED169" s="394"/>
      <c r="EE169" s="394"/>
      <c r="EI169" s="392"/>
      <c r="EJ169" s="394"/>
      <c r="EK169" s="394"/>
      <c r="EO169" s="392"/>
      <c r="EP169" s="394"/>
      <c r="EQ169" s="394"/>
      <c r="EU169" s="392"/>
      <c r="EV169" s="394"/>
      <c r="EW169" s="394"/>
      <c r="FA169" s="392"/>
      <c r="FB169" s="394"/>
      <c r="FC169" s="394"/>
      <c r="FG169" s="392"/>
      <c r="FH169" s="394"/>
      <c r="FI169" s="394"/>
      <c r="FM169" s="392"/>
      <c r="FN169" s="394"/>
      <c r="FO169" s="394"/>
      <c r="FS169" s="392"/>
      <c r="FT169" s="394"/>
      <c r="FU169" s="394"/>
      <c r="FY169" s="392"/>
      <c r="FZ169" s="394"/>
      <c r="GA169" s="394"/>
      <c r="GE169" s="392"/>
      <c r="GF169" s="394"/>
      <c r="GG169" s="392"/>
      <c r="GH169" s="394"/>
      <c r="GK169" s="392"/>
      <c r="GL169" s="394"/>
      <c r="GM169" s="392"/>
      <c r="GN169" s="394"/>
      <c r="GP169" s="394"/>
      <c r="GQ169" s="392"/>
      <c r="GR169" s="394"/>
      <c r="GS169" s="392"/>
      <c r="GT169" s="392"/>
      <c r="GU169" s="394"/>
    </row>
    <row r="170" spans="1:209" s="390" customFormat="1" ht="15" hidden="1" customHeight="1" x14ac:dyDescent="0.15">
      <c r="A170" s="775" t="str">
        <f t="shared" si="89"/>
        <v>Tier02</v>
      </c>
      <c r="B170" s="1645" t="str">
        <f>B28</f>
        <v>Tier02: Platform Tier 02</v>
      </c>
      <c r="C170" s="2165" t="str">
        <f>B29</f>
        <v>Xeon E5-2637v4 4 core (1 chip) 3500 MHz</v>
      </c>
      <c r="D170" s="2161">
        <f>C29</f>
        <v>0</v>
      </c>
      <c r="E170" s="2167">
        <f>D29</f>
        <v>0</v>
      </c>
      <c r="F170" s="2168">
        <f>IF(I30=$H$189,L31,0)</f>
        <v>0</v>
      </c>
      <c r="G170" s="2999">
        <f>IF(AF28="",0,AF29)</f>
        <v>0</v>
      </c>
      <c r="H170" s="1705" t="s">
        <v>397</v>
      </c>
      <c r="I170" s="1835">
        <v>100</v>
      </c>
      <c r="J170" s="1763" t="str">
        <f t="shared" si="90"/>
        <v>Tier02</v>
      </c>
      <c r="K170" s="1845" t="str">
        <f>$I$30</f>
        <v>Physical</v>
      </c>
      <c r="L170" s="1770">
        <f>IF(K170=$J$167,0,$I$28)</f>
        <v>0</v>
      </c>
      <c r="M170" s="1841">
        <f>IF($K170=$J$167,0,$J$28*$DW$22)+J31*A30</f>
        <v>0</v>
      </c>
      <c r="N170" s="1843">
        <f>IF($K170=$J$167,0,$C$29*$F$30*IF($W$29=$W$167,2,1))</f>
        <v>0</v>
      </c>
      <c r="O170" s="1843">
        <f>IF($K170=$J$167,0,$D$29)</f>
        <v>0</v>
      </c>
      <c r="P170" s="1843">
        <f>IF(K170=$J$167,0,IF(B29=VLOOKUP(L170,HostArray,3,0),1,0))</f>
        <v>0</v>
      </c>
      <c r="Q170" s="3001">
        <f>A28</f>
        <v>0</v>
      </c>
      <c r="R170" s="1843">
        <f t="shared" si="91"/>
        <v>0</v>
      </c>
      <c r="S170" s="1186"/>
      <c r="BG170" s="392"/>
      <c r="BH170" s="392"/>
      <c r="BI170" s="392"/>
      <c r="BJ170" s="392"/>
      <c r="BK170" s="392"/>
      <c r="BL170" s="392"/>
      <c r="BM170" s="392"/>
      <c r="BN170" s="392"/>
      <c r="BO170" s="392"/>
      <c r="BP170" s="1186"/>
      <c r="BQ170" s="1186"/>
      <c r="BR170" s="1186"/>
      <c r="BS170" s="1186"/>
      <c r="BT170" s="1186"/>
      <c r="BU170" s="1186"/>
      <c r="BV170" s="1186"/>
      <c r="BW170" s="1186"/>
      <c r="BX170" s="1186"/>
      <c r="BY170" s="1186"/>
      <c r="BZ170" s="1186"/>
      <c r="CA170" s="1186"/>
      <c r="CB170" s="1186"/>
      <c r="CC170" s="1186"/>
      <c r="CD170" s="1186"/>
      <c r="CE170" s="1186"/>
      <c r="CF170" s="392"/>
      <c r="CL170" s="394"/>
      <c r="CM170" s="391"/>
      <c r="CO170" s="392"/>
      <c r="CY170" s="1648">
        <f>A25</f>
        <v>0</v>
      </c>
      <c r="CZ170" s="1649"/>
      <c r="DA170" s="1649"/>
      <c r="DB170" s="1649"/>
      <c r="DC170" s="1649"/>
      <c r="DD170" s="1650"/>
      <c r="DE170" s="1650"/>
      <c r="DF170" s="1650"/>
      <c r="DG170" s="1650"/>
      <c r="DH170" s="1651"/>
      <c r="DJ170" s="392"/>
      <c r="DK170" s="392"/>
      <c r="DL170" s="392"/>
      <c r="DM170" s="392"/>
      <c r="DN170" s="392"/>
      <c r="DO170" s="392"/>
      <c r="DP170" s="392"/>
      <c r="DQ170" s="392"/>
      <c r="DT170" s="394"/>
      <c r="DU170" s="394"/>
      <c r="DW170" s="392"/>
      <c r="DY170" s="394"/>
      <c r="DZ170" s="394"/>
      <c r="EC170" s="392"/>
      <c r="ED170" s="394"/>
      <c r="EE170" s="394"/>
      <c r="EI170" s="392"/>
      <c r="EJ170" s="394"/>
      <c r="EK170" s="394"/>
      <c r="EO170" s="392"/>
      <c r="EP170" s="394"/>
      <c r="EQ170" s="394"/>
      <c r="EU170" s="392"/>
      <c r="EV170" s="394"/>
      <c r="EW170" s="394"/>
      <c r="FA170" s="392"/>
      <c r="FB170" s="394"/>
      <c r="FC170" s="394"/>
      <c r="FG170" s="392"/>
      <c r="FH170" s="394"/>
      <c r="FI170" s="394"/>
      <c r="FM170" s="392"/>
      <c r="FN170" s="394"/>
      <c r="FO170" s="394"/>
      <c r="FS170" s="392"/>
      <c r="FT170" s="394"/>
      <c r="FU170" s="394"/>
      <c r="FY170" s="392"/>
      <c r="FZ170" s="394"/>
      <c r="GA170" s="394"/>
      <c r="GE170" s="392"/>
      <c r="GF170" s="394"/>
      <c r="GG170" s="392"/>
      <c r="GH170" s="394"/>
      <c r="GK170" s="392"/>
      <c r="GL170" s="394"/>
      <c r="GM170" s="392"/>
      <c r="GN170" s="394"/>
      <c r="GP170" s="394"/>
      <c r="GQ170" s="392"/>
      <c r="GR170" s="394"/>
      <c r="GS170" s="392"/>
      <c r="GT170" s="392"/>
      <c r="GU170" s="394"/>
    </row>
    <row r="171" spans="1:209" s="390" customFormat="1" ht="15" hidden="1" customHeight="1" x14ac:dyDescent="0.15">
      <c r="A171" s="775" t="str">
        <f t="shared" si="89"/>
        <v>Tier03</v>
      </c>
      <c r="B171" s="1645" t="str">
        <f>B32</f>
        <v>Tier03: Platform Tier 03</v>
      </c>
      <c r="C171" s="2165" t="str">
        <f>B33</f>
        <v>Xeon E5-2637v4 4 core (1 chip) 3500 MHz</v>
      </c>
      <c r="D171" s="2161">
        <f>C33</f>
        <v>0</v>
      </c>
      <c r="E171" s="2167">
        <f>D33</f>
        <v>0</v>
      </c>
      <c r="F171" s="2168">
        <f>IF(I34=$H$189,L35,0)</f>
        <v>0</v>
      </c>
      <c r="G171" s="2999">
        <f>IF(AF32="",0,AF33)</f>
        <v>0</v>
      </c>
      <c r="H171" s="429" t="s">
        <v>409</v>
      </c>
      <c r="I171" s="1836">
        <v>10</v>
      </c>
      <c r="J171" s="1763" t="str">
        <f t="shared" si="90"/>
        <v>Tier03</v>
      </c>
      <c r="K171" s="1845" t="str">
        <f>$I$34</f>
        <v>Physical</v>
      </c>
      <c r="L171" s="1770">
        <f>IF(K171=$J$167,0,$I$32)</f>
        <v>0</v>
      </c>
      <c r="M171" s="1841">
        <f>IF($K171=$J$167,0,$J32*$EC$22)+J35*A34</f>
        <v>0</v>
      </c>
      <c r="N171" s="1843">
        <f>IF($K171=$J$167,0,$C$33*$F$34*IF($W$33=$W$167,2,1))</f>
        <v>0</v>
      </c>
      <c r="O171" s="1843">
        <f>IF($K171=$J$167,0,$D$33)</f>
        <v>0</v>
      </c>
      <c r="P171" s="1843">
        <f>IF(K171=$J$167,0,IF(B33=VLOOKUP(L171,HostArray,3,0),1,0))</f>
        <v>0</v>
      </c>
      <c r="Q171" s="3001">
        <f>A32</f>
        <v>0</v>
      </c>
      <c r="R171" s="1843">
        <f t="shared" si="91"/>
        <v>0</v>
      </c>
      <c r="S171" s="1186"/>
      <c r="BG171" s="393"/>
      <c r="BH171" s="393"/>
      <c r="BI171" s="393"/>
      <c r="BJ171" s="393"/>
      <c r="BK171" s="393"/>
      <c r="BL171" s="393"/>
      <c r="BM171" s="393"/>
      <c r="BN171" s="393"/>
      <c r="BO171" s="393"/>
      <c r="BP171" s="1186"/>
      <c r="BQ171" s="1186"/>
      <c r="BR171" s="1186"/>
      <c r="BS171" s="1186"/>
      <c r="BT171" s="1186"/>
      <c r="BU171" s="1186"/>
      <c r="BV171" s="1186"/>
      <c r="BW171" s="1186"/>
      <c r="BX171" s="1186"/>
      <c r="BY171" s="1186"/>
      <c r="BZ171" s="1186"/>
      <c r="CA171" s="1186"/>
      <c r="CB171" s="1186"/>
      <c r="CC171" s="1186"/>
      <c r="CD171" s="1186"/>
      <c r="CE171" s="1186"/>
      <c r="CL171" s="394"/>
      <c r="CM171" s="391"/>
      <c r="CO171" s="392"/>
      <c r="CY171" s="1652"/>
      <c r="CZ171" s="1653">
        <f>A29</f>
        <v>0</v>
      </c>
      <c r="DA171" s="1425"/>
      <c r="DB171" s="1425"/>
      <c r="DC171" s="1425"/>
      <c r="DD171" s="1654"/>
      <c r="DE171" s="1654"/>
      <c r="DF171" s="1654"/>
      <c r="DG171" s="1654"/>
      <c r="DH171" s="1655"/>
      <c r="DJ171" s="392"/>
      <c r="DK171" s="392"/>
      <c r="DL171" s="392"/>
      <c r="DM171" s="392"/>
      <c r="DN171" s="392"/>
      <c r="DO171" s="392"/>
      <c r="DP171" s="392"/>
      <c r="DQ171" s="392"/>
      <c r="DT171" s="394"/>
      <c r="DU171" s="394"/>
      <c r="DW171" s="392"/>
      <c r="DY171" s="394"/>
      <c r="DZ171" s="394"/>
      <c r="EC171" s="392"/>
      <c r="ED171" s="394"/>
      <c r="EE171" s="394"/>
      <c r="EI171" s="392"/>
      <c r="EJ171" s="394"/>
      <c r="EK171" s="394"/>
      <c r="EO171" s="392"/>
      <c r="EP171" s="394"/>
      <c r="EQ171" s="394"/>
      <c r="EU171" s="392"/>
      <c r="EV171" s="394"/>
      <c r="EW171" s="394"/>
      <c r="FA171" s="392"/>
      <c r="FB171" s="394"/>
      <c r="FC171" s="394"/>
      <c r="FG171" s="392"/>
      <c r="FH171" s="394"/>
      <c r="FI171" s="394"/>
      <c r="FM171" s="392"/>
      <c r="FN171" s="394"/>
      <c r="FO171" s="394"/>
      <c r="FS171" s="392"/>
      <c r="FT171" s="394"/>
      <c r="FU171" s="394"/>
      <c r="FY171" s="392"/>
      <c r="FZ171" s="394"/>
      <c r="GA171" s="394"/>
      <c r="GE171" s="392"/>
      <c r="GF171" s="394"/>
      <c r="GG171" s="392"/>
      <c r="GH171" s="394"/>
      <c r="GK171" s="392"/>
      <c r="GL171" s="394"/>
      <c r="GM171" s="392"/>
      <c r="GN171" s="394"/>
      <c r="GP171" s="394"/>
      <c r="GQ171" s="392"/>
      <c r="GR171" s="394"/>
      <c r="GS171" s="392"/>
      <c r="GT171" s="392"/>
      <c r="GU171" s="394"/>
    </row>
    <row r="172" spans="1:209" s="390" customFormat="1" ht="15" hidden="1" customHeight="1" x14ac:dyDescent="0.2">
      <c r="A172" s="775" t="str">
        <f t="shared" si="89"/>
        <v>Tier04</v>
      </c>
      <c r="B172" s="1645" t="str">
        <f>B36</f>
        <v>Tier04: Platform Tier 04</v>
      </c>
      <c r="C172" s="2165" t="str">
        <f>B37</f>
        <v>Xeon E5-2637v4 4 core (1 chip) 3500 MHz</v>
      </c>
      <c r="D172" s="2161">
        <f>C37</f>
        <v>0</v>
      </c>
      <c r="E172" s="2167">
        <f>D37</f>
        <v>0</v>
      </c>
      <c r="F172" s="2168">
        <f>IF(I38=$H$189,L39,0)</f>
        <v>0</v>
      </c>
      <c r="G172" s="2999">
        <f>IF(AF36="",0,AF37)</f>
        <v>0</v>
      </c>
      <c r="H172" s="1656" t="s">
        <v>119</v>
      </c>
      <c r="I172" s="1835">
        <v>9600</v>
      </c>
      <c r="J172" s="1763" t="str">
        <f t="shared" si="90"/>
        <v>Tier04</v>
      </c>
      <c r="K172" s="1845" t="str">
        <f>$I$38</f>
        <v>Physical</v>
      </c>
      <c r="L172" s="1770">
        <f>IF(K172=$J$167,0,$I$36)</f>
        <v>0</v>
      </c>
      <c r="M172" s="1841">
        <f>IF($K172=$J$167,0,$J36*$EI$22)+J39*A38</f>
        <v>0</v>
      </c>
      <c r="N172" s="1843">
        <f>IF($K172=$J$167,0,$C$37*$F$38*IF($W$37=$W$167,2,1))</f>
        <v>0</v>
      </c>
      <c r="O172" s="1843">
        <f>IF($K172=$J$167,0,$D$37)</f>
        <v>0</v>
      </c>
      <c r="P172" s="1843">
        <f>IF(K172=$J$167,0,IF(B37=VLOOKUP(L172,HostArray,3,0),1,0))</f>
        <v>0</v>
      </c>
      <c r="Q172" s="3001">
        <f>A36</f>
        <v>0</v>
      </c>
      <c r="R172" s="1843">
        <f t="shared" si="91"/>
        <v>0</v>
      </c>
      <c r="S172" s="1186" t="s">
        <v>1188</v>
      </c>
      <c r="T172" s="88" t="s">
        <v>1189</v>
      </c>
      <c r="AJ172" s="392"/>
      <c r="AL172" s="392"/>
      <c r="AN172" s="392"/>
      <c r="AP172" s="392"/>
      <c r="AR172" s="392"/>
      <c r="AT172" s="392"/>
      <c r="AU172" s="392"/>
      <c r="AV172" s="392"/>
      <c r="AW172" s="392"/>
      <c r="AX172" s="392"/>
      <c r="AY172" s="392"/>
      <c r="AZ172" s="392"/>
      <c r="BA172" s="392"/>
      <c r="BB172" s="392"/>
      <c r="BC172" s="392"/>
      <c r="BD172" s="392"/>
      <c r="BE172" s="392"/>
      <c r="BG172" s="393"/>
      <c r="BH172" s="393"/>
      <c r="BI172" s="393"/>
      <c r="BJ172" s="393"/>
      <c r="BK172" s="393"/>
      <c r="BL172" s="393"/>
      <c r="BM172" s="393"/>
      <c r="BN172" s="393"/>
      <c r="BO172" s="393"/>
      <c r="BP172" s="1186"/>
      <c r="BQ172" s="1186"/>
      <c r="BR172" s="1186"/>
      <c r="BS172" s="1186"/>
      <c r="BT172" s="1186"/>
      <c r="BU172" s="1186"/>
      <c r="BV172" s="1186"/>
      <c r="BW172" s="1186"/>
      <c r="BX172" s="1186"/>
      <c r="BY172" s="1186"/>
      <c r="BZ172" s="1186"/>
      <c r="CA172" s="1186"/>
      <c r="CB172" s="1186"/>
      <c r="CC172" s="1186"/>
      <c r="CD172" s="1186"/>
      <c r="CE172" s="1186"/>
      <c r="CF172" s="392"/>
      <c r="CY172" s="1652"/>
      <c r="CZ172" s="1425"/>
      <c r="DA172" s="1653">
        <f>A33</f>
        <v>0</v>
      </c>
      <c r="DB172" s="1425"/>
      <c r="DC172" s="1425"/>
      <c r="DD172" s="1654"/>
      <c r="DE172" s="1654"/>
      <c r="DF172" s="1654"/>
      <c r="DG172" s="1654"/>
      <c r="DH172" s="1655"/>
      <c r="DJ172" s="392"/>
      <c r="DK172" s="392"/>
      <c r="DL172" s="392"/>
      <c r="DM172" s="392"/>
      <c r="DN172" s="392"/>
      <c r="DO172" s="392"/>
      <c r="DP172" s="392"/>
      <c r="DQ172" s="392"/>
      <c r="DT172" s="394"/>
      <c r="DU172" s="394"/>
      <c r="DW172" s="392"/>
      <c r="DY172" s="394"/>
      <c r="DZ172" s="394"/>
      <c r="EC172" s="392"/>
      <c r="ED172" s="394"/>
      <c r="EE172" s="394"/>
      <c r="EI172" s="392"/>
      <c r="EJ172" s="394"/>
      <c r="EK172" s="394"/>
      <c r="EO172" s="392"/>
      <c r="EP172" s="394"/>
      <c r="EQ172" s="394"/>
      <c r="EU172" s="392"/>
      <c r="EV172" s="394"/>
      <c r="EW172" s="394"/>
      <c r="FA172" s="392"/>
      <c r="FB172" s="394"/>
      <c r="FC172" s="394"/>
      <c r="FG172" s="392"/>
      <c r="FH172" s="394"/>
      <c r="FI172" s="394"/>
      <c r="FM172" s="392"/>
      <c r="FN172" s="394"/>
      <c r="FO172" s="394"/>
      <c r="FS172" s="392"/>
      <c r="FT172" s="394"/>
      <c r="FU172" s="394"/>
      <c r="FY172" s="392"/>
      <c r="FZ172" s="394"/>
      <c r="GA172" s="394"/>
      <c r="GE172" s="392"/>
      <c r="GF172" s="394"/>
      <c r="GG172" s="392"/>
      <c r="GH172" s="394"/>
      <c r="GK172" s="392"/>
      <c r="GL172" s="394"/>
      <c r="GM172" s="392"/>
      <c r="GN172" s="394"/>
      <c r="GP172" s="394"/>
      <c r="GQ172" s="392"/>
      <c r="GR172" s="394"/>
      <c r="GS172" s="392"/>
      <c r="GT172" s="392"/>
      <c r="GU172" s="394"/>
    </row>
    <row r="173" spans="1:209" s="390" customFormat="1" ht="15" hidden="1" customHeight="1" x14ac:dyDescent="0.2">
      <c r="A173" s="775" t="str">
        <f t="shared" si="89"/>
        <v>Tier05</v>
      </c>
      <c r="B173" s="1645" t="str">
        <f>B40</f>
        <v>Tier05: Platform Tier 05</v>
      </c>
      <c r="C173" s="2165" t="str">
        <f>B41</f>
        <v>Xeon E5-2637v4 4 core (1 chip) 3500 MHz</v>
      </c>
      <c r="D173" s="2161">
        <f>C41</f>
        <v>0</v>
      </c>
      <c r="E173" s="2167">
        <f>D41</f>
        <v>0</v>
      </c>
      <c r="F173" s="2168">
        <f>IF(I42=$H$189,L43,0)</f>
        <v>0</v>
      </c>
      <c r="G173" s="2999">
        <f>IF(AF40="",0,AF41)</f>
        <v>0</v>
      </c>
      <c r="H173" s="1657" t="s">
        <v>1304</v>
      </c>
      <c r="I173" s="1835">
        <v>2500</v>
      </c>
      <c r="J173" s="1763" t="str">
        <f t="shared" si="90"/>
        <v>Tier05</v>
      </c>
      <c r="K173" s="1845" t="str">
        <f>$I$42</f>
        <v>Physical</v>
      </c>
      <c r="L173" s="1770">
        <f>IF(K173=$J$167,0,$I$40)</f>
        <v>0</v>
      </c>
      <c r="M173" s="1841">
        <f>IF($K173=$J$167,0,$J40*$EO$22)+J43*A42</f>
        <v>0</v>
      </c>
      <c r="N173" s="1843">
        <f>IF($K173=$J$167,0,$C$41*$F$42*IF($W$41=$W$167,2,1))</f>
        <v>0</v>
      </c>
      <c r="O173" s="1843">
        <f>IF($K173=$J$167,0,$D$41)</f>
        <v>0</v>
      </c>
      <c r="P173" s="1843">
        <f>IF(K173=$J$167,0,IF(B41=VLOOKUP(L173,HostArray,3,0),1,0))</f>
        <v>0</v>
      </c>
      <c r="Q173" s="3001">
        <f>A40</f>
        <v>0</v>
      </c>
      <c r="R173" s="1843">
        <f t="shared" si="91"/>
        <v>0</v>
      </c>
      <c r="S173" s="1186" t="s">
        <v>1190</v>
      </c>
      <c r="T173" s="88" t="s">
        <v>1191</v>
      </c>
      <c r="U173" s="390" t="s">
        <v>117</v>
      </c>
      <c r="AE173" s="394"/>
      <c r="AG173" s="394"/>
      <c r="AH173" s="394"/>
      <c r="BP173" s="1186"/>
      <c r="BQ173" s="1186"/>
      <c r="BR173" s="1186"/>
      <c r="BS173" s="1186"/>
      <c r="BT173" s="1186"/>
      <c r="BU173" s="1186"/>
      <c r="BV173" s="1186"/>
      <c r="BW173" s="1186"/>
      <c r="BX173" s="1186"/>
      <c r="BY173" s="1186"/>
      <c r="BZ173" s="1186"/>
      <c r="CA173" s="1186"/>
      <c r="CB173" s="1186"/>
      <c r="CC173" s="1186"/>
      <c r="CD173" s="1186"/>
      <c r="CE173" s="1186"/>
      <c r="CY173" s="1652"/>
      <c r="CZ173" s="1425"/>
      <c r="DA173" s="1425"/>
      <c r="DB173" s="1653">
        <f>A37</f>
        <v>0</v>
      </c>
      <c r="DC173" s="1425"/>
      <c r="DD173" s="1654"/>
      <c r="DE173" s="1654"/>
      <c r="DF173" s="1654"/>
      <c r="DG173" s="1654"/>
      <c r="DH173" s="1655"/>
      <c r="DT173" s="394"/>
      <c r="DU173" s="394"/>
      <c r="DY173" s="394"/>
      <c r="DZ173" s="394"/>
      <c r="ED173" s="394"/>
      <c r="EE173" s="394"/>
      <c r="EJ173" s="394"/>
      <c r="EK173" s="394"/>
      <c r="EP173" s="394"/>
      <c r="EQ173" s="394"/>
      <c r="EV173" s="394"/>
      <c r="EW173" s="394"/>
      <c r="FB173" s="394"/>
      <c r="FC173" s="394"/>
      <c r="FH173" s="394"/>
      <c r="FI173" s="394"/>
      <c r="FN173" s="394"/>
      <c r="FO173" s="394"/>
      <c r="FT173" s="394"/>
      <c r="FU173" s="394"/>
      <c r="FZ173" s="394"/>
      <c r="GA173" s="394"/>
      <c r="GF173" s="394"/>
      <c r="GH173" s="394"/>
      <c r="GL173" s="394"/>
      <c r="GN173" s="394"/>
      <c r="GP173" s="394"/>
      <c r="GR173" s="394"/>
      <c r="GU173" s="394"/>
    </row>
    <row r="174" spans="1:209" s="390" customFormat="1" ht="15" hidden="1" customHeight="1" x14ac:dyDescent="0.15">
      <c r="A174" s="775" t="str">
        <f t="shared" si="89"/>
        <v>Tier06</v>
      </c>
      <c r="B174" s="1645" t="str">
        <f>B45</f>
        <v>Tier06: Platform Tier 06</v>
      </c>
      <c r="C174" s="2165" t="str">
        <f>B46</f>
        <v>Xeon E5-2637v4 4 core (1 chip) 3500 MHz</v>
      </c>
      <c r="D174" s="2161">
        <f>C46</f>
        <v>0</v>
      </c>
      <c r="E174" s="2167">
        <f>D46</f>
        <v>0</v>
      </c>
      <c r="F174" s="2168">
        <f>IF(I47=$H$189,L48,0)</f>
        <v>0</v>
      </c>
      <c r="G174" s="2999">
        <f>IF(AF45="",0,AF46)</f>
        <v>0</v>
      </c>
      <c r="H174" s="1657" t="s">
        <v>387</v>
      </c>
      <c r="I174" s="1835">
        <v>622</v>
      </c>
      <c r="J174" s="1763" t="str">
        <f t="shared" si="90"/>
        <v>Tier06</v>
      </c>
      <c r="K174" s="1845" t="str">
        <f>$I$47</f>
        <v>Physical</v>
      </c>
      <c r="L174" s="1770">
        <f>IF(K174=$J$167,0,$I$45)</f>
        <v>0</v>
      </c>
      <c r="M174" s="1841">
        <f>IF($K174=$J$167,0,$J45*$EU$22)+J48*A47</f>
        <v>0</v>
      </c>
      <c r="N174" s="1843">
        <f>IF($K174=$J$167,0,$C$46*$F$47*IF($W$46=$W$167,2,1))</f>
        <v>0</v>
      </c>
      <c r="O174" s="1843">
        <f>IF($K174=$J$167,0,$D$46)</f>
        <v>0</v>
      </c>
      <c r="P174" s="1843">
        <f>IF(K174=$J$167,0,IF(B46=VLOOKUP(L174,HostArray,3,0),1,0))</f>
        <v>0</v>
      </c>
      <c r="Q174" s="3001">
        <f>A45</f>
        <v>0</v>
      </c>
      <c r="R174" s="1843">
        <f t="shared" si="91"/>
        <v>0</v>
      </c>
      <c r="S174" s="1186" t="s">
        <v>1203</v>
      </c>
      <c r="T174" s="2819" t="s">
        <v>1192</v>
      </c>
      <c r="AE174" s="394"/>
      <c r="AG174" s="394"/>
      <c r="AH174" s="394"/>
      <c r="AJ174" s="2819"/>
      <c r="AL174" s="2819"/>
      <c r="AN174" s="2819"/>
      <c r="AP174" s="2819"/>
      <c r="AR174" s="2819"/>
      <c r="AT174" s="2819"/>
      <c r="AU174" s="2819"/>
      <c r="AV174" s="2819"/>
      <c r="AW174" s="2819"/>
      <c r="AX174" s="2819"/>
      <c r="AY174" s="2819"/>
      <c r="AZ174" s="2819"/>
      <c r="BA174" s="2819"/>
      <c r="BB174" s="2819"/>
      <c r="BC174" s="2819"/>
      <c r="BD174" s="2819"/>
      <c r="BE174" s="2819"/>
      <c r="BP174" s="1186"/>
      <c r="BQ174" s="1186"/>
      <c r="BR174" s="1186"/>
      <c r="BS174" s="1186"/>
      <c r="BT174" s="1186"/>
      <c r="BU174" s="1186"/>
      <c r="BV174" s="1186"/>
      <c r="BW174" s="1186"/>
      <c r="BX174" s="1186"/>
      <c r="BY174" s="1186"/>
      <c r="BZ174" s="1186"/>
      <c r="CA174" s="1186"/>
      <c r="CB174" s="1186"/>
      <c r="CC174" s="1186"/>
      <c r="CD174" s="1186"/>
      <c r="CE174" s="1186"/>
      <c r="CF174" s="2819"/>
      <c r="CY174" s="1652"/>
      <c r="CZ174" s="1659"/>
      <c r="DA174" s="1659"/>
      <c r="DB174" s="1659"/>
      <c r="DC174" s="1653">
        <f>A41</f>
        <v>0</v>
      </c>
      <c r="DD174" s="1660"/>
      <c r="DE174" s="1425"/>
      <c r="DF174" s="1425"/>
      <c r="DG174" s="1425"/>
      <c r="DH174" s="1539"/>
      <c r="DJ174" s="3399"/>
      <c r="DK174" s="3399"/>
      <c r="DL174" s="3399"/>
      <c r="DM174" s="3399"/>
      <c r="DN174" s="3399"/>
      <c r="DO174" s="3399"/>
      <c r="DP174" s="2819"/>
      <c r="DT174" s="394"/>
      <c r="DU174" s="394"/>
      <c r="DY174" s="394"/>
      <c r="DZ174" s="394"/>
      <c r="ED174" s="394"/>
      <c r="EE174" s="394"/>
      <c r="EJ174" s="394"/>
      <c r="EK174" s="394"/>
      <c r="EP174" s="394"/>
      <c r="EQ174" s="394"/>
      <c r="EV174" s="394"/>
      <c r="EW174" s="394"/>
      <c r="FB174" s="394"/>
      <c r="FC174" s="394"/>
      <c r="FH174" s="394"/>
      <c r="FI174" s="394"/>
      <c r="FN174" s="394"/>
      <c r="FO174" s="394"/>
      <c r="FT174" s="394"/>
      <c r="FU174" s="394"/>
      <c r="FZ174" s="394"/>
      <c r="GA174" s="394"/>
      <c r="GF174" s="394"/>
      <c r="GG174" s="2819"/>
      <c r="GH174" s="394"/>
      <c r="GL174" s="394"/>
      <c r="GM174" s="2819"/>
      <c r="GN174" s="394"/>
      <c r="GP174" s="394"/>
      <c r="GR174" s="394"/>
      <c r="GS174" s="2819"/>
      <c r="GT174" s="2819"/>
      <c r="GU174" s="394"/>
    </row>
    <row r="175" spans="1:209" s="390" customFormat="1" ht="15" hidden="1" customHeight="1" x14ac:dyDescent="0.15">
      <c r="A175" s="775" t="str">
        <f t="shared" si="89"/>
        <v>Tier07</v>
      </c>
      <c r="B175" s="1645" t="str">
        <f>B49</f>
        <v>Tier07: Platform Tier 07</v>
      </c>
      <c r="C175" s="2165" t="str">
        <f>B50</f>
        <v>Xeon E5-2637v4 4 core (1 chip) 3500 MHz</v>
      </c>
      <c r="D175" s="2161">
        <f>C50</f>
        <v>0</v>
      </c>
      <c r="E175" s="2161">
        <f>D50</f>
        <v>0</v>
      </c>
      <c r="F175" s="2168">
        <f>IF(I51=$H$189,L52,0)</f>
        <v>0</v>
      </c>
      <c r="G175" s="2999">
        <f>IF(AF49="",0,AF50)</f>
        <v>0</v>
      </c>
      <c r="H175" s="1658" t="s">
        <v>356</v>
      </c>
      <c r="I175" s="1835">
        <v>310</v>
      </c>
      <c r="J175" s="1763" t="str">
        <f t="shared" si="90"/>
        <v>Tier07</v>
      </c>
      <c r="K175" s="1845" t="str">
        <f>$I$51</f>
        <v>Physical</v>
      </c>
      <c r="L175" s="1770">
        <f>IF(K175=$J$167,0,$I$49)</f>
        <v>0</v>
      </c>
      <c r="M175" s="1841">
        <f>IF($K175=$J$167,0,$J49*$FA$22)+J52*A51</f>
        <v>0</v>
      </c>
      <c r="N175" s="1843">
        <f>IF($K175=$J$167,0,$C$50*$F$51*IF($W$50=$W$167,2,1))</f>
        <v>0</v>
      </c>
      <c r="O175" s="1843">
        <f>IF($K175=$J$167,0,$D$50)</f>
        <v>0</v>
      </c>
      <c r="P175" s="1843">
        <f>IF(K175=$J$167,0,IF(B50=VLOOKUP(L175,HostArray,3,0),1,0))</f>
        <v>0</v>
      </c>
      <c r="Q175" s="3001">
        <f>A49</f>
        <v>0</v>
      </c>
      <c r="R175" s="1843">
        <f t="shared" si="91"/>
        <v>0</v>
      </c>
      <c r="S175" s="1186" t="s">
        <v>1203</v>
      </c>
      <c r="T175" s="2819" t="s">
        <v>1192</v>
      </c>
      <c r="AE175" s="394"/>
      <c r="AG175" s="394"/>
      <c r="AH175" s="394"/>
      <c r="AJ175" s="2819"/>
      <c r="AL175" s="2819"/>
      <c r="AN175" s="2819"/>
      <c r="AP175" s="2819"/>
      <c r="AR175" s="2819"/>
      <c r="AT175" s="2819"/>
      <c r="AU175" s="2819"/>
      <c r="AV175" s="2819"/>
      <c r="AW175" s="2819"/>
      <c r="AX175" s="2819"/>
      <c r="AY175" s="2819"/>
      <c r="AZ175" s="2819"/>
      <c r="BA175" s="2819"/>
      <c r="BB175" s="2819"/>
      <c r="BC175" s="2819"/>
      <c r="BD175" s="2819"/>
      <c r="BE175" s="2819"/>
      <c r="BP175" s="1186"/>
      <c r="BQ175" s="1186"/>
      <c r="BR175" s="1186"/>
      <c r="BS175" s="1186"/>
      <c r="BT175" s="1186"/>
      <c r="BU175" s="1186"/>
      <c r="BV175" s="1186"/>
      <c r="BW175" s="1186"/>
      <c r="BX175" s="1186"/>
      <c r="BY175" s="1186"/>
      <c r="BZ175" s="1186"/>
      <c r="CA175" s="1186"/>
      <c r="CB175" s="1186"/>
      <c r="CC175" s="1186"/>
      <c r="CD175" s="1186"/>
      <c r="CE175" s="1186"/>
      <c r="CF175" s="2819"/>
      <c r="CY175" s="1652"/>
      <c r="CZ175" s="1659"/>
      <c r="DA175" s="1659"/>
      <c r="DB175" s="1659"/>
      <c r="DC175" s="1653">
        <f>A41</f>
        <v>0</v>
      </c>
      <c r="DD175" s="1660"/>
      <c r="DE175" s="1425"/>
      <c r="DF175" s="1425"/>
      <c r="DG175" s="1425"/>
      <c r="DH175" s="1539"/>
      <c r="DJ175" s="3399"/>
      <c r="DK175" s="3399"/>
      <c r="DL175" s="3399"/>
      <c r="DM175" s="3399"/>
      <c r="DN175" s="3399"/>
      <c r="DO175" s="3399"/>
      <c r="DP175" s="2819"/>
      <c r="DT175" s="394"/>
      <c r="DU175" s="394"/>
      <c r="DY175" s="394"/>
      <c r="DZ175" s="394"/>
      <c r="ED175" s="394"/>
      <c r="EE175" s="394"/>
      <c r="EJ175" s="394"/>
      <c r="EK175" s="394"/>
      <c r="EP175" s="394"/>
      <c r="EQ175" s="394"/>
      <c r="EV175" s="394"/>
      <c r="EW175" s="394"/>
      <c r="FB175" s="394"/>
      <c r="FC175" s="394"/>
      <c r="FH175" s="394"/>
      <c r="FI175" s="394"/>
      <c r="FN175" s="394"/>
      <c r="FO175" s="394"/>
      <c r="FT175" s="394"/>
      <c r="FU175" s="394"/>
      <c r="FZ175" s="394"/>
      <c r="GA175" s="394"/>
      <c r="GF175" s="394"/>
      <c r="GG175" s="2819"/>
      <c r="GH175" s="394"/>
      <c r="GL175" s="394"/>
      <c r="GM175" s="2819"/>
      <c r="GN175" s="394"/>
      <c r="GP175" s="394"/>
      <c r="GR175" s="394"/>
      <c r="GS175" s="2819"/>
      <c r="GT175" s="2819"/>
      <c r="GU175" s="394"/>
    </row>
    <row r="176" spans="1:209" s="390" customFormat="1" ht="15" hidden="1" customHeight="1" thickBot="1" x14ac:dyDescent="0.2">
      <c r="A176" s="775" t="str">
        <f t="shared" si="89"/>
        <v>Tier08</v>
      </c>
      <c r="B176" s="1645" t="str">
        <f>B53</f>
        <v>Tier08: Platform Tier 08</v>
      </c>
      <c r="C176" s="2165" t="str">
        <f>B54</f>
        <v>Xeon E5-2637v4 4 core (1 chip) 3500 MHz</v>
      </c>
      <c r="D176" s="2161">
        <f>C54</f>
        <v>0</v>
      </c>
      <c r="E176" s="2161">
        <f>D54</f>
        <v>0</v>
      </c>
      <c r="F176" s="2168">
        <f>IF(I55=$H$189,L56,0)</f>
        <v>0</v>
      </c>
      <c r="G176" s="2999">
        <f>IF(AF53="",0,AF54)</f>
        <v>0</v>
      </c>
      <c r="H176" s="1637" t="s">
        <v>296</v>
      </c>
      <c r="I176" s="1835">
        <v>155</v>
      </c>
      <c r="J176" s="1763" t="str">
        <f t="shared" si="90"/>
        <v>Tier08</v>
      </c>
      <c r="K176" s="1845" t="str">
        <f>$I$55</f>
        <v>Physical</v>
      </c>
      <c r="L176" s="1770">
        <f>IF(K176=$J$167,0,$I$53)</f>
        <v>0</v>
      </c>
      <c r="M176" s="1841">
        <f>IF($K176=$J$167,0,$J53*$FG$22)+J56*A55</f>
        <v>0</v>
      </c>
      <c r="N176" s="1843">
        <f>IF($K176=$J$167,0,$C$54*$F$55*IF($W$54=$W$167,2,1))</f>
        <v>0</v>
      </c>
      <c r="O176" s="1843">
        <f>IF($K176=$J$167,0,$D$54)</f>
        <v>0</v>
      </c>
      <c r="P176" s="1843">
        <f>IF(K176=$J$167,0,IF(B54=VLOOKUP(L176,HostArray,3,0),1,0))</f>
        <v>0</v>
      </c>
      <c r="Q176" s="3001">
        <f>A53</f>
        <v>0</v>
      </c>
      <c r="R176" s="1843">
        <f t="shared" si="91"/>
        <v>0</v>
      </c>
      <c r="S176" s="1186" t="s">
        <v>1203</v>
      </c>
      <c r="T176" s="2819" t="s">
        <v>1192</v>
      </c>
      <c r="AE176" s="394"/>
      <c r="AG176" s="394"/>
      <c r="AH176" s="394"/>
      <c r="AJ176" s="2819"/>
      <c r="AL176" s="2819"/>
      <c r="AN176" s="2819"/>
      <c r="AP176" s="2819"/>
      <c r="AR176" s="2819"/>
      <c r="AT176" s="2819"/>
      <c r="AU176" s="2819"/>
      <c r="AV176" s="2819"/>
      <c r="AW176" s="2819"/>
      <c r="AX176" s="2819"/>
      <c r="AY176" s="2819"/>
      <c r="AZ176" s="2819"/>
      <c r="BA176" s="2819"/>
      <c r="BB176" s="2819"/>
      <c r="BC176" s="2819"/>
      <c r="BD176" s="2819"/>
      <c r="BE176" s="2819"/>
      <c r="BP176" s="1186"/>
      <c r="BQ176" s="1186"/>
      <c r="BR176" s="1186"/>
      <c r="BS176" s="1186"/>
      <c r="BT176" s="1186"/>
      <c r="BU176" s="1186"/>
      <c r="BV176" s="1186"/>
      <c r="BW176" s="1186"/>
      <c r="BX176" s="1186"/>
      <c r="BY176" s="1186"/>
      <c r="BZ176" s="1186"/>
      <c r="CA176" s="1186"/>
      <c r="CB176" s="1186"/>
      <c r="CC176" s="1186"/>
      <c r="CD176" s="1186"/>
      <c r="CE176" s="1186"/>
      <c r="CF176" s="2819"/>
      <c r="CY176" s="1652"/>
      <c r="CZ176" s="1659"/>
      <c r="DA176" s="1659"/>
      <c r="DB176" s="1659"/>
      <c r="DC176" s="1653">
        <f>A41</f>
        <v>0</v>
      </c>
      <c r="DD176" s="1660"/>
      <c r="DE176" s="1425"/>
      <c r="DF176" s="1425"/>
      <c r="DG176" s="1425"/>
      <c r="DH176" s="1539"/>
      <c r="DJ176" s="3399"/>
      <c r="DK176" s="3399"/>
      <c r="DL176" s="3399"/>
      <c r="DM176" s="3399"/>
      <c r="DN176" s="3399"/>
      <c r="DO176" s="3399"/>
      <c r="DP176" s="2819"/>
      <c r="DT176" s="394"/>
      <c r="DU176" s="394"/>
      <c r="DY176" s="394"/>
      <c r="DZ176" s="394"/>
      <c r="ED176" s="394"/>
      <c r="EE176" s="394"/>
      <c r="EJ176" s="394"/>
      <c r="EK176" s="394"/>
      <c r="EP176" s="394"/>
      <c r="EQ176" s="394"/>
      <c r="EV176" s="394"/>
      <c r="EW176" s="394"/>
      <c r="FB176" s="394"/>
      <c r="FC176" s="394"/>
      <c r="FH176" s="394"/>
      <c r="FI176" s="394"/>
      <c r="FN176" s="394"/>
      <c r="FO176" s="394"/>
      <c r="FT176" s="394"/>
      <c r="FU176" s="394"/>
      <c r="FZ176" s="394"/>
      <c r="GA176" s="394"/>
      <c r="GF176" s="394"/>
      <c r="GG176" s="2819"/>
      <c r="GH176" s="394"/>
      <c r="GL176" s="394"/>
      <c r="GM176" s="2819"/>
      <c r="GN176" s="394"/>
      <c r="GP176" s="394"/>
      <c r="GR176" s="394"/>
      <c r="GS176" s="2819"/>
      <c r="GT176" s="2819"/>
      <c r="GU176" s="394"/>
    </row>
    <row r="177" spans="1:209" s="390" customFormat="1" ht="15" hidden="1" customHeight="1" thickBot="1" x14ac:dyDescent="0.2">
      <c r="A177" s="775" t="str">
        <f t="shared" si="89"/>
        <v>Tier09</v>
      </c>
      <c r="B177" s="1645" t="str">
        <f>B57</f>
        <v>Tier09: Platform Tier 09</v>
      </c>
      <c r="C177" s="2165" t="str">
        <f>B58</f>
        <v>Xeon E5-2637v4 4 core (1 chip) 3500 MHz</v>
      </c>
      <c r="D177" s="2161">
        <f>C58</f>
        <v>0</v>
      </c>
      <c r="E177" s="2161">
        <f>D58</f>
        <v>0</v>
      </c>
      <c r="F177" s="2168">
        <f>IF(I59=$H$189,L60,0)</f>
        <v>0</v>
      </c>
      <c r="G177" s="2999">
        <f>IF(AF57="",0,AF58)</f>
        <v>0</v>
      </c>
      <c r="H177" s="558" t="s">
        <v>359</v>
      </c>
      <c r="I177" s="1835">
        <v>135</v>
      </c>
      <c r="J177" s="1763" t="str">
        <f t="shared" si="90"/>
        <v>Tier09</v>
      </c>
      <c r="K177" s="1845" t="str">
        <f>$I$59</f>
        <v>Physical</v>
      </c>
      <c r="L177" s="1770">
        <f>IF(K177=$J$167,0,$I$57)</f>
        <v>0</v>
      </c>
      <c r="M177" s="1841">
        <f>IF($K177=$J$167,0,$J57*$FM$22)+J60*A59</f>
        <v>0</v>
      </c>
      <c r="N177" s="1843">
        <f>IF($K177=$J$167,0,$C$58*$F$59*IF($W$58=$W$167,2,1))</f>
        <v>0</v>
      </c>
      <c r="O177" s="1843">
        <f>IF($K177=$J$167,0,$D$58)</f>
        <v>0</v>
      </c>
      <c r="P177" s="1843">
        <f>IF(K177=$J$167,0,IF(B58=VLOOKUP(L177,HostArray,3,0),1,0))</f>
        <v>0</v>
      </c>
      <c r="Q177" s="3001">
        <f>A57</f>
        <v>0</v>
      </c>
      <c r="R177" s="1843">
        <f t="shared" si="91"/>
        <v>0</v>
      </c>
      <c r="S177" s="1186" t="s">
        <v>1203</v>
      </c>
      <c r="T177" s="2819" t="s">
        <v>1192</v>
      </c>
      <c r="U177" s="390" t="s">
        <v>117</v>
      </c>
      <c r="AE177" s="394"/>
      <c r="AG177" s="394"/>
      <c r="AH177" s="394"/>
      <c r="AJ177" s="2819"/>
      <c r="AL177" s="2819"/>
      <c r="AN177" s="2819"/>
      <c r="AP177" s="2819"/>
      <c r="AR177" s="2819"/>
      <c r="AT177" s="2819"/>
      <c r="AU177" s="2819"/>
      <c r="AV177" s="2819"/>
      <c r="AW177" s="2819"/>
      <c r="AX177" s="2819"/>
      <c r="AY177" s="2819"/>
      <c r="AZ177" s="2819"/>
      <c r="BA177" s="2819"/>
      <c r="BB177" s="2819"/>
      <c r="BC177" s="2819"/>
      <c r="BD177" s="2819"/>
      <c r="BE177" s="2819"/>
      <c r="BP177" s="1186"/>
      <c r="BQ177" s="1186"/>
      <c r="BR177" s="1186"/>
      <c r="BS177" s="1186"/>
      <c r="BT177" s="1186"/>
      <c r="BU177" s="1186"/>
      <c r="BV177" s="1186"/>
      <c r="BW177" s="1186"/>
      <c r="BX177" s="1186"/>
      <c r="BY177" s="1186"/>
      <c r="BZ177" s="1186"/>
      <c r="CA177" s="1186"/>
      <c r="CB177" s="1186"/>
      <c r="CC177" s="1186"/>
      <c r="CD177" s="1186"/>
      <c r="CE177" s="1186"/>
      <c r="CF177" s="2819"/>
      <c r="CY177" s="1652"/>
      <c r="CZ177" s="1659"/>
      <c r="DA177" s="1659"/>
      <c r="DB177" s="1659"/>
      <c r="DC177" s="1653">
        <f>A42</f>
        <v>0</v>
      </c>
      <c r="DD177" s="1660"/>
      <c r="DE177" s="1425"/>
      <c r="DF177" s="1425"/>
      <c r="DG177" s="1425"/>
      <c r="DH177" s="1539"/>
      <c r="DJ177" s="3399"/>
      <c r="DK177" s="3399"/>
      <c r="DL177" s="3399"/>
      <c r="DM177" s="3399"/>
      <c r="DN177" s="3399"/>
      <c r="DO177" s="3399"/>
      <c r="DP177" s="2819"/>
      <c r="DT177" s="394"/>
      <c r="DU177" s="394"/>
      <c r="DY177" s="394"/>
      <c r="DZ177" s="394"/>
      <c r="ED177" s="394"/>
      <c r="EE177" s="394"/>
      <c r="EJ177" s="394"/>
      <c r="EK177" s="394"/>
      <c r="EP177" s="394"/>
      <c r="EQ177" s="394"/>
      <c r="EV177" s="394"/>
      <c r="EW177" s="394"/>
      <c r="FB177" s="394"/>
      <c r="FC177" s="394"/>
      <c r="FH177" s="394"/>
      <c r="FI177" s="394"/>
      <c r="FN177" s="394"/>
      <c r="FO177" s="394"/>
      <c r="FT177" s="394"/>
      <c r="FU177" s="394"/>
      <c r="FZ177" s="394"/>
      <c r="GA177" s="394"/>
      <c r="GF177" s="394"/>
      <c r="GG177" s="2819"/>
      <c r="GH177" s="394"/>
      <c r="GL177" s="394"/>
      <c r="GM177" s="2819"/>
      <c r="GN177" s="394"/>
      <c r="GP177" s="394"/>
      <c r="GR177" s="394"/>
      <c r="GS177" s="2819"/>
      <c r="GT177" s="2819"/>
      <c r="GU177" s="394"/>
    </row>
    <row r="178" spans="1:209" s="390" customFormat="1" ht="15" hidden="1" customHeight="1" x14ac:dyDescent="0.15">
      <c r="A178" s="775" t="str">
        <f t="shared" si="89"/>
        <v>Tier10</v>
      </c>
      <c r="B178" s="1645" t="str">
        <f>B61</f>
        <v>Tier10: Platform Tier 10</v>
      </c>
      <c r="C178" s="2165" t="str">
        <f>B62</f>
        <v>Xeon E5-2637v4 4 core (1 chip) 3500 MHz</v>
      </c>
      <c r="D178" s="2161">
        <f>C62</f>
        <v>0</v>
      </c>
      <c r="E178" s="2161">
        <f>D62</f>
        <v>0</v>
      </c>
      <c r="F178" s="2168">
        <f>IF(I63=$H$189,L64,0)</f>
        <v>0</v>
      </c>
      <c r="G178" s="2999">
        <f>IF(AF61="",0,AF62)</f>
        <v>0</v>
      </c>
      <c r="H178" s="558" t="s">
        <v>352</v>
      </c>
      <c r="I178" s="1835">
        <v>90</v>
      </c>
      <c r="J178" s="1763" t="str">
        <f t="shared" si="90"/>
        <v>Tier10</v>
      </c>
      <c r="K178" s="1845" t="str">
        <f>$I$63</f>
        <v>Physical</v>
      </c>
      <c r="L178" s="1770">
        <f>IF(K178=$J$167,0,$I$61)</f>
        <v>0</v>
      </c>
      <c r="M178" s="1841">
        <f>IF($K178=$J$167,0,$J61*$FS$22)+J64*A63</f>
        <v>0</v>
      </c>
      <c r="N178" s="1843">
        <f>IF($K178=$J$167,0,$C$62*$F$63*IF($W$62=$W$167,2,1))</f>
        <v>0</v>
      </c>
      <c r="O178" s="1843">
        <f>IF($K178=$J$167,0,$D$62)</f>
        <v>0</v>
      </c>
      <c r="P178" s="1843">
        <f>IF(K178=$J$167,0,IF(B62=VLOOKUP(L178,HostArray,3,0),1,0))</f>
        <v>0</v>
      </c>
      <c r="Q178" s="3001">
        <f>A61</f>
        <v>0</v>
      </c>
      <c r="R178" s="1843">
        <f t="shared" si="91"/>
        <v>0</v>
      </c>
      <c r="S178" s="1186" t="s">
        <v>1203</v>
      </c>
      <c r="T178" s="2819" t="s">
        <v>1192</v>
      </c>
      <c r="AE178" s="394"/>
      <c r="AG178" s="394"/>
      <c r="AH178" s="394"/>
      <c r="AJ178" s="2819"/>
      <c r="AL178" s="2819"/>
      <c r="AN178" s="2819"/>
      <c r="AP178" s="2819"/>
      <c r="AR178" s="2819"/>
      <c r="AT178" s="2819"/>
      <c r="AU178" s="2819"/>
      <c r="AV178" s="2819"/>
      <c r="AW178" s="2819"/>
      <c r="AX178" s="2819"/>
      <c r="AY178" s="2819"/>
      <c r="AZ178" s="2819"/>
      <c r="BA178" s="2819"/>
      <c r="BB178" s="2819"/>
      <c r="BC178" s="2819"/>
      <c r="BD178" s="2819"/>
      <c r="BE178" s="2819"/>
      <c r="BP178" s="1186"/>
      <c r="BQ178" s="1186"/>
      <c r="BR178" s="1186"/>
      <c r="BS178" s="1186"/>
      <c r="BT178" s="1186"/>
      <c r="BU178" s="1186"/>
      <c r="BV178" s="1186"/>
      <c r="BW178" s="1186"/>
      <c r="BX178" s="1186"/>
      <c r="BY178" s="1186"/>
      <c r="BZ178" s="1186"/>
      <c r="CA178" s="1186"/>
      <c r="CB178" s="1186"/>
      <c r="CC178" s="1186"/>
      <c r="CD178" s="1186"/>
      <c r="CE178" s="1186"/>
      <c r="CF178" s="2819"/>
      <c r="CY178" s="1652"/>
      <c r="CZ178" s="1659"/>
      <c r="DA178" s="1659"/>
      <c r="DB178" s="1659"/>
      <c r="DC178" s="1653">
        <f>A42</f>
        <v>0</v>
      </c>
      <c r="DD178" s="1660"/>
      <c r="DE178" s="1425"/>
      <c r="DF178" s="1425"/>
      <c r="DG178" s="1425"/>
      <c r="DH178" s="1539"/>
      <c r="DJ178" s="3399"/>
      <c r="DK178" s="3399"/>
      <c r="DL178" s="3399"/>
      <c r="DM178" s="3399"/>
      <c r="DN178" s="3399"/>
      <c r="DO178" s="3399"/>
      <c r="DP178" s="2819"/>
      <c r="DT178" s="394"/>
      <c r="DU178" s="394"/>
      <c r="DY178" s="394"/>
      <c r="DZ178" s="394"/>
      <c r="ED178" s="394"/>
      <c r="EE178" s="394"/>
      <c r="EJ178" s="394"/>
      <c r="EK178" s="394"/>
      <c r="EP178" s="394"/>
      <c r="EQ178" s="394"/>
      <c r="EV178" s="394"/>
      <c r="EW178" s="394"/>
      <c r="FB178" s="394"/>
      <c r="FC178" s="394"/>
      <c r="FH178" s="394"/>
      <c r="FI178" s="394"/>
      <c r="FN178" s="394"/>
      <c r="FO178" s="394"/>
      <c r="FT178" s="394"/>
      <c r="FU178" s="394"/>
      <c r="FZ178" s="394"/>
      <c r="GA178" s="394"/>
      <c r="GF178" s="394"/>
      <c r="GG178" s="2819"/>
      <c r="GH178" s="394"/>
      <c r="GL178" s="394"/>
      <c r="GM178" s="2819"/>
      <c r="GN178" s="394"/>
      <c r="GP178" s="394"/>
      <c r="GR178" s="394"/>
      <c r="GS178" s="2819"/>
      <c r="GT178" s="2819"/>
      <c r="GU178" s="394"/>
    </row>
    <row r="179" spans="1:209" s="390" customFormat="1" ht="15" hidden="1" customHeight="1" x14ac:dyDescent="0.15">
      <c r="A179" s="775" t="str">
        <f t="shared" si="89"/>
        <v>WTS</v>
      </c>
      <c r="B179" s="1645" t="str">
        <f>B66</f>
        <v>WTS: Platform Tier 11</v>
      </c>
      <c r="C179" s="2165" t="str">
        <f>B67</f>
        <v>Xeon Gold 5122 4 core (1 chip) 3600 MHz</v>
      </c>
      <c r="D179" s="2161">
        <f>C67</f>
        <v>67</v>
      </c>
      <c r="E179" s="2161">
        <f>D67</f>
        <v>4</v>
      </c>
      <c r="F179" s="2168">
        <f>IF(I68=$H$189,L69,0)</f>
        <v>1</v>
      </c>
      <c r="G179" s="2999">
        <f>IF(AF66="",0,AF67)</f>
        <v>0</v>
      </c>
      <c r="H179" s="559" t="s">
        <v>354</v>
      </c>
      <c r="I179" s="1835">
        <v>45</v>
      </c>
      <c r="J179" s="1763" t="str">
        <f t="shared" si="90"/>
        <v>WTS</v>
      </c>
      <c r="K179" s="1845" t="str">
        <f>$I$68</f>
        <v>Physical</v>
      </c>
      <c r="L179" s="1770">
        <f>IF(K179=$J$167,0,$I$66)</f>
        <v>0</v>
      </c>
      <c r="M179" s="1841">
        <f>IF($K179=$J$167,0,$J66*$FY$22)+J69*A68</f>
        <v>0</v>
      </c>
      <c r="N179" s="1843">
        <f>IF($K179=$J$167,0,$C$67*$F$68*IF($W$67=$W$167,2,1))</f>
        <v>0</v>
      </c>
      <c r="O179" s="1843">
        <f>IF($K179=$J$167,0,$D$67)</f>
        <v>0</v>
      </c>
      <c r="P179" s="1843">
        <f>IF(K179=$J$167,0,IF(B67=VLOOKUP(L179,HostArray,3,0),1,0))</f>
        <v>0</v>
      </c>
      <c r="Q179" s="3001">
        <f>A66</f>
        <v>4</v>
      </c>
      <c r="R179" s="1843">
        <f t="shared" si="91"/>
        <v>0</v>
      </c>
      <c r="S179" s="1186" t="s">
        <v>1203</v>
      </c>
      <c r="T179" s="2819" t="s">
        <v>1192</v>
      </c>
      <c r="AE179" s="394"/>
      <c r="AG179" s="394"/>
      <c r="AH179" s="394"/>
      <c r="AJ179" s="2819"/>
      <c r="AL179" s="2819"/>
      <c r="AN179" s="2819"/>
      <c r="AP179" s="2819"/>
      <c r="AR179" s="2819"/>
      <c r="AT179" s="2819"/>
      <c r="AU179" s="2819"/>
      <c r="AV179" s="2819"/>
      <c r="AW179" s="2819"/>
      <c r="AX179" s="2819"/>
      <c r="AY179" s="2819"/>
      <c r="AZ179" s="2819"/>
      <c r="BA179" s="2819"/>
      <c r="BB179" s="2819"/>
      <c r="BC179" s="2819"/>
      <c r="BD179" s="2819"/>
      <c r="BE179" s="2819"/>
      <c r="BP179" s="1186"/>
      <c r="BQ179" s="1186"/>
      <c r="BR179" s="1186"/>
      <c r="BS179" s="1186"/>
      <c r="BT179" s="1186"/>
      <c r="BU179" s="1186"/>
      <c r="BV179" s="1186"/>
      <c r="BW179" s="1186"/>
      <c r="BX179" s="1186"/>
      <c r="BY179" s="1186"/>
      <c r="BZ179" s="1186"/>
      <c r="CA179" s="1186"/>
      <c r="CB179" s="1186"/>
      <c r="CC179" s="1186"/>
      <c r="CD179" s="1186"/>
      <c r="CE179" s="1186"/>
      <c r="CF179" s="2819"/>
      <c r="CY179" s="1652"/>
      <c r="CZ179" s="1659"/>
      <c r="DA179" s="1659"/>
      <c r="DB179" s="1659"/>
      <c r="DC179" s="1653">
        <f>A43</f>
        <v>0</v>
      </c>
      <c r="DD179" s="1660"/>
      <c r="DE179" s="1425"/>
      <c r="DF179" s="1425"/>
      <c r="DG179" s="1425"/>
      <c r="DH179" s="1539"/>
      <c r="DJ179" s="3399"/>
      <c r="DK179" s="3399"/>
      <c r="DL179" s="3399"/>
      <c r="DM179" s="3399"/>
      <c r="DN179" s="3399"/>
      <c r="DO179" s="3399"/>
      <c r="DP179" s="2819"/>
      <c r="DT179" s="394"/>
      <c r="DU179" s="394"/>
      <c r="DY179" s="394"/>
      <c r="DZ179" s="394"/>
      <c r="ED179" s="394"/>
      <c r="EE179" s="394"/>
      <c r="EJ179" s="394"/>
      <c r="EK179" s="394"/>
      <c r="EP179" s="394"/>
      <c r="EQ179" s="394"/>
      <c r="EV179" s="394"/>
      <c r="EW179" s="394"/>
      <c r="FB179" s="394"/>
      <c r="FC179" s="394"/>
      <c r="FH179" s="394"/>
      <c r="FI179" s="394"/>
      <c r="FN179" s="394"/>
      <c r="FO179" s="394"/>
      <c r="FT179" s="394"/>
      <c r="FU179" s="394"/>
      <c r="FZ179" s="394"/>
      <c r="GA179" s="394"/>
      <c r="GF179" s="394"/>
      <c r="GG179" s="2819"/>
      <c r="GH179" s="394"/>
      <c r="GL179" s="394"/>
      <c r="GM179" s="2819"/>
      <c r="GN179" s="394"/>
      <c r="GP179" s="394"/>
      <c r="GR179" s="394"/>
      <c r="GS179" s="2819"/>
      <c r="GT179" s="2819"/>
      <c r="GU179" s="394"/>
    </row>
    <row r="180" spans="1:209" s="390" customFormat="1" ht="15" hidden="1" customHeight="1" x14ac:dyDescent="0.15">
      <c r="A180" s="775" t="str">
        <f t="shared" si="89"/>
        <v>Tier12</v>
      </c>
      <c r="B180" s="1645" t="str">
        <f>B70</f>
        <v>Tier12: Platform Tier 12</v>
      </c>
      <c r="C180" s="2165" t="str">
        <f>B71</f>
        <v>Xeon Gold 5122 4 core (1 chip) 3600 MHz</v>
      </c>
      <c r="D180" s="2161">
        <f>C71</f>
        <v>0</v>
      </c>
      <c r="E180" s="2167">
        <f>D71</f>
        <v>0</v>
      </c>
      <c r="F180" s="2168">
        <f>IF(I72=$H$189,L73,0)</f>
        <v>0</v>
      </c>
      <c r="G180" s="2999">
        <f>IF(AF70="",0,AF71)</f>
        <v>0</v>
      </c>
      <c r="H180" s="560" t="s">
        <v>353</v>
      </c>
      <c r="I180" s="1835">
        <v>24</v>
      </c>
      <c r="J180" s="1763" t="str">
        <f t="shared" si="90"/>
        <v>Tier12</v>
      </c>
      <c r="K180" s="1845" t="str">
        <f>$I$72</f>
        <v>Physical</v>
      </c>
      <c r="L180" s="1770">
        <f>IF(K180=J167,0,$I$70)</f>
        <v>0</v>
      </c>
      <c r="M180" s="1841">
        <f>IF($K180=$J$167,0,$J70*$GE$22)+J73*A72</f>
        <v>0</v>
      </c>
      <c r="N180" s="1843">
        <f>IF($K180=$J$167,0,$C$71*$F$72*IF($W$71=$W$167,2,1))</f>
        <v>0</v>
      </c>
      <c r="O180" s="1843">
        <f>IF($K180=$J$167,0,$D$71)</f>
        <v>0</v>
      </c>
      <c r="P180" s="1843">
        <f>IF(K180=$J$167,0,IF(B71=VLOOKUP(L180,HostArray,3,0),1,0))</f>
        <v>0</v>
      </c>
      <c r="Q180" s="3001">
        <f>A70</f>
        <v>0</v>
      </c>
      <c r="R180" s="1843">
        <f t="shared" si="91"/>
        <v>0</v>
      </c>
      <c r="S180" s="1186" t="s">
        <v>1204</v>
      </c>
      <c r="T180" s="2819"/>
      <c r="AE180" s="394"/>
      <c r="AG180" s="394"/>
      <c r="AH180" s="394"/>
      <c r="AJ180" s="2819"/>
      <c r="AL180" s="2819"/>
      <c r="AN180" s="2819"/>
      <c r="AP180" s="2819"/>
      <c r="AR180" s="2819"/>
      <c r="AT180" s="2819"/>
      <c r="AU180" s="2819"/>
      <c r="AV180" s="2819"/>
      <c r="AW180" s="2819"/>
      <c r="AX180" s="2819"/>
      <c r="AY180" s="2819"/>
      <c r="AZ180" s="2819"/>
      <c r="BA180" s="2819"/>
      <c r="BB180" s="2819"/>
      <c r="BC180" s="2819"/>
      <c r="BD180" s="2819"/>
      <c r="BE180" s="2819"/>
      <c r="BP180" s="1186"/>
      <c r="BQ180" s="1186"/>
      <c r="BR180" s="1186"/>
      <c r="BS180" s="1186"/>
      <c r="BT180" s="1186"/>
      <c r="BU180" s="1186"/>
      <c r="BV180" s="1186"/>
      <c r="BW180" s="1186"/>
      <c r="BX180" s="1186"/>
      <c r="BY180" s="1186"/>
      <c r="BZ180" s="1186"/>
      <c r="CA180" s="1186"/>
      <c r="CB180" s="1186"/>
      <c r="CC180" s="1186"/>
      <c r="CD180" s="1186"/>
      <c r="CE180" s="1186"/>
      <c r="CF180" s="2819"/>
      <c r="CY180" s="1652"/>
      <c r="CZ180" s="1425"/>
      <c r="DA180" s="1425"/>
      <c r="DB180" s="1425"/>
      <c r="DC180" s="1425"/>
      <c r="DD180" s="1661">
        <f>A46</f>
        <v>0</v>
      </c>
      <c r="DE180" s="1425"/>
      <c r="DF180" s="1425"/>
      <c r="DG180" s="1425"/>
      <c r="DH180" s="1539"/>
      <c r="DJ180" s="2819"/>
      <c r="DK180" s="2819"/>
      <c r="DL180" s="2819"/>
      <c r="DM180" s="2819"/>
      <c r="DN180" s="2819"/>
      <c r="DO180" s="2819"/>
      <c r="DP180" s="777"/>
      <c r="DQ180" s="2819"/>
      <c r="DT180" s="394"/>
      <c r="DU180" s="394"/>
      <c r="DW180" s="2819"/>
      <c r="DY180" s="394"/>
      <c r="DZ180" s="394"/>
      <c r="EC180" s="2819"/>
      <c r="ED180" s="394"/>
      <c r="EE180" s="394"/>
      <c r="EI180" s="2819"/>
      <c r="EJ180" s="394"/>
      <c r="EK180" s="394"/>
      <c r="EO180" s="2819"/>
      <c r="EP180" s="394"/>
      <c r="EQ180" s="394"/>
      <c r="EU180" s="2819"/>
      <c r="EV180" s="394"/>
      <c r="EW180" s="394"/>
      <c r="FA180" s="2819"/>
      <c r="FB180" s="394"/>
      <c r="FC180" s="394"/>
      <c r="FG180" s="2819"/>
      <c r="FH180" s="394"/>
      <c r="FI180" s="394"/>
      <c r="FM180" s="2819"/>
      <c r="FN180" s="394"/>
      <c r="FO180" s="394"/>
      <c r="FS180" s="2819"/>
      <c r="FT180" s="394"/>
      <c r="FU180" s="394"/>
      <c r="FY180" s="2819"/>
      <c r="FZ180" s="394"/>
      <c r="GA180" s="394"/>
      <c r="GE180" s="2819"/>
      <c r="GF180" s="394"/>
      <c r="GG180" s="2819"/>
      <c r="GH180" s="394"/>
      <c r="GK180" s="2819"/>
      <c r="GL180" s="394"/>
      <c r="GM180" s="2819"/>
      <c r="GN180" s="394"/>
      <c r="GP180" s="394"/>
      <c r="GQ180" s="2819"/>
      <c r="GR180" s="394"/>
      <c r="GS180" s="2819"/>
      <c r="GT180" s="2819"/>
      <c r="GU180" s="394"/>
    </row>
    <row r="181" spans="1:209" s="390" customFormat="1" ht="15" hidden="1" customHeight="1" thickBot="1" x14ac:dyDescent="0.2">
      <c r="A181" s="775" t="str">
        <f t="shared" si="89"/>
        <v>Web</v>
      </c>
      <c r="B181" s="1645" t="str">
        <f>B74</f>
        <v>Web: Platform Tier 13</v>
      </c>
      <c r="C181" s="2165" t="str">
        <f>B75</f>
        <v>Xeon Gold 5122 4 core (1 chip) 3600 MHz</v>
      </c>
      <c r="D181" s="2161">
        <f>C75</f>
        <v>16</v>
      </c>
      <c r="E181" s="2167">
        <f>D75</f>
        <v>4</v>
      </c>
      <c r="F181" s="2168">
        <f>IF(I76=$H$189,L77,0)</f>
        <v>1</v>
      </c>
      <c r="G181" s="2999">
        <f>IF(AF74="",0,AF75)</f>
        <v>0</v>
      </c>
      <c r="H181" s="561" t="s">
        <v>296</v>
      </c>
      <c r="I181" s="1835">
        <v>18</v>
      </c>
      <c r="J181" s="1763" t="str">
        <f t="shared" si="90"/>
        <v>Web</v>
      </c>
      <c r="K181" s="1845" t="str">
        <f>$I$76</f>
        <v>Physical</v>
      </c>
      <c r="L181" s="1770">
        <f>IF(K181=J167,0,$I$74)</f>
        <v>0</v>
      </c>
      <c r="M181" s="1841">
        <f>IF($K181=$J$167,0,$J$74*$GK$22)+J77*A76</f>
        <v>0</v>
      </c>
      <c r="N181" s="1843">
        <f>IF($K181=$J$167,0,$C$75*$F$76*IF($W$75=$W$167,2,1))</f>
        <v>0</v>
      </c>
      <c r="O181" s="1843">
        <f>IF($K181=$J$167,0,$D$75)</f>
        <v>0</v>
      </c>
      <c r="P181" s="1843">
        <f>IF(K181=$J$167,0,IF(B75=VLOOKUP(L181,HostArray,3,FALSE),1,0))</f>
        <v>0</v>
      </c>
      <c r="Q181" s="3001">
        <f>A74</f>
        <v>3</v>
      </c>
      <c r="R181" s="1843">
        <f t="shared" si="91"/>
        <v>0</v>
      </c>
      <c r="S181" s="1186" t="s">
        <v>1193</v>
      </c>
      <c r="AE181" s="394"/>
      <c r="AG181" s="394"/>
      <c r="AH181" s="394"/>
      <c r="AJ181" s="2819"/>
      <c r="AL181" s="2819"/>
      <c r="AN181" s="2819"/>
      <c r="AP181" s="2819"/>
      <c r="AR181" s="2819"/>
      <c r="AT181" s="2819"/>
      <c r="AU181" s="2819"/>
      <c r="AV181" s="2819"/>
      <c r="AW181" s="2819"/>
      <c r="AX181" s="2819"/>
      <c r="AY181" s="2819"/>
      <c r="AZ181" s="2819"/>
      <c r="BA181" s="2819"/>
      <c r="BB181" s="2819"/>
      <c r="BC181" s="2819"/>
      <c r="BD181" s="2819"/>
      <c r="BE181" s="2819"/>
      <c r="BP181" s="1186"/>
      <c r="BQ181" s="1186"/>
      <c r="BR181" s="1186"/>
      <c r="BS181" s="1186"/>
      <c r="BT181" s="1186"/>
      <c r="BU181" s="1186"/>
      <c r="BV181" s="1186"/>
      <c r="BW181" s="1186"/>
      <c r="BX181" s="1186"/>
      <c r="BY181" s="1186"/>
      <c r="BZ181" s="1186"/>
      <c r="CA181" s="1186"/>
      <c r="CB181" s="1186"/>
      <c r="CC181" s="1186"/>
      <c r="CD181" s="1186"/>
      <c r="CE181" s="1186"/>
      <c r="CF181" s="2819"/>
      <c r="CY181" s="1538">
        <v>0</v>
      </c>
      <c r="CZ181" s="1425"/>
      <c r="DA181" s="1425"/>
      <c r="DB181" s="1425"/>
      <c r="DC181" s="1425"/>
      <c r="DD181" s="1425"/>
      <c r="DE181" s="1661">
        <f>A71</f>
        <v>0</v>
      </c>
      <c r="DF181" s="1425"/>
      <c r="DG181" s="1425"/>
      <c r="DH181" s="1539"/>
      <c r="DJ181" s="1662"/>
      <c r="DK181" s="1662"/>
      <c r="DL181" s="1662"/>
      <c r="DM181" s="1662"/>
      <c r="DN181" s="1662"/>
      <c r="DO181" s="1662"/>
      <c r="DP181" s="1662"/>
      <c r="DQ181" s="1662"/>
      <c r="DT181" s="394"/>
      <c r="DU181" s="394"/>
      <c r="DW181" s="1662"/>
      <c r="DY181" s="394"/>
      <c r="DZ181" s="394"/>
      <c r="EC181" s="1662"/>
      <c r="ED181" s="394"/>
      <c r="EE181" s="394"/>
      <c r="EI181" s="1662"/>
      <c r="EJ181" s="394"/>
      <c r="EK181" s="394"/>
      <c r="EO181" s="1662"/>
      <c r="EP181" s="394"/>
      <c r="EQ181" s="394"/>
      <c r="EU181" s="1662"/>
      <c r="EV181" s="394"/>
      <c r="EW181" s="394"/>
      <c r="FA181" s="1662"/>
      <c r="FB181" s="394"/>
      <c r="FC181" s="394"/>
      <c r="FG181" s="1662"/>
      <c r="FH181" s="394"/>
      <c r="FI181" s="394"/>
      <c r="FM181" s="1662"/>
      <c r="FN181" s="394"/>
      <c r="FO181" s="394"/>
      <c r="FS181" s="1662"/>
      <c r="FT181" s="394"/>
      <c r="FU181" s="394"/>
      <c r="FY181" s="1662"/>
      <c r="FZ181" s="394"/>
      <c r="GA181" s="394"/>
      <c r="GE181" s="1662"/>
      <c r="GF181" s="394"/>
      <c r="GG181" s="1662"/>
      <c r="GH181" s="394"/>
      <c r="GK181" s="1662"/>
      <c r="GL181" s="394"/>
      <c r="GM181" s="1662"/>
      <c r="GN181" s="394"/>
      <c r="GP181" s="394"/>
      <c r="GQ181" s="1662"/>
      <c r="GR181" s="394"/>
      <c r="GS181" s="1662"/>
      <c r="GT181" s="1662"/>
      <c r="GU181" s="394"/>
    </row>
    <row r="182" spans="1:209" s="390" customFormat="1" ht="15" hidden="1" customHeight="1" x14ac:dyDescent="0.15">
      <c r="A182" s="775" t="str">
        <f t="shared" si="89"/>
        <v>GIS</v>
      </c>
      <c r="B182" s="1645" t="str">
        <f>B78</f>
        <v>GIS: Platform Tier 14</v>
      </c>
      <c r="C182" s="2165" t="str">
        <f>B79</f>
        <v>Xeon Gold 5122 4 core (1 chip) 3600 MHz</v>
      </c>
      <c r="D182" s="2161">
        <f>C79</f>
        <v>16</v>
      </c>
      <c r="E182" s="2167">
        <f>D79</f>
        <v>4</v>
      </c>
      <c r="F182" s="2168">
        <f>IF(I80=$H$189,L81,0)</f>
        <v>1</v>
      </c>
      <c r="G182" s="2999">
        <f>IF(AF78="",0,AF79)</f>
        <v>0</v>
      </c>
      <c r="H182" s="562">
        <v>10</v>
      </c>
      <c r="I182" s="1835">
        <v>12</v>
      </c>
      <c r="J182" s="1763" t="str">
        <f t="shared" si="90"/>
        <v>GIS</v>
      </c>
      <c r="K182" s="1845" t="str">
        <f>$I$80</f>
        <v>Physical</v>
      </c>
      <c r="L182" s="1770">
        <f>IF(K182=J167,0,$I$78)</f>
        <v>0</v>
      </c>
      <c r="M182" s="1841">
        <f>IF($K182=$J$167,0,$J$78*$GQ$22)+J81*A80</f>
        <v>0</v>
      </c>
      <c r="N182" s="1843">
        <f>IF($K182=$J$167,0,$C$79*$F$80*IF($W$79=$W$167,2,1))</f>
        <v>0</v>
      </c>
      <c r="O182" s="1843">
        <f>IF($K182=$J$167,0,$D$79)</f>
        <v>0</v>
      </c>
      <c r="P182" s="1843">
        <f>IF(K182=$J$167,0,IF(B79=VLOOKUP(L182,HostArray,3,0),1,0))</f>
        <v>0</v>
      </c>
      <c r="Q182" s="3001">
        <f>A78</f>
        <v>3</v>
      </c>
      <c r="R182" s="1843">
        <f t="shared" si="91"/>
        <v>0</v>
      </c>
      <c r="S182" s="1186" t="s">
        <v>1194</v>
      </c>
      <c r="AE182" s="394"/>
      <c r="AG182" s="394"/>
      <c r="AH182" s="394"/>
      <c r="AI182" s="394"/>
      <c r="AJ182" s="2819"/>
      <c r="AK182" s="394"/>
      <c r="AL182" s="2819"/>
      <c r="AM182" s="394"/>
      <c r="AN182" s="2819"/>
      <c r="AO182" s="394"/>
      <c r="AP182" s="2819"/>
      <c r="AQ182" s="394"/>
      <c r="AR182" s="2819"/>
      <c r="AS182" s="394"/>
      <c r="AT182" s="2819"/>
      <c r="AU182" s="2819"/>
      <c r="AV182" s="2819"/>
      <c r="AW182" s="2819"/>
      <c r="AX182" s="2819"/>
      <c r="AY182" s="2819"/>
      <c r="BP182" s="1186"/>
      <c r="BQ182" s="1186"/>
      <c r="BR182" s="1186"/>
      <c r="BS182" s="1186"/>
      <c r="BT182" s="1186"/>
      <c r="BU182" s="1186"/>
      <c r="BV182" s="1186"/>
      <c r="BW182" s="1186"/>
      <c r="BX182" s="1186"/>
      <c r="BY182" s="1186"/>
      <c r="BZ182" s="1186"/>
      <c r="CA182" s="1186"/>
      <c r="CB182" s="1186"/>
      <c r="CC182" s="1186"/>
      <c r="CD182" s="1186"/>
      <c r="CE182" s="1186"/>
      <c r="CF182" s="2819"/>
      <c r="CP182" s="1662"/>
      <c r="CQ182" s="1662"/>
      <c r="CR182" s="1662"/>
      <c r="CS182" s="1662"/>
      <c r="CT182" s="1662"/>
      <c r="CU182" s="1662"/>
      <c r="CV182" s="1662"/>
      <c r="CW182" s="1662"/>
      <c r="CX182" s="1662"/>
      <c r="CY182" s="1538">
        <v>0</v>
      </c>
      <c r="CZ182" s="1425"/>
      <c r="DA182" s="1425"/>
      <c r="DB182" s="1425"/>
      <c r="DC182" s="1425"/>
      <c r="DD182" s="1425"/>
      <c r="DE182" s="1425"/>
      <c r="DF182" s="1661">
        <f>A75</f>
        <v>6.5400074156470164E-4</v>
      </c>
      <c r="DG182" s="1425"/>
      <c r="DH182" s="1539"/>
      <c r="DI182" s="1662"/>
      <c r="DM182" s="394"/>
      <c r="DN182" s="394"/>
      <c r="DR182" s="394"/>
      <c r="DS182" s="394"/>
      <c r="DV182" s="394"/>
      <c r="DX182" s="1662"/>
      <c r="EA182" s="394"/>
      <c r="EB182" s="394"/>
      <c r="EF182" s="394"/>
      <c r="EG182" s="394"/>
      <c r="EH182" s="1662"/>
      <c r="EL182" s="394"/>
      <c r="EM182" s="394"/>
      <c r="EN182" s="1662"/>
      <c r="ER182" s="394"/>
      <c r="ES182" s="394"/>
      <c r="ET182" s="1662"/>
      <c r="EV182" s="394"/>
      <c r="EX182" s="394"/>
      <c r="EY182" s="394"/>
      <c r="EZ182" s="1662"/>
      <c r="FB182" s="394"/>
      <c r="FD182" s="394"/>
      <c r="FE182" s="394"/>
      <c r="FF182" s="1662"/>
      <c r="FH182" s="394"/>
      <c r="FJ182" s="394"/>
      <c r="FK182" s="394"/>
      <c r="FL182" s="1662"/>
      <c r="FN182" s="394"/>
      <c r="FP182" s="394"/>
      <c r="FQ182" s="394"/>
      <c r="FR182" s="1662"/>
      <c r="FT182" s="394"/>
      <c r="FV182" s="394"/>
      <c r="FW182" s="394"/>
      <c r="FX182" s="1662"/>
      <c r="FZ182" s="394"/>
      <c r="GB182" s="394"/>
      <c r="GC182" s="394"/>
      <c r="GD182" s="1662"/>
      <c r="GF182" s="394"/>
      <c r="GG182" s="394"/>
      <c r="GH182" s="394"/>
      <c r="GI182" s="394"/>
      <c r="GJ182" s="1662"/>
      <c r="GL182" s="394"/>
      <c r="GO182" s="394"/>
    </row>
    <row r="183" spans="1:209" s="390" customFormat="1" ht="15" hidden="1" customHeight="1" x14ac:dyDescent="0.15">
      <c r="A183" s="775" t="str">
        <f t="shared" si="89"/>
        <v>DBMS</v>
      </c>
      <c r="B183" s="1664" t="str">
        <f>B82</f>
        <v>DBMS: Platform Tier 15</v>
      </c>
      <c r="C183" s="2165" t="str">
        <f>B83</f>
        <v>Xeon Gold 5122 4 core (1 chip) 3600 MHz</v>
      </c>
      <c r="D183" s="2161">
        <f>C83</f>
        <v>67</v>
      </c>
      <c r="E183" s="2167">
        <f>D83</f>
        <v>4</v>
      </c>
      <c r="F183" s="2168">
        <f>IF(I84=$H$189,L85,0)</f>
        <v>1</v>
      </c>
      <c r="G183" s="2999">
        <f>IF(AF82="",0,AF83)</f>
        <v>0</v>
      </c>
      <c r="H183" s="563">
        <v>1</v>
      </c>
      <c r="I183" s="1835">
        <v>6</v>
      </c>
      <c r="J183" s="1763" t="str">
        <f t="shared" si="90"/>
        <v>DBMS</v>
      </c>
      <c r="K183" s="1845" t="str">
        <f>$I$84</f>
        <v>Physical</v>
      </c>
      <c r="L183" s="1771">
        <f>IF(K183=J167,0,$I$82)</f>
        <v>0</v>
      </c>
      <c r="M183" s="1842">
        <f>IF($K183=$J$167,0,$J$82*$GW$22)+J85*A84</f>
        <v>0</v>
      </c>
      <c r="N183" s="1843">
        <f>IF($K183=$J$167,0,$C$83*$F$84*IF($W$83=$W$167,2,1))</f>
        <v>0</v>
      </c>
      <c r="O183" s="1843">
        <f>IF($K183=$J$167,0,$D$83)</f>
        <v>0</v>
      </c>
      <c r="P183" s="1876">
        <f>IF(K183=$J$167,0,IF(B83=VLOOKUP(L183,HostArray,3,0),1,0))</f>
        <v>0</v>
      </c>
      <c r="Q183" s="3002">
        <f>A82</f>
        <v>9</v>
      </c>
      <c r="R183" s="1876">
        <f t="shared" si="91"/>
        <v>0</v>
      </c>
      <c r="S183" s="1186" t="s">
        <v>1195</v>
      </c>
      <c r="AE183" s="394"/>
      <c r="AG183" s="394"/>
      <c r="AH183" s="394"/>
      <c r="AI183" s="394"/>
      <c r="AJ183" s="2819"/>
      <c r="AK183" s="394"/>
      <c r="AL183" s="2819"/>
      <c r="AM183" s="394"/>
      <c r="AN183" s="2819"/>
      <c r="AO183" s="394"/>
      <c r="AP183" s="2819"/>
      <c r="AQ183" s="394"/>
      <c r="AR183" s="2819"/>
      <c r="AS183" s="394"/>
      <c r="AT183" s="2819"/>
      <c r="AU183" s="2819"/>
      <c r="AV183" s="2819"/>
      <c r="AW183" s="2819"/>
      <c r="AX183" s="2819"/>
      <c r="AY183" s="2819"/>
      <c r="AZ183" s="2819"/>
      <c r="BA183" s="2819"/>
      <c r="BB183" s="2819"/>
      <c r="BC183" s="2819"/>
      <c r="BD183" s="2819"/>
      <c r="BE183" s="2819"/>
      <c r="BP183" s="1186"/>
      <c r="BQ183" s="1186"/>
      <c r="BR183" s="1186"/>
      <c r="BS183" s="1186"/>
      <c r="BT183" s="1186"/>
      <c r="BU183" s="1186"/>
      <c r="BV183" s="1186"/>
      <c r="BW183" s="1186"/>
      <c r="BX183" s="1186"/>
      <c r="BY183" s="1186"/>
      <c r="BZ183" s="1186"/>
      <c r="CA183" s="1186"/>
      <c r="CB183" s="1186"/>
      <c r="CC183" s="1186"/>
      <c r="CD183" s="1186"/>
      <c r="CE183" s="1186"/>
      <c r="CF183" s="2819"/>
      <c r="CY183" s="1538"/>
      <c r="CZ183" s="1425"/>
      <c r="DA183" s="1425"/>
      <c r="DB183" s="1425"/>
      <c r="DC183" s="1425"/>
      <c r="DD183" s="1425"/>
      <c r="DE183" s="1425"/>
      <c r="DF183" s="1425"/>
      <c r="DG183" s="1661">
        <f>A79</f>
        <v>1.4715016685205785E-2</v>
      </c>
      <c r="DH183" s="1539"/>
      <c r="DJ183" s="1662"/>
      <c r="DK183" s="1662"/>
      <c r="DL183" s="1662"/>
      <c r="DM183" s="1662"/>
      <c r="DN183" s="1662"/>
      <c r="DO183" s="1662"/>
      <c r="DP183" s="1662"/>
      <c r="DQ183" s="1662"/>
      <c r="DT183" s="394"/>
      <c r="DU183" s="394"/>
      <c r="DW183" s="1662"/>
      <c r="DY183" s="394"/>
      <c r="DZ183" s="394"/>
      <c r="EC183" s="1662"/>
      <c r="ED183" s="394"/>
      <c r="EE183" s="394"/>
      <c r="EI183" s="1662"/>
      <c r="EJ183" s="394"/>
      <c r="EK183" s="394"/>
      <c r="EO183" s="1662"/>
      <c r="EP183" s="394"/>
      <c r="EQ183" s="394"/>
      <c r="EU183" s="1662"/>
      <c r="EV183" s="394"/>
      <c r="EW183" s="394"/>
      <c r="FA183" s="1662"/>
      <c r="FB183" s="394"/>
      <c r="FC183" s="394"/>
      <c r="FG183" s="1662"/>
      <c r="FH183" s="394"/>
      <c r="FI183" s="394"/>
      <c r="FM183" s="1662"/>
      <c r="FN183" s="394"/>
      <c r="FO183" s="394"/>
      <c r="FS183" s="1662"/>
      <c r="FT183" s="394"/>
      <c r="FU183" s="394"/>
      <c r="FY183" s="1662"/>
      <c r="FZ183" s="394"/>
      <c r="GA183" s="394"/>
      <c r="GE183" s="1662"/>
      <c r="GF183" s="394"/>
      <c r="GG183" s="1662"/>
      <c r="GH183" s="394"/>
      <c r="GK183" s="1662"/>
      <c r="GL183" s="394"/>
      <c r="GM183" s="1662"/>
      <c r="GN183" s="394"/>
      <c r="GP183" s="394"/>
      <c r="GQ183" s="1662"/>
      <c r="GR183" s="394"/>
      <c r="GS183" s="1662"/>
      <c r="GT183" s="1662"/>
      <c r="GU183" s="394"/>
    </row>
    <row r="184" spans="1:209" s="390" customFormat="1" ht="15" hidden="1" customHeight="1" thickBot="1" x14ac:dyDescent="0.2">
      <c r="A184" s="2729" t="s">
        <v>1049</v>
      </c>
      <c r="B184" s="1664"/>
      <c r="C184" s="2164"/>
      <c r="D184" s="2163"/>
      <c r="E184" s="2166"/>
      <c r="F184" s="2169"/>
      <c r="H184" s="563">
        <v>0.1</v>
      </c>
      <c r="I184" s="1835">
        <v>3</v>
      </c>
      <c r="J184" s="1684" t="s">
        <v>720</v>
      </c>
      <c r="K184" s="1833" t="s">
        <v>26</v>
      </c>
      <c r="L184" s="1768" t="s">
        <v>314</v>
      </c>
      <c r="M184" s="1833" t="s">
        <v>1242</v>
      </c>
      <c r="N184" s="1833" t="s">
        <v>745</v>
      </c>
      <c r="O184" s="1849" t="str">
        <f>O166</f>
        <v>vCore</v>
      </c>
      <c r="P184" s="1849" t="s">
        <v>777</v>
      </c>
      <c r="Q184" s="1979" t="str">
        <f>Q166</f>
        <v>Users</v>
      </c>
      <c r="R184" s="1979" t="s">
        <v>1562</v>
      </c>
      <c r="S184" s="1186" t="s">
        <v>1196</v>
      </c>
      <c r="W184" s="394"/>
      <c r="X184" s="394"/>
      <c r="Y184" s="394"/>
      <c r="Z184" s="394"/>
      <c r="AA184" s="394"/>
      <c r="AB184" s="394"/>
      <c r="AC184" s="394"/>
      <c r="AD184" s="3398"/>
      <c r="AE184" s="2819"/>
      <c r="AF184" s="2819"/>
      <c r="AG184" s="2819"/>
      <c r="AH184" s="2819"/>
      <c r="AI184" s="2819"/>
      <c r="AJ184" s="2819"/>
      <c r="AK184" s="2819"/>
      <c r="AL184" s="2819"/>
      <c r="AM184" s="2819"/>
      <c r="AN184" s="2819"/>
      <c r="AO184" s="2819"/>
      <c r="AP184" s="2819"/>
      <c r="AQ184" s="2819"/>
      <c r="AR184" s="2819"/>
      <c r="AS184" s="2819"/>
      <c r="AT184" s="2819"/>
      <c r="AU184" s="2819"/>
      <c r="AV184" s="2819"/>
      <c r="AW184" s="2819"/>
      <c r="AX184" s="2819"/>
      <c r="AY184" s="2819"/>
      <c r="AZ184" s="2819"/>
      <c r="BA184" s="2819"/>
      <c r="BB184" s="2819"/>
      <c r="BC184" s="2819"/>
      <c r="BD184" s="2819"/>
      <c r="BE184" s="2819"/>
      <c r="BP184" s="1594"/>
      <c r="BQ184" s="1594"/>
      <c r="BR184" s="1594"/>
      <c r="BS184" s="394"/>
      <c r="BT184" s="394"/>
      <c r="BU184" s="394"/>
      <c r="BV184" s="1663"/>
      <c r="BW184" s="2819"/>
      <c r="BX184" s="2819"/>
      <c r="BY184" s="2819"/>
      <c r="BZ184" s="2819"/>
      <c r="CA184" s="2819"/>
      <c r="CB184" s="2819"/>
      <c r="CC184" s="2819"/>
      <c r="CD184" s="2819"/>
      <c r="CE184" s="2819"/>
      <c r="CF184" s="2819"/>
      <c r="CG184" s="394"/>
      <c r="CH184" s="394"/>
      <c r="CY184" s="1538"/>
      <c r="CZ184" s="1425"/>
      <c r="DA184" s="1425"/>
      <c r="DB184" s="1425"/>
      <c r="DC184" s="1425"/>
      <c r="DD184" s="1425"/>
      <c r="DE184" s="1425"/>
      <c r="DF184" s="1425"/>
      <c r="DG184" s="1660"/>
      <c r="DH184" s="1666">
        <f>A83</f>
        <v>9.600395501174145E-3</v>
      </c>
      <c r="DJ184" s="1662"/>
      <c r="DK184" s="1662"/>
      <c r="DL184" s="1662"/>
      <c r="DM184" s="1662"/>
      <c r="DN184" s="1662"/>
      <c r="DO184" s="1662"/>
      <c r="DP184" s="1662"/>
      <c r="DQ184" s="1662"/>
      <c r="DT184" s="394"/>
      <c r="DU184" s="394"/>
      <c r="DW184" s="1662"/>
      <c r="DY184" s="394"/>
      <c r="DZ184" s="394"/>
      <c r="EC184" s="1662"/>
      <c r="ED184" s="394"/>
      <c r="EE184" s="394"/>
      <c r="EI184" s="1662"/>
      <c r="EJ184" s="394"/>
      <c r="EK184" s="394"/>
      <c r="EO184" s="1662"/>
      <c r="EP184" s="394"/>
      <c r="EQ184" s="394"/>
      <c r="EU184" s="1662"/>
      <c r="EV184" s="394"/>
      <c r="EW184" s="394"/>
      <c r="FA184" s="1662"/>
      <c r="FB184" s="394"/>
      <c r="FC184" s="394"/>
      <c r="FG184" s="1662"/>
      <c r="FH184" s="394"/>
      <c r="FI184" s="394"/>
      <c r="FM184" s="1662"/>
      <c r="FN184" s="394"/>
      <c r="FO184" s="394"/>
      <c r="FS184" s="1662"/>
      <c r="FT184" s="394"/>
      <c r="FU184" s="394"/>
      <c r="FY184" s="1662"/>
      <c r="FZ184" s="394"/>
      <c r="GA184" s="394"/>
      <c r="GE184" s="1662"/>
      <c r="GF184" s="394"/>
      <c r="GG184" s="1662"/>
      <c r="GH184" s="394"/>
      <c r="GK184" s="1662"/>
      <c r="GL184" s="394"/>
      <c r="GM184" s="1662"/>
      <c r="GN184" s="394"/>
      <c r="GP184" s="394"/>
      <c r="GQ184" s="1662"/>
      <c r="GR184" s="394"/>
      <c r="GS184" s="1662"/>
      <c r="GT184" s="1662"/>
      <c r="GU184" s="394"/>
    </row>
    <row r="185" spans="1:209" s="390" customFormat="1" ht="15" hidden="1" customHeight="1" x14ac:dyDescent="0.15">
      <c r="A185" s="776" t="str">
        <f>A184</f>
        <v>AGOL</v>
      </c>
      <c r="B185" s="1665"/>
      <c r="C185" s="2164"/>
      <c r="D185" s="2163"/>
      <c r="E185" s="2166"/>
      <c r="F185" s="2169"/>
      <c r="G185" s="1647" t="s">
        <v>314</v>
      </c>
      <c r="H185" s="563">
        <v>0.01</v>
      </c>
      <c r="I185" s="1835">
        <v>1.5</v>
      </c>
      <c r="J185" s="1764" t="str">
        <f t="shared" ref="J185:J190" si="92">A188</f>
        <v>Host01</v>
      </c>
      <c r="K185" s="1766">
        <f>Q88</f>
        <v>0</v>
      </c>
      <c r="L185" s="2769" t="str">
        <f>B89</f>
        <v>Xeon Gold 5122 4 core (1 chip) 3600 MHz</v>
      </c>
      <c r="M185" s="2772">
        <f t="shared" ref="M185:O189" si="93">IF($J185=$L$169,M$169,0)+ IF($J185=$L$170,M$170,0)+ IF($J185=$L$171,M$171,0)+ IF($J185=$L$172,M$172,0)+ IF($J185=$L$173,M$173,0)+ IF($J185=$L$174,M$174,0)+ IF($J185=$L$175,M$175,0)+ IF($J185=$L$176,M$176,0)+ IF($J185=$L$177,M$177,0)+ IF($J185=$L$178,M$178,0)+ IF($J185=$L$179,M$179,0)+ IF($J185=$L$180,M$180,0)+ IF($J185=$L$181,M$181,0)+ IF($J185=$L$182,M$182,0)+ IF($J185=$L$183,M$183,0)</f>
        <v>0</v>
      </c>
      <c r="N185" s="2773">
        <f t="shared" si="93"/>
        <v>0</v>
      </c>
      <c r="O185" s="2773">
        <f t="shared" si="93"/>
        <v>0</v>
      </c>
      <c r="P185" s="2774">
        <f>IF(COUNTIF($L$169:$L$183,J185)=IF(J185=$L$169,$P$169,0)+IF(J185=$L$170,$P$170,0)+IF(J185=$L$171,$P$171,0)+IF(J185=$L$172,$P$172,0)+IF(J185=$L$173,$P$173,0)+IF(J185=$L$174,$P$174,0)+IF(J185=$L$175,$P$175,0)+IF(J185=$L$176,$P$176,0)+IF(J185=$L$177,$P$177,0)+IF(J185=$L$178,$P$178,0)+IF(J185=$L$179,$P$179,0)+IF(J185=$L$180,$P$180,0)+IF(J185=$L$181,$P$181,0)+IF(J185=$L$182,$P$182,0)+IF(J185=$L$183,$P$183,0),0,1)</f>
        <v>0</v>
      </c>
      <c r="Q185" s="2772" t="str">
        <f>IF(K185&gt;0,(IF($J185=$L$169,Q$169,0)+ IF($J185=$L$170,Q$170,0)+ IF($J185=$L$171,Q$171,0)+ IF($J185=$L$172,Q$172,0)+IF(J185=$L$173,$Q$173,0)+IF(J185=$L$174,$Q$174,0)+IF(J185=$L$175,$Q$175,0)+IF(J185=$L$176,$Q$176,0)+IF(J185=$L$177,$Q$177,0)+ IF($J185=$L$178,Q$178,0)+ IF($J185=$L$179,Q$179,0)+ IF($J185=$L$180,Q$180,0)+ IF($J185=$L$181,Q$181,0)+ IF($J185=$L$182,Q$182,0)+ IF($J185=$L$183,Q$183,0))/COUNTIF($L$169:$L$183,J185),"")</f>
        <v/>
      </c>
      <c r="R185" s="2998">
        <f>AF89</f>
        <v>24</v>
      </c>
      <c r="S185" s="1186" t="s">
        <v>1197</v>
      </c>
      <c r="W185" s="394"/>
      <c r="X185" s="394"/>
      <c r="Y185" s="394"/>
      <c r="Z185" s="394"/>
      <c r="AA185" s="394"/>
      <c r="AB185" s="394"/>
      <c r="AC185" s="394"/>
      <c r="AD185" s="3398"/>
      <c r="AE185" s="2819"/>
      <c r="AF185" s="2819"/>
      <c r="AG185" s="2819"/>
      <c r="AH185" s="2819"/>
      <c r="AI185" s="2819"/>
      <c r="AJ185" s="2819"/>
      <c r="AK185" s="2819"/>
      <c r="AL185" s="2819"/>
      <c r="AM185" s="2819"/>
      <c r="AN185" s="2819"/>
      <c r="AO185" s="2819"/>
      <c r="AP185" s="2819"/>
      <c r="AQ185" s="2819"/>
      <c r="AR185" s="2819"/>
      <c r="AS185" s="2819"/>
      <c r="AT185" s="2819"/>
      <c r="AU185" s="2819"/>
      <c r="AV185" s="2819"/>
      <c r="AW185" s="2819"/>
      <c r="AX185" s="2819"/>
      <c r="AY185" s="2819"/>
      <c r="AZ185" s="2819"/>
      <c r="BA185" s="2819"/>
      <c r="BB185" s="2819"/>
      <c r="BC185" s="2819"/>
      <c r="BD185" s="2819"/>
      <c r="BE185" s="2819"/>
      <c r="BP185" s="1594"/>
      <c r="BQ185" s="1594"/>
      <c r="BR185" s="1594"/>
      <c r="BS185" s="394"/>
      <c r="BT185" s="394"/>
      <c r="BU185" s="394"/>
      <c r="BV185" s="1663"/>
      <c r="BW185" s="2819"/>
      <c r="BX185" s="2819"/>
      <c r="BY185" s="2819"/>
      <c r="BZ185" s="2819"/>
      <c r="CA185" s="2819"/>
      <c r="CB185" s="2819"/>
      <c r="CC185" s="2819"/>
      <c r="CD185" s="2819"/>
      <c r="CE185" s="2819"/>
      <c r="CF185" s="2819"/>
      <c r="CG185" s="394"/>
      <c r="CH185" s="394"/>
      <c r="CY185" s="95" t="str">
        <f t="shared" ref="CY185:DD185" si="94">BR4</f>
        <v>Tier01</v>
      </c>
      <c r="CZ185" s="96" t="str">
        <f t="shared" si="94"/>
        <v>Tier02</v>
      </c>
      <c r="DA185" s="96" t="str">
        <f t="shared" si="94"/>
        <v>Tier03</v>
      </c>
      <c r="DB185" s="96" t="str">
        <f t="shared" si="94"/>
        <v>Tier04</v>
      </c>
      <c r="DC185" s="96" t="str">
        <f t="shared" si="94"/>
        <v>Tier05</v>
      </c>
      <c r="DD185" s="96" t="str">
        <f t="shared" si="94"/>
        <v>Tier06</v>
      </c>
      <c r="DE185" s="96" t="str">
        <f>CC4</f>
        <v>Tier12</v>
      </c>
      <c r="DF185" s="96" t="str">
        <f>CD4</f>
        <v>Web</v>
      </c>
      <c r="DG185" s="96" t="str">
        <f>CE4</f>
        <v>GIS</v>
      </c>
      <c r="DH185" s="97" t="str">
        <f>CF4</f>
        <v>DBMS</v>
      </c>
      <c r="DJ185" s="1662"/>
      <c r="DK185" s="1662"/>
      <c r="DL185" s="1662"/>
      <c r="DM185" s="1662"/>
      <c r="DN185" s="1662"/>
      <c r="DO185" s="1662"/>
      <c r="DP185" s="1662"/>
      <c r="DQ185" s="1662"/>
      <c r="DT185" s="394"/>
      <c r="DU185" s="394"/>
      <c r="DW185" s="1662"/>
      <c r="DY185" s="394"/>
      <c r="DZ185" s="394"/>
      <c r="EC185" s="1662"/>
      <c r="ED185" s="394"/>
      <c r="EE185" s="394"/>
      <c r="EI185" s="1662"/>
      <c r="EJ185" s="394"/>
      <c r="EK185" s="394"/>
      <c r="EO185" s="1662"/>
      <c r="EP185" s="394"/>
      <c r="EQ185" s="394"/>
      <c r="EU185" s="1662"/>
      <c r="EV185" s="394"/>
      <c r="EW185" s="394"/>
      <c r="FA185" s="1662"/>
      <c r="FB185" s="394"/>
      <c r="FC185" s="394"/>
      <c r="FG185" s="1662"/>
      <c r="FH185" s="394"/>
      <c r="FI185" s="394"/>
      <c r="FM185" s="1662"/>
      <c r="FN185" s="394"/>
      <c r="FO185" s="394"/>
      <c r="FS185" s="1662"/>
      <c r="FT185" s="394"/>
      <c r="FU185" s="394"/>
      <c r="FY185" s="1662"/>
      <c r="FZ185" s="394"/>
      <c r="GA185" s="394"/>
      <c r="GE185" s="1662"/>
      <c r="GF185" s="394"/>
      <c r="GG185" s="1662"/>
      <c r="GH185" s="394"/>
      <c r="GK185" s="1662"/>
      <c r="GL185" s="394"/>
      <c r="GM185" s="1662"/>
      <c r="GN185" s="394"/>
      <c r="GP185" s="394"/>
      <c r="GQ185" s="1662"/>
      <c r="GR185" s="394"/>
      <c r="GS185" s="1662"/>
      <c r="GT185" s="1662"/>
      <c r="GU185" s="394"/>
    </row>
    <row r="186" spans="1:209" s="390" customFormat="1" ht="15" hidden="1" customHeight="1" thickBot="1" x14ac:dyDescent="0.2">
      <c r="A186" s="776" t="s">
        <v>543</v>
      </c>
      <c r="B186" s="1665"/>
      <c r="C186" s="2164"/>
      <c r="D186" s="2163"/>
      <c r="E186" s="2166"/>
      <c r="F186" s="2169"/>
      <c r="G186" s="390" t="s">
        <v>1735</v>
      </c>
      <c r="H186" s="563">
        <v>1E-3</v>
      </c>
      <c r="I186" s="1835">
        <v>0.75</v>
      </c>
      <c r="J186" s="1765" t="str">
        <f t="shared" si="92"/>
        <v>Host02</v>
      </c>
      <c r="K186" s="1767">
        <f>Q91</f>
        <v>0</v>
      </c>
      <c r="L186" s="2770" t="str">
        <f>B92</f>
        <v>Xeon Gold 5122 4 core (1 chip) 3600 MHz</v>
      </c>
      <c r="M186" s="2772">
        <f t="shared" si="93"/>
        <v>0</v>
      </c>
      <c r="N186" s="2773">
        <f t="shared" si="93"/>
        <v>0</v>
      </c>
      <c r="O186" s="2773">
        <f t="shared" si="93"/>
        <v>0</v>
      </c>
      <c r="P186" s="2774">
        <f>IF(COUNTIF($L$169:$L$183,J186)=IF(J186=$L$169,$P$169,0)+IF(J186=$L$170,$P$170,0)+IF(J186=$L$171,$P$171,0)+IF(J186=$L$172,$P$172,0)+IF(J186=$L$173,$P$173,0)+IF(J186=$L$174,$P$174,0)+IF(J186=$L$175,$P$175,0)+IF(J186=$L$176,$P$176,0)+IF(J186=$L$177,$P$177,0)+IF(J186=$L$178,$P$178,0)+IF(J186=$L$179,$P$179,0)+IF(J186=$L$180,$P$180,0)+IF(J186=$L$181,$P$181,0)+IF(J186=$L$182,$P$182,0)+IF(J186=$L$183,$P$183,0),0,1)</f>
        <v>0</v>
      </c>
      <c r="Q186" s="2772" t="str">
        <f>IF(K186&gt;0,(IF($J186=$L$169,Q$169,0)+ IF($J186=$L$170,Q$170,0)+ IF($J186=$L$171,Q$171,0)+ IF($J186=$L$172,Q$172,0)+IF(J186=$L$173,$Q$173,0)+IF(J186=$L$174,$Q$174,0)+IF(J186=$L$175,$Q$175,0)+IF(J186=$L$176,$Q$176,0)+IF(J186=$L$177,$Q$177,0)+ IF($J186=$L$178,Q$178,0)+ IF($J186=$L$179,Q$179,0)+ IF($J186=$L$180,Q$180,0)+ IF($J186=$L$181,Q$181,0)+ IF($J186=$L$182,Q$182,0)+ IF($J186=$L$183,Q$183,0))/COUNTIF($L$169:$L$183,J186),"")</f>
        <v/>
      </c>
      <c r="R186" s="2998">
        <f>AF92</f>
        <v>24</v>
      </c>
      <c r="S186" s="1186" t="s">
        <v>1198</v>
      </c>
      <c r="W186" s="394"/>
      <c r="X186" s="394"/>
      <c r="Y186" s="394"/>
      <c r="Z186" s="394"/>
      <c r="AA186" s="394"/>
      <c r="AB186" s="394"/>
      <c r="AC186" s="394"/>
      <c r="AD186" s="1667"/>
      <c r="AE186" s="1663"/>
      <c r="AF186" s="2819"/>
      <c r="AG186" s="2819"/>
      <c r="AH186" s="2819"/>
      <c r="AI186" s="2819"/>
      <c r="AJ186" s="2819"/>
      <c r="AK186" s="2819"/>
      <c r="AL186" s="2819"/>
      <c r="AM186" s="2819"/>
      <c r="AN186" s="2819"/>
      <c r="AO186" s="2819"/>
      <c r="AP186" s="2819"/>
      <c r="AQ186" s="2819"/>
      <c r="AR186" s="2819"/>
      <c r="AS186" s="2819"/>
      <c r="AT186" s="2819"/>
      <c r="AU186" s="2819"/>
      <c r="AV186" s="2819"/>
      <c r="AW186" s="2819"/>
      <c r="AX186" s="2819"/>
      <c r="AY186" s="2819"/>
      <c r="AZ186" s="2819"/>
      <c r="BA186" s="2819"/>
      <c r="BB186" s="2819"/>
      <c r="BC186" s="2819"/>
      <c r="BD186" s="2819"/>
      <c r="BE186" s="2819"/>
      <c r="BP186" s="1594"/>
      <c r="BQ186" s="1594"/>
      <c r="BR186" s="1594"/>
      <c r="BS186" s="394"/>
      <c r="BT186" s="394"/>
      <c r="BU186" s="394"/>
      <c r="BV186" s="1663"/>
      <c r="BW186" s="2819"/>
      <c r="BX186" s="2819"/>
      <c r="BY186" s="2819"/>
      <c r="BZ186" s="2819"/>
      <c r="CA186" s="2819"/>
      <c r="CB186" s="2819"/>
      <c r="CC186" s="2819"/>
      <c r="CD186" s="2819"/>
      <c r="CE186" s="2819"/>
      <c r="CF186" s="2819"/>
      <c r="CG186" s="394"/>
      <c r="CH186" s="394"/>
      <c r="CY186" s="1668">
        <f>F26</f>
        <v>0</v>
      </c>
      <c r="CZ186" s="1669">
        <f>F30</f>
        <v>0</v>
      </c>
      <c r="DA186" s="1669">
        <f>F34</f>
        <v>0</v>
      </c>
      <c r="DB186" s="1669">
        <f>F38</f>
        <v>0</v>
      </c>
      <c r="DC186" s="1669">
        <f>F42</f>
        <v>0</v>
      </c>
      <c r="DD186" s="1669">
        <f>F47</f>
        <v>0</v>
      </c>
      <c r="DE186" s="1669">
        <f>F72</f>
        <v>0</v>
      </c>
      <c r="DF186" s="1669">
        <f>F76</f>
        <v>1</v>
      </c>
      <c r="DG186" s="1669">
        <f>F80</f>
        <v>1</v>
      </c>
      <c r="DH186" s="1670">
        <f>F84</f>
        <v>1</v>
      </c>
      <c r="DJ186" s="1662"/>
      <c r="DK186" s="1662"/>
      <c r="DL186" s="1662"/>
      <c r="DM186" s="1662"/>
      <c r="DN186" s="1662"/>
      <c r="DO186" s="1662"/>
      <c r="DP186" s="1662"/>
      <c r="DQ186" s="1662"/>
      <c r="DT186" s="394"/>
      <c r="DU186" s="394"/>
      <c r="DW186" s="1662"/>
      <c r="DY186" s="394"/>
      <c r="DZ186" s="394"/>
      <c r="EC186" s="1662"/>
      <c r="ED186" s="394"/>
      <c r="EE186" s="394"/>
      <c r="EI186" s="1662"/>
      <c r="EJ186" s="394"/>
      <c r="EK186" s="394"/>
      <c r="EO186" s="1662"/>
      <c r="EP186" s="394"/>
      <c r="EQ186" s="394"/>
      <c r="EU186" s="1662"/>
      <c r="EV186" s="394"/>
      <c r="EW186" s="394"/>
      <c r="FA186" s="1662"/>
      <c r="FB186" s="394"/>
      <c r="FC186" s="394"/>
      <c r="FG186" s="1662"/>
      <c r="FH186" s="394"/>
      <c r="FI186" s="394"/>
      <c r="FM186" s="1662"/>
      <c r="FN186" s="394"/>
      <c r="FO186" s="394"/>
      <c r="FS186" s="1662"/>
      <c r="FT186" s="394"/>
      <c r="FU186" s="394"/>
      <c r="FY186" s="1662"/>
      <c r="FZ186" s="394"/>
      <c r="GA186" s="394"/>
      <c r="GE186" s="1662"/>
      <c r="GF186" s="394"/>
      <c r="GG186" s="1662"/>
      <c r="GH186" s="394"/>
      <c r="GK186" s="1662"/>
      <c r="GL186" s="394"/>
      <c r="GM186" s="1662"/>
      <c r="GN186" s="394"/>
      <c r="GP186" s="394"/>
      <c r="GQ186" s="1662"/>
      <c r="GR186" s="394"/>
      <c r="GS186" s="1662"/>
      <c r="GT186" s="1662"/>
      <c r="GU186" s="394"/>
    </row>
    <row r="187" spans="1:209" s="390" customFormat="1" ht="15" hidden="1" customHeight="1" x14ac:dyDescent="0.15">
      <c r="A187" s="2818" t="s">
        <v>835</v>
      </c>
      <c r="B187" s="1665"/>
      <c r="C187" s="2164"/>
      <c r="D187" s="2163"/>
      <c r="E187" s="2166"/>
      <c r="F187" s="2169"/>
      <c r="G187" s="390" t="s">
        <v>412</v>
      </c>
      <c r="H187" s="563">
        <v>1E-4</v>
      </c>
      <c r="I187" s="1835">
        <v>5.6000000000000001E-2</v>
      </c>
      <c r="J187" s="1765" t="str">
        <f t="shared" si="92"/>
        <v>Host03</v>
      </c>
      <c r="K187" s="1767">
        <f>Q94</f>
        <v>0</v>
      </c>
      <c r="L187" s="2770" t="str">
        <f>B95</f>
        <v>Xeon Gold 5122 4 core (1 chip) 3600 MHz</v>
      </c>
      <c r="M187" s="2772">
        <f t="shared" si="93"/>
        <v>0</v>
      </c>
      <c r="N187" s="2773">
        <f t="shared" si="93"/>
        <v>0</v>
      </c>
      <c r="O187" s="2773">
        <f t="shared" si="93"/>
        <v>0</v>
      </c>
      <c r="P187" s="2774">
        <f>IF(COUNTIF($L$169:$L$183,J187)=IF(J187=$L$169,$P$169,0)+IF(J187=$L$170,$P$170,0)+IF(J187=$L$171,$P$171,0)+IF(J187=$L$172,$P$172,0)+IF(J187=$L$173,$P$173,0)+IF(J187=$L$174,$P$174,0)+IF(J187=$L$175,$P$175,0)+IF(J187=$L$176,$P$176,0)+IF(J187=$L$177,$P$177,0)+IF(J187=$L$178,$P$178,0)+IF(J187=$L$179,$P$179,0)+IF(J187=$L$180,$P$180,0)+IF(J187=$L$181,$P$181,0)+IF(J187=$L$182,$P$182,0)+IF(J187=$L$183,$P$183,0),0,1)</f>
        <v>0</v>
      </c>
      <c r="Q187" s="2772" t="str">
        <f>IF(K187&gt;0,(IF($J187=$L$169,Q$169,0)+ IF($J187=$L$170,Q$170,0)+ IF($J187=$L$171,Q$171,0)+ IF($J187=$L$172,Q$172,0)+IF(J187=$L$173,$Q$173,0)+IF(J187=$L$174,$Q$174,0)+IF(J187=$L$175,$Q$175,0)+IF(J187=$L$176,$Q$176,0)+IF(J187=$L$177,$Q$177,0)+ IF($J187=$L$178,Q$178,0)+ IF($J187=$L$179,Q$179,0)+ IF($J187=$L$180,Q$180,0)+ IF($J187=$L$181,Q$181,0)+ IF($J187=$L$182,Q$182,0)+ IF($J187=$L$183,Q$183,0))/COUNTIF($L$169:$L$183,J187),"")</f>
        <v/>
      </c>
      <c r="R187" s="2998">
        <f>AF95</f>
        <v>24</v>
      </c>
      <c r="S187" s="1186" t="s">
        <v>1199</v>
      </c>
      <c r="W187" s="394"/>
      <c r="X187" s="394"/>
      <c r="Y187" s="394"/>
      <c r="Z187" s="394"/>
      <c r="AA187" s="394"/>
      <c r="AB187" s="394"/>
      <c r="AC187" s="394"/>
      <c r="AD187" s="1667"/>
      <c r="AE187" s="1663"/>
      <c r="AF187" s="2819"/>
      <c r="AG187" s="2819"/>
      <c r="AH187" s="2819"/>
      <c r="AI187" s="2819"/>
      <c r="AJ187" s="2819"/>
      <c r="AK187" s="2819"/>
      <c r="AL187" s="2819"/>
      <c r="AM187" s="2819"/>
      <c r="AN187" s="2819"/>
      <c r="AO187" s="2819"/>
      <c r="AP187" s="2819"/>
      <c r="AQ187" s="2819"/>
      <c r="AR187" s="2819"/>
      <c r="AS187" s="2819"/>
      <c r="AT187" s="2819"/>
      <c r="AU187" s="2819"/>
      <c r="AV187" s="2819"/>
      <c r="AW187" s="2819"/>
      <c r="AX187" s="2819"/>
      <c r="AY187" s="2819"/>
      <c r="AZ187" s="2819"/>
      <c r="BA187" s="2819"/>
      <c r="BB187" s="2819"/>
      <c r="BC187" s="2819"/>
      <c r="BD187" s="2819"/>
      <c r="BE187" s="2819"/>
      <c r="BP187" s="1594"/>
      <c r="BQ187" s="1594"/>
      <c r="BR187" s="1594"/>
      <c r="BS187" s="394"/>
      <c r="BT187" s="394"/>
      <c r="BU187" s="394"/>
      <c r="BV187" s="1663"/>
      <c r="BW187" s="2819"/>
      <c r="BX187" s="2819"/>
      <c r="BY187" s="2819"/>
      <c r="BZ187" s="2819"/>
      <c r="CA187" s="2819"/>
      <c r="CB187" s="2819"/>
      <c r="CC187" s="2819"/>
      <c r="CD187" s="2819"/>
      <c r="CE187" s="2819"/>
      <c r="CF187" s="2819"/>
      <c r="CG187" s="394"/>
      <c r="CH187" s="394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J187" s="1662"/>
      <c r="DK187" s="1662"/>
      <c r="DL187" s="1662"/>
      <c r="DM187" s="1662"/>
      <c r="DN187" s="1662"/>
      <c r="DO187" s="1662"/>
      <c r="DP187" s="1662"/>
      <c r="DQ187" s="1662"/>
      <c r="DT187" s="394"/>
      <c r="DU187" s="394"/>
      <c r="DW187" s="1662"/>
      <c r="DY187" s="394"/>
      <c r="DZ187" s="394"/>
      <c r="EC187" s="1662"/>
      <c r="ED187" s="394"/>
      <c r="EE187" s="394"/>
      <c r="EI187" s="1662"/>
      <c r="EJ187" s="394"/>
      <c r="EK187" s="394"/>
      <c r="EO187" s="1662"/>
      <c r="EP187" s="394"/>
      <c r="EQ187" s="394"/>
      <c r="EU187" s="1662"/>
      <c r="EV187" s="394"/>
      <c r="EW187" s="394"/>
      <c r="FA187" s="1662"/>
      <c r="FB187" s="394"/>
      <c r="FC187" s="394"/>
      <c r="FG187" s="1662"/>
      <c r="FH187" s="394"/>
      <c r="FI187" s="394"/>
      <c r="FM187" s="1662"/>
      <c r="FN187" s="394"/>
      <c r="FO187" s="394"/>
      <c r="FS187" s="1662"/>
      <c r="FT187" s="394"/>
      <c r="FU187" s="394"/>
      <c r="FY187" s="1662"/>
      <c r="FZ187" s="394"/>
      <c r="GA187" s="394"/>
      <c r="GE187" s="1662"/>
      <c r="GF187" s="394"/>
      <c r="GG187" s="1662"/>
      <c r="GH187" s="394"/>
      <c r="GK187" s="1662"/>
      <c r="GL187" s="394"/>
      <c r="GM187" s="1662"/>
      <c r="GN187" s="394"/>
      <c r="GP187" s="394"/>
      <c r="GQ187" s="1662"/>
      <c r="GR187" s="394"/>
      <c r="GS187" s="1662"/>
      <c r="GT187" s="1662"/>
      <c r="GU187" s="394"/>
    </row>
    <row r="188" spans="1:209" s="390" customFormat="1" ht="15" hidden="1" customHeight="1" x14ac:dyDescent="0.15">
      <c r="A188" s="775" t="str">
        <f>IF(ISERROR(FIND(":",B188)),B188,LEFT(B188,FIND(":",B188)-1))</f>
        <v>Host01</v>
      </c>
      <c r="B188" s="774" t="str">
        <f>B88</f>
        <v>Host01: Virtual Host 01</v>
      </c>
      <c r="C188" s="2165" t="str">
        <f>B89</f>
        <v>Xeon Gold 5122 4 core (1 chip) 3600 MHz</v>
      </c>
      <c r="D188" s="2161">
        <f>C88</f>
        <v>0</v>
      </c>
      <c r="E188" s="2167">
        <f>D88</f>
        <v>0</v>
      </c>
      <c r="F188" s="2168">
        <f>F89</f>
        <v>0</v>
      </c>
      <c r="G188" s="390" t="s">
        <v>1736</v>
      </c>
      <c r="H188" s="564"/>
      <c r="I188" s="1835">
        <v>2.8000000000000001E-2</v>
      </c>
      <c r="J188" s="1765" t="str">
        <f t="shared" si="92"/>
        <v>Host04</v>
      </c>
      <c r="K188" s="1767">
        <f>Q97</f>
        <v>0</v>
      </c>
      <c r="L188" s="2770" t="str">
        <f>B98</f>
        <v>Xeon Gold 5122 4 core (1 chip) 3600 MHz</v>
      </c>
      <c r="M188" s="2772">
        <f t="shared" si="93"/>
        <v>0</v>
      </c>
      <c r="N188" s="2773">
        <f t="shared" si="93"/>
        <v>0</v>
      </c>
      <c r="O188" s="2773">
        <f t="shared" si="93"/>
        <v>0</v>
      </c>
      <c r="P188" s="2774">
        <f>IF(COUNTIF($L$169:$L$183,J188)=IF(J188=$L$169,$P$169,0)+IF(J188=$L$170,$P$170,0)+IF(J188=$L$171,$P$171,0)+IF(J188=$L$172,$P$172,0)+IF(J188=$L$173,$P$173,0)+IF(J188=$L$174,$P$174,0)+IF(J188=$L$175,$P$175,0)+IF(J188=$L$176,$P$176,0)+IF(J188=$L$177,$P$177,0)+IF(J188=$L$178,$P$178,0)+IF(J188=$L$179,$P$179,0)+IF(J188=$L$180,$P$180,0)+IF(J188=$L$181,$P$181,0)+IF(J188=$L$182,$P$182,0)+IF(J188=$L$183,$P$183,0),0,1)</f>
        <v>0</v>
      </c>
      <c r="Q188" s="2772" t="str">
        <f>IF(K188&gt;0,(IF($J188=$L$169,Q$169,0)+ IF($J188=$L$170,Q$170,0)+ IF($J188=$L$171,Q$171,0)+ IF($J188=$L$172,Q$172,0)+IF(J188=$L$173,$Q$173,0)+IF(J188=$L$174,$Q$174,0)+IF(J188=$L$175,$Q$175,0)+IF(J188=$L$176,$Q$176,0)+IF(J188=$L$177,$Q$177,0)+ IF($J188=$L$178,Q$178,0)+ IF($J188=$L$179,Q$179,0)+ IF($J188=$L$180,Q$180,0)+ IF($J188=$L$181,Q$181,0)+ IF($J188=$L$182,Q$182,0)+ IF($J188=$L$183,Q$183,0))/COUNTIF($L$169:$L$183,J188),"")</f>
        <v/>
      </c>
      <c r="R188" s="2998">
        <f>AF98</f>
        <v>24</v>
      </c>
      <c r="S188" s="1186" t="s">
        <v>1200</v>
      </c>
      <c r="W188" s="394"/>
      <c r="X188" s="394"/>
      <c r="Y188" s="394"/>
      <c r="Z188" s="394"/>
      <c r="AA188" s="394"/>
      <c r="AB188" s="394"/>
      <c r="AC188" s="394"/>
      <c r="AD188" s="1667"/>
      <c r="AE188" s="1663"/>
      <c r="AF188" s="2819"/>
      <c r="AG188" s="2819"/>
      <c r="AH188" s="2819"/>
      <c r="AI188" s="2819"/>
      <c r="AJ188" s="2819"/>
      <c r="AK188" s="2819"/>
      <c r="AL188" s="2819"/>
      <c r="AM188" s="2819"/>
      <c r="AN188" s="2819"/>
      <c r="AO188" s="2819"/>
      <c r="AP188" s="2819"/>
      <c r="AQ188" s="2819"/>
      <c r="AR188" s="2819"/>
      <c r="AS188" s="2819"/>
      <c r="AT188" s="2819"/>
      <c r="AU188" s="2819"/>
      <c r="AV188" s="2819"/>
      <c r="AW188" s="2819"/>
      <c r="AX188" s="2819"/>
      <c r="AY188" s="2819"/>
      <c r="AZ188" s="2819"/>
      <c r="BA188" s="2819"/>
      <c r="BB188" s="2819"/>
      <c r="BC188" s="2819"/>
      <c r="BD188" s="2819"/>
      <c r="BE188" s="2819"/>
      <c r="BP188" s="1594"/>
      <c r="BQ188" s="1594"/>
      <c r="BR188" s="1594"/>
      <c r="BS188" s="394"/>
      <c r="BT188" s="394"/>
      <c r="BU188" s="394"/>
      <c r="BV188" s="1663"/>
      <c r="BW188" s="2819"/>
      <c r="BX188" s="2819"/>
      <c r="BY188" s="2819"/>
      <c r="BZ188" s="2819"/>
      <c r="CA188" s="2819"/>
      <c r="CB188" s="2819"/>
      <c r="CC188" s="2819"/>
      <c r="CD188" s="2819"/>
      <c r="CE188" s="2819"/>
      <c r="CF188" s="2819"/>
      <c r="CG188" s="394"/>
      <c r="CH188" s="394"/>
      <c r="DJ188" s="1662"/>
      <c r="DK188" s="1662"/>
      <c r="DL188" s="1662"/>
      <c r="DM188" s="1662"/>
      <c r="DN188" s="1662"/>
      <c r="DO188" s="1662"/>
      <c r="DP188" s="1662"/>
      <c r="DQ188" s="1662"/>
      <c r="DT188" s="394"/>
      <c r="DU188" s="394"/>
      <c r="DW188" s="1662"/>
      <c r="DY188" s="394"/>
      <c r="DZ188" s="394"/>
      <c r="EC188" s="1662"/>
      <c r="ED188" s="394"/>
      <c r="EE188" s="394"/>
      <c r="EI188" s="1662"/>
      <c r="EJ188" s="394"/>
      <c r="EK188" s="394"/>
      <c r="EO188" s="1662"/>
      <c r="EP188" s="394"/>
      <c r="EQ188" s="394"/>
      <c r="EU188" s="1662"/>
      <c r="EV188" s="394"/>
      <c r="EW188" s="394"/>
      <c r="FA188" s="1662"/>
      <c r="FB188" s="394"/>
      <c r="FC188" s="394"/>
      <c r="FG188" s="1662"/>
      <c r="FH188" s="394"/>
      <c r="FI188" s="394"/>
      <c r="FM188" s="1662"/>
      <c r="FN188" s="394"/>
      <c r="FO188" s="394"/>
      <c r="FS188" s="1662"/>
      <c r="FT188" s="394"/>
      <c r="FU188" s="394"/>
      <c r="FY188" s="1662"/>
      <c r="FZ188" s="394"/>
      <c r="GA188" s="394"/>
      <c r="GE188" s="1662"/>
      <c r="GF188" s="394"/>
      <c r="GG188" s="1662"/>
      <c r="GH188" s="394"/>
      <c r="GK188" s="1662"/>
      <c r="GL188" s="394"/>
      <c r="GM188" s="1662"/>
      <c r="GN188" s="394"/>
      <c r="GP188" s="394"/>
      <c r="GQ188" s="1662"/>
      <c r="GR188" s="394"/>
      <c r="GS188" s="1662"/>
      <c r="GT188" s="1662"/>
      <c r="GU188" s="394"/>
    </row>
    <row r="189" spans="1:209" s="390" customFormat="1" ht="15" hidden="1" customHeight="1" x14ac:dyDescent="0.15">
      <c r="A189" s="775" t="str">
        <f>IF(ISERROR(FIND(":",B189)),B189,LEFT(B189,FIND(":",B189)-1))</f>
        <v>Host02</v>
      </c>
      <c r="B189" s="774" t="str">
        <f>B91</f>
        <v>Host02: Virtual Host 02</v>
      </c>
      <c r="C189" s="2165" t="str">
        <f>B92</f>
        <v>Xeon Gold 5122 4 core (1 chip) 3600 MHz</v>
      </c>
      <c r="D189" s="2161">
        <f>C91</f>
        <v>0</v>
      </c>
      <c r="E189" s="2167">
        <f>D91</f>
        <v>0</v>
      </c>
      <c r="F189" s="2168">
        <f>F92</f>
        <v>0</v>
      </c>
      <c r="G189" s="390" t="s">
        <v>1737</v>
      </c>
      <c r="H189" s="2003" t="s">
        <v>408</v>
      </c>
      <c r="I189" s="1836">
        <v>0</v>
      </c>
      <c r="J189" s="1765" t="str">
        <f t="shared" si="92"/>
        <v>Host05</v>
      </c>
      <c r="K189" s="1767">
        <f>Q100</f>
        <v>0</v>
      </c>
      <c r="L189" s="2770" t="str">
        <f>B101</f>
        <v>Xeon Gold 5122 4 core (1 chip) 3600 MHz</v>
      </c>
      <c r="M189" s="2772">
        <f t="shared" si="93"/>
        <v>0</v>
      </c>
      <c r="N189" s="2773">
        <f t="shared" si="93"/>
        <v>0</v>
      </c>
      <c r="O189" s="2773">
        <f t="shared" si="93"/>
        <v>0</v>
      </c>
      <c r="P189" s="2774">
        <f>IF(COUNTIF($L$169:$L$183,J189)=IF(J189=$L$169,$P$169,0)+IF(J189=$L$170,$P$170,0)+IF(J189=$L$171,$P$171,0)+IF(J189=$L$172,$P$172,0)+IF(J189=$L$173,$P$173,0)+IF(J189=$L$174,$P$174,0)+IF(J189=$L$175,$P$175,0)+IF(J189=$L$176,$P$176,0)+IF(J189=$L$177,$P$177,0)+IF(J189=$L$178,$P$178,0)+IF(J189=$L$179,$P$179,0)+IF(J189=$L$180,$P$180,0)+IF(J189=$L$181,$P$181,0)+IF(J189=$L$182,$P$182,0)+IF(J189=$L$183,$P$183,0),0,1)</f>
        <v>0</v>
      </c>
      <c r="Q189" s="2772" t="str">
        <f>IF(K189&gt;0,(IF($J189=$L$169,Q$169,0)+ IF($J189=$L$170,Q$170,0)+ IF($J189=$L$171,Q$171,0)+ IF($J189=$L$172,Q$172,0)+IF(J189=$L$173,$Q$173,0)+IF(J189=$L$174,$Q$174,0)+IF(J189=$L$175,$Q$175,0)+IF(J189=$L$176,$Q$176,0)+IF(J189=$L$177,$Q$177,0)+ IF($J189=$L$178,Q$178,0)+ IF($J189=$L$179,Q$179,0)+ IF($J189=$L$180,Q$180,0)+ IF($J189=$L$181,Q$181,0)+ IF($J189=$L$182,Q$182,0)+ IF($J189=$L$183,Q$183,0))/COUNTIF($L$169:$L$183,J189),"")</f>
        <v/>
      </c>
      <c r="R189" s="2998">
        <f>AF101</f>
        <v>24</v>
      </c>
      <c r="S189" s="1186" t="s">
        <v>1201</v>
      </c>
      <c r="W189" s="394"/>
      <c r="X189" s="394"/>
      <c r="Y189" s="394"/>
      <c r="Z189" s="394"/>
      <c r="AA189" s="394"/>
      <c r="AB189" s="394"/>
      <c r="AC189" s="394"/>
      <c r="AD189" s="1667"/>
      <c r="AE189" s="1663"/>
      <c r="AF189" s="2819"/>
      <c r="AG189" s="2819"/>
      <c r="AH189" s="2819"/>
      <c r="AI189" s="2819"/>
      <c r="AJ189" s="2819"/>
      <c r="AK189" s="2819"/>
      <c r="AL189" s="2819"/>
      <c r="AM189" s="2819"/>
      <c r="AN189" s="2819"/>
      <c r="AO189" s="2819"/>
      <c r="AP189" s="2819"/>
      <c r="AQ189" s="2819"/>
      <c r="AR189" s="2819"/>
      <c r="AS189" s="2819"/>
      <c r="AT189" s="2819"/>
      <c r="AU189" s="2819"/>
      <c r="AV189" s="2819"/>
      <c r="AW189" s="2819"/>
      <c r="AX189" s="2819"/>
      <c r="AY189" s="2819"/>
      <c r="AZ189" s="2819"/>
      <c r="BA189" s="2819"/>
      <c r="BB189" s="2819"/>
      <c r="BC189" s="2819"/>
      <c r="BD189" s="2819"/>
      <c r="BE189" s="2819"/>
      <c r="BP189" s="1594"/>
      <c r="BQ189" s="1594"/>
      <c r="BR189" s="1594"/>
      <c r="BS189" s="394"/>
      <c r="BT189" s="394"/>
      <c r="BU189" s="394"/>
      <c r="BV189" s="1663"/>
      <c r="BW189" s="2819"/>
      <c r="BX189" s="2819"/>
      <c r="BY189" s="2819"/>
      <c r="BZ189" s="2819"/>
      <c r="CA189" s="2819"/>
      <c r="CB189" s="2819"/>
      <c r="CC189" s="2819"/>
      <c r="CD189" s="2819"/>
      <c r="CE189" s="2819"/>
      <c r="CF189" s="2819"/>
      <c r="CG189" s="394"/>
      <c r="CH189" s="394"/>
      <c r="DJ189" s="1662"/>
      <c r="DK189" s="1662"/>
      <c r="DL189" s="1662"/>
      <c r="DM189" s="1662"/>
      <c r="DN189" s="1662"/>
      <c r="DO189" s="1662"/>
      <c r="DP189" s="1662"/>
      <c r="DQ189" s="1662"/>
      <c r="DT189" s="394"/>
      <c r="DU189" s="394"/>
      <c r="DW189" s="1662"/>
      <c r="DY189" s="394"/>
      <c r="DZ189" s="394"/>
      <c r="EC189" s="1662"/>
      <c r="ED189" s="394"/>
      <c r="EE189" s="394"/>
      <c r="EI189" s="1662"/>
      <c r="EJ189" s="394"/>
      <c r="EK189" s="394"/>
      <c r="EO189" s="1662"/>
      <c r="EP189" s="394"/>
      <c r="EQ189" s="394"/>
      <c r="EU189" s="1662"/>
      <c r="EV189" s="394"/>
      <c r="EW189" s="394"/>
      <c r="FA189" s="1662"/>
      <c r="FB189" s="394"/>
      <c r="FC189" s="394"/>
      <c r="FG189" s="1662"/>
      <c r="FH189" s="394"/>
      <c r="FI189" s="394"/>
      <c r="FM189" s="1662"/>
      <c r="FN189" s="394"/>
      <c r="FO189" s="394"/>
      <c r="FS189" s="1662"/>
      <c r="FT189" s="394"/>
      <c r="FU189" s="394"/>
      <c r="FY189" s="1662"/>
      <c r="FZ189" s="394"/>
      <c r="GA189" s="394"/>
      <c r="GE189" s="1662"/>
      <c r="GF189" s="394"/>
      <c r="GG189" s="1662"/>
      <c r="GH189" s="394"/>
      <c r="GK189" s="1662"/>
      <c r="GL189" s="394"/>
      <c r="GM189" s="1662"/>
      <c r="GN189" s="394"/>
      <c r="GP189" s="394"/>
      <c r="GQ189" s="1662"/>
      <c r="GR189" s="394"/>
      <c r="GS189" s="1662"/>
      <c r="GT189" s="1662"/>
      <c r="GU189" s="394"/>
    </row>
    <row r="190" spans="1:209" s="390" customFormat="1" ht="15" hidden="1" customHeight="1" x14ac:dyDescent="0.2">
      <c r="A190" s="775" t="str">
        <f>IF(ISERROR(FIND(":",B190)),B190,LEFT(B190,FIND(":",B190)-1))</f>
        <v>Host03</v>
      </c>
      <c r="B190" s="774" t="str">
        <f>B94</f>
        <v>Host03: Virtual Host 03</v>
      </c>
      <c r="C190" s="2165" t="str">
        <f>B95</f>
        <v>Xeon Gold 5122 4 core (1 chip) 3600 MHz</v>
      </c>
      <c r="D190" s="2161">
        <f>C94</f>
        <v>0</v>
      </c>
      <c r="E190" s="2167">
        <f>D94</f>
        <v>0</v>
      </c>
      <c r="F190" s="2168">
        <f>F95</f>
        <v>0</v>
      </c>
      <c r="G190" s="390" t="s">
        <v>1738</v>
      </c>
      <c r="H190" s="2004" t="s">
        <v>849</v>
      </c>
      <c r="I190" s="1834" t="s">
        <v>364</v>
      </c>
      <c r="J190" s="1761">
        <f t="shared" si="92"/>
        <v>0</v>
      </c>
      <c r="K190" s="1846"/>
      <c r="L190" s="2771"/>
      <c r="M190" s="1767"/>
      <c r="N190" s="1767"/>
      <c r="O190" s="1767"/>
      <c r="P190" s="2774"/>
      <c r="Q190" s="2772" t="str">
        <f>IF(K190&gt;0,(IF($J190=$L$169,Q$169,0)+ IF($J190=$L$170,Q$170,0)+ IF($J190=$L$171,Q$171,0)+ IF($J190=$L$172,Q$172,0)+ IF($J190=$L$178,Q$178,0)+ IF($J190=$L$179,Q$179,0)+ IF($J190=$L$180,Q$180,0)+ IF($J190=$L$181,Q$181,0)+ IF($J190=$L$182,Q$182,0)+ IF($J190=$L$183,Q$183,0))/COUNTIF($L$169:$L$183,J190),"")</f>
        <v/>
      </c>
      <c r="R190" s="2998">
        <f>AF102</f>
        <v>0</v>
      </c>
      <c r="S190" s="1186" t="s">
        <v>1202</v>
      </c>
      <c r="W190" s="394"/>
      <c r="X190" s="394"/>
      <c r="Y190" s="394"/>
      <c r="Z190" s="394"/>
      <c r="AA190" s="394"/>
      <c r="AB190" s="394"/>
      <c r="AC190" s="394"/>
      <c r="AD190" s="1667"/>
      <c r="AE190" s="1663"/>
      <c r="AF190" s="2819"/>
      <c r="AG190" s="2819"/>
      <c r="AH190" s="2819"/>
      <c r="AI190" s="2819"/>
      <c r="AJ190" s="2819"/>
      <c r="AK190" s="2819"/>
      <c r="AL190" s="2819"/>
      <c r="AM190" s="2819"/>
      <c r="AN190" s="2819"/>
      <c r="AO190" s="2819"/>
      <c r="AP190" s="2819"/>
      <c r="AQ190" s="2819"/>
      <c r="AR190" s="2819"/>
      <c r="AS190" s="2819"/>
      <c r="AT190" s="2819"/>
      <c r="AU190" s="2819"/>
      <c r="AV190" s="2819"/>
      <c r="AW190" s="2819"/>
      <c r="AX190" s="2819"/>
      <c r="AY190" s="2819"/>
      <c r="AZ190" s="2819"/>
      <c r="BA190" s="2819"/>
      <c r="BB190" s="2819"/>
      <c r="BC190" s="2819"/>
      <c r="BD190" s="2819"/>
      <c r="BE190" s="2819"/>
      <c r="BP190" s="1594"/>
      <c r="BQ190" s="1594"/>
      <c r="BR190" s="1594"/>
      <c r="BS190" s="394"/>
      <c r="BT190" s="394"/>
      <c r="BU190" s="394"/>
      <c r="BV190" s="1663"/>
      <c r="BW190" s="2819"/>
      <c r="BX190" s="2819"/>
      <c r="BY190" s="2819"/>
      <c r="BZ190" s="2819"/>
      <c r="CA190" s="2819"/>
      <c r="CB190" s="2819"/>
      <c r="CC190" s="2819"/>
      <c r="CD190" s="2819"/>
      <c r="CE190" s="2819"/>
      <c r="CF190" s="2819"/>
      <c r="CG190" s="394"/>
      <c r="CH190" s="394"/>
      <c r="DJ190" s="1662"/>
      <c r="DK190" s="1662"/>
      <c r="DL190" s="1662"/>
      <c r="DM190" s="1662"/>
      <c r="DN190" s="1662"/>
      <c r="DO190" s="1662"/>
      <c r="DP190" s="1662"/>
      <c r="DQ190" s="1662"/>
      <c r="DT190" s="394"/>
      <c r="DU190" s="394"/>
      <c r="DW190" s="1662"/>
      <c r="DY190" s="394"/>
      <c r="DZ190" s="394"/>
      <c r="EC190" s="1662"/>
      <c r="ED190" s="394"/>
      <c r="EE190" s="394"/>
      <c r="EI190" s="1662"/>
      <c r="EJ190" s="394"/>
      <c r="EK190" s="394"/>
      <c r="EO190" s="1662"/>
      <c r="EP190" s="394"/>
      <c r="EQ190" s="394"/>
      <c r="EU190" s="1662"/>
      <c r="EV190" s="394"/>
      <c r="EW190" s="394"/>
      <c r="FA190" s="1662"/>
      <c r="FB190" s="394"/>
      <c r="FC190" s="394"/>
      <c r="FG190" s="1662"/>
      <c r="FH190" s="394"/>
      <c r="FI190" s="394"/>
      <c r="FM190" s="1662"/>
      <c r="FN190" s="394"/>
      <c r="FO190" s="394"/>
      <c r="FS190" s="1662"/>
      <c r="FT190" s="394"/>
      <c r="FU190" s="394"/>
      <c r="FY190" s="1662"/>
      <c r="FZ190" s="394"/>
      <c r="GA190" s="394"/>
      <c r="GE190" s="1662"/>
      <c r="GF190" s="394"/>
      <c r="GG190" s="1662"/>
      <c r="GH190" s="394"/>
      <c r="GK190" s="1662"/>
      <c r="GL190" s="394"/>
      <c r="GM190" s="1662"/>
      <c r="GN190" s="394"/>
      <c r="GP190" s="394"/>
      <c r="GQ190" s="1662"/>
      <c r="GR190" s="394"/>
      <c r="GS190" s="1662"/>
      <c r="GT190" s="1662"/>
      <c r="GU190" s="394"/>
    </row>
    <row r="191" spans="1:209" s="390" customFormat="1" ht="15" hidden="1" customHeight="1" x14ac:dyDescent="0.2">
      <c r="A191" s="775" t="str">
        <f>IF(ISERROR(FIND(":",B191)),B191,LEFT(B191,FIND(":",B191)-1))</f>
        <v>Host04</v>
      </c>
      <c r="B191" s="774" t="str">
        <f>B97</f>
        <v>Host04: Virtual Host 04</v>
      </c>
      <c r="C191" s="2165" t="str">
        <f>B98</f>
        <v>Xeon Gold 5122 4 core (1 chip) 3600 MHz</v>
      </c>
      <c r="D191" s="2161">
        <f>C97</f>
        <v>0</v>
      </c>
      <c r="E191" s="2167">
        <f>D97</f>
        <v>0</v>
      </c>
      <c r="F191" s="2168">
        <f>F98</f>
        <v>0</v>
      </c>
      <c r="G191" s="390" t="s">
        <v>1739</v>
      </c>
      <c r="H191" s="2005" t="s">
        <v>850</v>
      </c>
      <c r="I191" s="1836" t="s">
        <v>405</v>
      </c>
      <c r="J191" s="1671"/>
      <c r="K191" s="1672"/>
      <c r="L191" s="1672"/>
      <c r="M191" s="1672"/>
      <c r="N191" s="1672"/>
      <c r="O191" s="1672"/>
      <c r="P191" s="1672"/>
      <c r="Q191" s="1662"/>
      <c r="R191" s="1672"/>
      <c r="S191" s="1590"/>
      <c r="W191" s="394"/>
      <c r="X191" s="394"/>
      <c r="Y191" s="394"/>
      <c r="Z191" s="394"/>
      <c r="AA191" s="394"/>
      <c r="AB191" s="394"/>
      <c r="AC191" s="394"/>
      <c r="AD191" s="1667"/>
      <c r="AE191" s="1663"/>
      <c r="AF191" s="2819"/>
      <c r="AG191" s="2819"/>
      <c r="AH191" s="2819"/>
      <c r="AI191" s="2819"/>
      <c r="AJ191" s="2819"/>
      <c r="AK191" s="2819"/>
      <c r="AL191" s="2819"/>
      <c r="AM191" s="2819"/>
      <c r="AN191" s="2819"/>
      <c r="AO191" s="2819"/>
      <c r="AP191" s="2819"/>
      <c r="AQ191" s="2819"/>
      <c r="AR191" s="2819"/>
      <c r="AS191" s="2819"/>
      <c r="AT191" s="2819"/>
      <c r="AU191" s="2819"/>
      <c r="AV191" s="2819"/>
      <c r="AW191" s="2819"/>
      <c r="AX191" s="2819"/>
      <c r="AY191" s="2819"/>
      <c r="AZ191" s="2819"/>
      <c r="BA191" s="2819"/>
      <c r="BB191" s="2819"/>
      <c r="BC191" s="2819"/>
      <c r="BD191" s="2819"/>
      <c r="BE191" s="2819"/>
      <c r="BP191" s="394"/>
      <c r="BQ191" s="394"/>
      <c r="BR191" s="394"/>
      <c r="BS191" s="394"/>
      <c r="BT191" s="394"/>
      <c r="BU191" s="394"/>
      <c r="BV191" s="1663"/>
      <c r="BW191" s="2819"/>
      <c r="BX191" s="2819"/>
      <c r="BY191" s="2819"/>
      <c r="BZ191" s="2819"/>
      <c r="CA191" s="2819"/>
      <c r="CB191" s="2819"/>
      <c r="CC191" s="2819"/>
      <c r="CD191" s="2819"/>
      <c r="CE191" s="2819"/>
      <c r="CF191" s="2819"/>
      <c r="CG191" s="394"/>
      <c r="CH191" s="394"/>
      <c r="DJ191" s="1662"/>
      <c r="DK191" s="1662"/>
      <c r="DL191" s="1662"/>
      <c r="DM191" s="1662"/>
      <c r="DN191" s="1662"/>
      <c r="DO191" s="1662"/>
      <c r="DP191" s="1662"/>
      <c r="DQ191" s="1662"/>
      <c r="DT191" s="394"/>
      <c r="DU191" s="394"/>
      <c r="DW191" s="1662"/>
      <c r="DY191" s="394"/>
      <c r="DZ191" s="394"/>
      <c r="EC191" s="1662"/>
      <c r="ED191" s="394"/>
      <c r="EE191" s="394"/>
      <c r="EI191" s="1662"/>
      <c r="EJ191" s="394"/>
      <c r="EK191" s="394"/>
      <c r="EO191" s="1662"/>
      <c r="EP191" s="394"/>
      <c r="EQ191" s="394"/>
      <c r="EU191" s="1662"/>
      <c r="EV191" s="394"/>
      <c r="EW191" s="394"/>
      <c r="FA191" s="1662"/>
      <c r="FB191" s="394"/>
      <c r="FC191" s="394"/>
      <c r="FG191" s="1662"/>
      <c r="FH191" s="394"/>
      <c r="FI191" s="394"/>
      <c r="FM191" s="1662"/>
      <c r="FN191" s="394"/>
      <c r="FO191" s="394"/>
      <c r="FS191" s="1662"/>
      <c r="FT191" s="394"/>
      <c r="FU191" s="394"/>
      <c r="FY191" s="1662"/>
      <c r="FZ191" s="394"/>
      <c r="GA191" s="394"/>
      <c r="GE191" s="1662"/>
      <c r="GF191" s="394"/>
      <c r="GG191" s="1662"/>
      <c r="GH191" s="394"/>
      <c r="GK191" s="1662"/>
      <c r="GL191" s="394"/>
      <c r="GM191" s="1662"/>
      <c r="GN191" s="394"/>
      <c r="GP191" s="394"/>
      <c r="GQ191" s="1662"/>
      <c r="GR191" s="394"/>
      <c r="GS191" s="1662"/>
      <c r="GT191" s="1662"/>
      <c r="GU191" s="394"/>
    </row>
    <row r="192" spans="1:209" s="390" customFormat="1" ht="15" hidden="1" customHeight="1" x14ac:dyDescent="0.2">
      <c r="A192" s="775" t="str">
        <f>IF(ISERROR(FIND(":",B192)),B192,LEFT(B192,FIND(":",B192)-1))</f>
        <v>Host05</v>
      </c>
      <c r="B192" s="774" t="str">
        <f>B100</f>
        <v>Host05: Virtual Host 05</v>
      </c>
      <c r="C192" s="2165" t="str">
        <f>B101</f>
        <v>Xeon Gold 5122 4 core (1 chip) 3600 MHz</v>
      </c>
      <c r="D192" s="2161">
        <f>C100</f>
        <v>0</v>
      </c>
      <c r="E192" s="2167">
        <f>D100</f>
        <v>0</v>
      </c>
      <c r="F192" s="2168">
        <f>F101</f>
        <v>0</v>
      </c>
      <c r="H192" s="2085" t="str">
        <f>Calculator!H165</f>
        <v>AGS Site</v>
      </c>
      <c r="I192" s="1838" t="s">
        <v>303</v>
      </c>
      <c r="J192" s="1673"/>
      <c r="K192" s="1674"/>
      <c r="L192" s="1674"/>
      <c r="M192" s="1672"/>
      <c r="N192" s="1674"/>
      <c r="O192" s="1674"/>
      <c r="P192" s="1674"/>
      <c r="Q192" s="1662"/>
      <c r="R192" s="1672"/>
      <c r="S192" s="1590"/>
      <c r="V192" s="394"/>
      <c r="W192" s="394"/>
      <c r="X192" s="394"/>
      <c r="Y192" s="394"/>
      <c r="Z192" s="394"/>
      <c r="AA192" s="394"/>
      <c r="AB192" s="394"/>
      <c r="AC192" s="1667"/>
      <c r="AD192" s="1663"/>
      <c r="AE192" s="2819"/>
      <c r="AF192" s="2819"/>
      <c r="AG192" s="2819"/>
      <c r="AH192" s="2819"/>
      <c r="AI192" s="2819"/>
      <c r="AJ192" s="2819"/>
      <c r="AK192" s="2819"/>
      <c r="AL192" s="2819"/>
      <c r="AM192" s="2819"/>
      <c r="AN192" s="2819"/>
      <c r="AO192" s="2819"/>
      <c r="AP192" s="2819"/>
      <c r="AQ192" s="2819"/>
      <c r="AR192" s="2819"/>
      <c r="AS192" s="2819"/>
      <c r="AT192" s="2819"/>
      <c r="AU192" s="2819"/>
      <c r="AV192" s="2819"/>
      <c r="AW192" s="2819"/>
      <c r="AX192" s="2819"/>
      <c r="AY192" s="2819"/>
      <c r="AZ192" s="2819"/>
      <c r="BA192" s="2819"/>
      <c r="BB192" s="2819"/>
      <c r="BC192" s="2819"/>
      <c r="BD192" s="2819"/>
      <c r="BO192" s="394"/>
      <c r="BP192" s="394"/>
      <c r="BQ192" s="394"/>
      <c r="BR192" s="394"/>
      <c r="BS192" s="394"/>
      <c r="BT192" s="394"/>
      <c r="BU192" s="1663"/>
      <c r="BV192" s="2819"/>
      <c r="BW192" s="2819"/>
      <c r="BX192" s="2819"/>
      <c r="BY192" s="2819"/>
      <c r="BZ192" s="2819"/>
      <c r="CA192" s="2819"/>
      <c r="CB192" s="2819"/>
      <c r="CC192" s="2819"/>
      <c r="CD192" s="2819"/>
      <c r="CE192" s="2819"/>
      <c r="DJ192" s="1662"/>
      <c r="DK192" s="1662"/>
      <c r="DL192" s="1662"/>
      <c r="DM192" s="1662"/>
      <c r="DN192" s="1662"/>
      <c r="DO192" s="1662"/>
      <c r="DQ192" s="1662"/>
      <c r="DS192" s="394"/>
      <c r="DT192" s="394"/>
      <c r="DW192" s="1662"/>
      <c r="DX192" s="394"/>
      <c r="DY192" s="394"/>
      <c r="EC192" s="1662"/>
      <c r="ED192" s="394"/>
      <c r="EH192" s="394"/>
      <c r="EI192" s="1662"/>
      <c r="EJ192" s="394"/>
      <c r="EN192" s="394"/>
      <c r="EO192" s="1662"/>
      <c r="EP192" s="394"/>
      <c r="ET192" s="394"/>
      <c r="EU192" s="1662"/>
      <c r="EV192" s="394"/>
      <c r="EZ192" s="394"/>
      <c r="FA192" s="1662"/>
      <c r="FB192" s="394"/>
      <c r="FF192" s="394"/>
      <c r="FG192" s="1662"/>
      <c r="FH192" s="394"/>
      <c r="FL192" s="394"/>
      <c r="FM192" s="1662"/>
      <c r="FN192" s="394"/>
      <c r="FR192" s="394"/>
      <c r="FS192" s="1662"/>
      <c r="FT192" s="394"/>
      <c r="FX192" s="394"/>
      <c r="FY192" s="1662"/>
      <c r="FZ192" s="394"/>
      <c r="GD192" s="394"/>
      <c r="GE192" s="1662"/>
      <c r="GF192" s="1662"/>
      <c r="GG192" s="394"/>
      <c r="GJ192" s="394"/>
      <c r="GK192" s="1662"/>
      <c r="GL192" s="1662"/>
      <c r="GM192" s="394"/>
      <c r="GO192" s="394"/>
      <c r="GP192" s="394"/>
      <c r="GQ192" s="1662"/>
      <c r="GR192" s="1662"/>
      <c r="GS192" s="394"/>
      <c r="GT192" s="394"/>
      <c r="HA192" s="1415"/>
    </row>
    <row r="193" spans="1:20" ht="12.75" hidden="1" customHeight="1" x14ac:dyDescent="0.2">
      <c r="A193" s="390"/>
      <c r="B193" s="390"/>
      <c r="C193" s="390"/>
      <c r="D193" s="390"/>
      <c r="E193" s="390"/>
      <c r="F193" s="390"/>
      <c r="H193" s="2005" t="str">
        <f>Calculator!H166</f>
        <v xml:space="preserve">Siloed </v>
      </c>
      <c r="I193" s="1839" t="s">
        <v>329</v>
      </c>
      <c r="R193" s="1672"/>
      <c r="S193" s="1590"/>
      <c r="T193" s="390"/>
    </row>
    <row r="194" spans="1:20" ht="12.75" hidden="1" customHeight="1" x14ac:dyDescent="0.15">
      <c r="A194" s="390"/>
      <c r="B194" s="390"/>
      <c r="H194" s="2387">
        <v>6363</v>
      </c>
      <c r="R194" s="1672"/>
      <c r="S194" s="1590"/>
    </row>
    <row r="195" spans="1:20" ht="15.75" hidden="1" customHeight="1" x14ac:dyDescent="0.15">
      <c r="A195" s="390"/>
      <c r="B195" s="390"/>
      <c r="H195" s="2389">
        <f>Calculator!N36</f>
        <v>1.35</v>
      </c>
      <c r="J195" s="1590"/>
      <c r="R195" s="1662"/>
      <c r="S195" s="390"/>
    </row>
    <row r="196" spans="1:20" ht="15.75" hidden="1" customHeight="1" x14ac:dyDescent="0.15">
      <c r="I196" s="2415">
        <f>H198*F79/58</f>
        <v>0</v>
      </c>
      <c r="J196" s="1847"/>
      <c r="R196" s="390"/>
      <c r="S196" s="394"/>
    </row>
    <row r="197" spans="1:20" ht="15.75" customHeight="1" x14ac:dyDescent="0.15">
      <c r="J197" s="1186"/>
    </row>
    <row r="198" spans="1:20" ht="15.75" customHeight="1" x14ac:dyDescent="0.15"/>
    <row r="199" spans="1:20" ht="12.75" customHeight="1" x14ac:dyDescent="0.15">
      <c r="H199" s="2413"/>
    </row>
    <row r="200" spans="1:20" ht="12.75" customHeight="1" x14ac:dyDescent="0.15"/>
    <row r="201" spans="1:20" x14ac:dyDescent="0.15">
      <c r="G201" s="320"/>
      <c r="H201" s="2414"/>
    </row>
    <row r="202" spans="1:20" x14ac:dyDescent="0.15">
      <c r="G202" s="1715"/>
    </row>
    <row r="203" spans="1:20" x14ac:dyDescent="0.15">
      <c r="G203" s="1716"/>
      <c r="H203" s="2414"/>
    </row>
    <row r="204" spans="1:20" x14ac:dyDescent="0.15">
      <c r="G204" s="1716"/>
    </row>
  </sheetData>
  <sheetProtection insertColumns="0" insertRows="0" deleteRows="0"/>
  <dataConsolidate link="1"/>
  <mergeCells count="45">
    <mergeCell ref="HB1:HC1"/>
    <mergeCell ref="E1:F1"/>
    <mergeCell ref="BH2:BL2"/>
    <mergeCell ref="BM2:BN2"/>
    <mergeCell ref="CW2:DF2"/>
    <mergeCell ref="L3:M3"/>
    <mergeCell ref="O3:R3"/>
    <mergeCell ref="T3:U3"/>
    <mergeCell ref="CH4:CK4"/>
    <mergeCell ref="CN4:CO4"/>
    <mergeCell ref="F23:G23"/>
    <mergeCell ref="M23:O23"/>
    <mergeCell ref="AA23:AB23"/>
    <mergeCell ref="AC23:AD23"/>
    <mergeCell ref="CG73:CJ73"/>
    <mergeCell ref="CG27:CJ27"/>
    <mergeCell ref="CG31:CJ31"/>
    <mergeCell ref="CG35:CJ35"/>
    <mergeCell ref="CG39:CJ39"/>
    <mergeCell ref="CG43:CJ43"/>
    <mergeCell ref="CG48:CJ48"/>
    <mergeCell ref="CG52:CJ52"/>
    <mergeCell ref="CG56:CJ56"/>
    <mergeCell ref="CG60:CJ60"/>
    <mergeCell ref="CG64:CJ64"/>
    <mergeCell ref="CG69:CJ69"/>
    <mergeCell ref="V104:AE104"/>
    <mergeCell ref="CG77:CJ77"/>
    <mergeCell ref="CG81:CJ81"/>
    <mergeCell ref="CG85:CJ85"/>
    <mergeCell ref="Z86:AA86"/>
    <mergeCell ref="AA87:AB87"/>
    <mergeCell ref="AC87:AD87"/>
    <mergeCell ref="CG90:CJ90"/>
    <mergeCell ref="CG93:CJ93"/>
    <mergeCell ref="CG96:CJ96"/>
    <mergeCell ref="CG99:CJ99"/>
    <mergeCell ref="CG102:CJ102"/>
    <mergeCell ref="AD184:AD185"/>
    <mergeCell ref="DJ174:DO174"/>
    <mergeCell ref="DJ175:DO175"/>
    <mergeCell ref="DJ176:DO176"/>
    <mergeCell ref="DJ177:DO177"/>
    <mergeCell ref="DJ178:DO178"/>
    <mergeCell ref="DJ179:DO179"/>
  </mergeCells>
  <conditionalFormatting sqref="BW20 BX5 BX8:BX20">
    <cfRule type="expression" dxfId="1572" priority="1268" stopIfTrue="1">
      <formula>IF(CV5&gt;0,BW5&gt;0,0)</formula>
    </cfRule>
  </conditionalFormatting>
  <conditionalFormatting sqref="CC20">
    <cfRule type="expression" dxfId="1571" priority="1267" stopIfTrue="1">
      <formula>IF(CV20=0,0,CC20&gt;0)</formula>
    </cfRule>
  </conditionalFormatting>
  <conditionalFormatting sqref="CD20">
    <cfRule type="expression" dxfId="1570" priority="1266" stopIfTrue="1">
      <formula>IF(CV20=0,0,CD20&gt;0)</formula>
    </cfRule>
  </conditionalFormatting>
  <conditionalFormatting sqref="CG20">
    <cfRule type="expression" dxfId="1569" priority="1265" stopIfTrue="1">
      <formula>IF(CV20=0,0,CG20&gt;0)</formula>
    </cfRule>
  </conditionalFormatting>
  <conditionalFormatting sqref="BR20">
    <cfRule type="expression" dxfId="1568" priority="1264" stopIfTrue="1">
      <formula>IF(CV20&gt;0,BR20&gt;0,0)</formula>
    </cfRule>
  </conditionalFormatting>
  <conditionalFormatting sqref="CE20">
    <cfRule type="expression" dxfId="1567" priority="1263" stopIfTrue="1">
      <formula>IF(CV20&gt;0,CE20&gt;0,0)</formula>
    </cfRule>
  </conditionalFormatting>
  <conditionalFormatting sqref="CG5 CG8:CG20">
    <cfRule type="expression" dxfId="1566" priority="1262" stopIfTrue="1">
      <formula>IF(CW5&gt;0,CG5&gt;0,0)</formula>
    </cfRule>
  </conditionalFormatting>
  <conditionalFormatting sqref="Z20">
    <cfRule type="expression" dxfId="1565" priority="1261" stopIfTrue="1">
      <formula>IF(V20&gt;0,Z20&gt;0,0)</formula>
    </cfRule>
  </conditionalFormatting>
  <conditionalFormatting sqref="AA20">
    <cfRule type="expression" dxfId="1564" priority="1260" stopIfTrue="1">
      <formula>IF(V20&gt;0,AA20&gt;0,0)</formula>
    </cfRule>
  </conditionalFormatting>
  <conditionalFormatting sqref="AB20">
    <cfRule type="expression" dxfId="1563" priority="1259" stopIfTrue="1">
      <formula>IF(V20&gt;0,AB20&gt;0,0)</formula>
    </cfRule>
  </conditionalFormatting>
  <conditionalFormatting sqref="AC20">
    <cfRule type="expression" dxfId="1562" priority="1258" stopIfTrue="1">
      <formula>IF(V20&gt;0,AC20&gt;0,0)</formula>
    </cfRule>
  </conditionalFormatting>
  <conditionalFormatting sqref="AE20">
    <cfRule type="expression" dxfId="1561" priority="1257" stopIfTrue="1">
      <formula>IF(V20&gt;0,AE20&gt;0,0)</formula>
    </cfRule>
  </conditionalFormatting>
  <conditionalFormatting sqref="CH20">
    <cfRule type="expression" dxfId="1560" priority="1256" stopIfTrue="1">
      <formula>IF(V20&gt;0,CH20&gt;0,0)</formula>
    </cfRule>
  </conditionalFormatting>
  <conditionalFormatting sqref="BE20">
    <cfRule type="expression" dxfId="1559" priority="1255" stopIfTrue="1">
      <formula>IF(V20&gt;0,BE20&gt;0,0)</formula>
    </cfRule>
  </conditionalFormatting>
  <conditionalFormatting sqref="BC20">
    <cfRule type="expression" dxfId="1558" priority="1254" stopIfTrue="1">
      <formula>IF(V20&gt;0,BC20&gt;0,0)</formula>
    </cfRule>
  </conditionalFormatting>
  <conditionalFormatting sqref="BB20">
    <cfRule type="expression" dxfId="1557" priority="1253" stopIfTrue="1">
      <formula>IF(C20&gt;0,BB20&gt;0,0)</formula>
    </cfRule>
  </conditionalFormatting>
  <conditionalFormatting sqref="AY20">
    <cfRule type="expression" dxfId="1556" priority="1252" stopIfTrue="1">
      <formula>IF(V20&gt;0,AY20&gt;0,0)</formula>
    </cfRule>
  </conditionalFormatting>
  <conditionalFormatting sqref="AW20">
    <cfRule type="expression" dxfId="1555" priority="1251" stopIfTrue="1">
      <formula>IF(V20&gt;0,AW20&gt;0,0)</formula>
    </cfRule>
  </conditionalFormatting>
  <conditionalFormatting sqref="AU20">
    <cfRule type="expression" dxfId="1554" priority="1250" stopIfTrue="1">
      <formula>IF(V20&gt;0,AU20&gt;0,0)</formula>
    </cfRule>
  </conditionalFormatting>
  <conditionalFormatting sqref="AS20">
    <cfRule type="expression" dxfId="1553" priority="1249" stopIfTrue="1">
      <formula>IF(V20&gt;0,AS20&gt;0,0)</formula>
    </cfRule>
  </conditionalFormatting>
  <conditionalFormatting sqref="AG20">
    <cfRule type="expression" dxfId="1552" priority="1248" stopIfTrue="1">
      <formula>IF(V20&gt;0,AG20&gt;0,0)</formula>
    </cfRule>
  </conditionalFormatting>
  <conditionalFormatting sqref="BB20">
    <cfRule type="expression" dxfId="1551" priority="1247" stopIfTrue="1">
      <formula>IF(V20&gt;0,BB20&gt;0,0)</formula>
    </cfRule>
  </conditionalFormatting>
  <conditionalFormatting sqref="BV20">
    <cfRule type="expression" dxfId="1550" priority="1246" stopIfTrue="1">
      <formula>IF(CV20&gt;0,BV20&gt;0,0)</formula>
    </cfRule>
  </conditionalFormatting>
  <conditionalFormatting sqref="BU20">
    <cfRule type="expression" dxfId="1549" priority="1245" stopIfTrue="1">
      <formula>IF(CV20&gt;0,BU20&gt;0,0)</formula>
    </cfRule>
  </conditionalFormatting>
  <conditionalFormatting sqref="BT20">
    <cfRule type="expression" dxfId="1548" priority="1244" stopIfTrue="1">
      <formula>IF(CV20&gt;0,BT20&gt;0,0)</formula>
    </cfRule>
  </conditionalFormatting>
  <conditionalFormatting sqref="BS20">
    <cfRule type="expression" dxfId="1547" priority="1243" stopIfTrue="1">
      <formula>IF(CV20&gt;0,BS20&gt;0,0)</formula>
    </cfRule>
  </conditionalFormatting>
  <conditionalFormatting sqref="BQ20">
    <cfRule type="expression" dxfId="1546" priority="1242" stopIfTrue="1">
      <formula>IF(CV20&gt;0,BQ20&gt;0,0)</formula>
    </cfRule>
  </conditionalFormatting>
  <conditionalFormatting sqref="BA20">
    <cfRule type="expression" dxfId="1545" priority="1241" stopIfTrue="1">
      <formula>IF(V20&gt;0,BA20&gt;0,0)</formula>
    </cfRule>
  </conditionalFormatting>
  <conditionalFormatting sqref="A27 A31 A35 A39 A43 A48 A73 A77 A81 A85">
    <cfRule type="expression" dxfId="1544" priority="1240" stopIfTrue="1">
      <formula>$A27&gt;0</formula>
    </cfRule>
  </conditionalFormatting>
  <conditionalFormatting sqref="T16:T19 T11:T14 T5 T8:T9">
    <cfRule type="expression" dxfId="1543" priority="1239" stopIfTrue="1">
      <formula>T5=CP5</formula>
    </cfRule>
  </conditionalFormatting>
  <conditionalFormatting sqref="CF5 CF8:CF20">
    <cfRule type="expression" dxfId="1542" priority="1238" stopIfTrue="1">
      <formula>IF(CW5&gt;0,CF5&gt;0,0)</formula>
    </cfRule>
  </conditionalFormatting>
  <conditionalFormatting sqref="BR5 BR8:BR20">
    <cfRule type="expression" dxfId="1541" priority="1237" stopIfTrue="1">
      <formula>IF(CW5&gt;0,BR5&gt;0,0)</formula>
    </cfRule>
  </conditionalFormatting>
  <conditionalFormatting sqref="CE5 CE8:CE20">
    <cfRule type="expression" dxfId="1540" priority="1236" stopIfTrue="1">
      <formula>IF(CW5&gt;0,CE5&gt;0,0)</formula>
    </cfRule>
  </conditionalFormatting>
  <conditionalFormatting sqref="BS5 BS8:BS20">
    <cfRule type="expression" dxfId="1539" priority="1235" stopIfTrue="1">
      <formula>IF(CW5&gt;0,BS5&gt;0,0)</formula>
    </cfRule>
  </conditionalFormatting>
  <conditionalFormatting sqref="BF5 BF8:BF20">
    <cfRule type="expression" dxfId="1538" priority="1234" stopIfTrue="1">
      <formula>IF(V5&gt;0,BF5&gt;0,0)</formula>
    </cfRule>
  </conditionalFormatting>
  <conditionalFormatting sqref="BE5 BE8:BE20">
    <cfRule type="expression" dxfId="1537" priority="1233" stopIfTrue="1">
      <formula>IF(V5&gt;0,BE5&gt;0,0)</formula>
    </cfRule>
  </conditionalFormatting>
  <conditionalFormatting sqref="BD5 BD8:BD20">
    <cfRule type="expression" dxfId="1536" priority="1232" stopIfTrue="1">
      <formula>IF(V5&gt;0,BD5&gt;0,0)</formula>
    </cfRule>
  </conditionalFormatting>
  <conditionalFormatting sqref="BC5 BC8:BC20">
    <cfRule type="expression" dxfId="1535" priority="1231" stopIfTrue="1">
      <formula>IF(V5&gt;0,BC5&gt;0,0)</formula>
    </cfRule>
  </conditionalFormatting>
  <conditionalFormatting sqref="BA5 BA8:BA19">
    <cfRule type="expression" dxfId="1534" priority="1230" stopIfTrue="1">
      <formula>IF(V5&gt;0,BA5&gt;0,0)</formula>
    </cfRule>
  </conditionalFormatting>
  <conditionalFormatting sqref="AA5 AA8:AA19">
    <cfRule type="expression" dxfId="1533" priority="1229" stopIfTrue="1">
      <formula>IF(V5&gt;0,AA5&gt;0,0)</formula>
    </cfRule>
  </conditionalFormatting>
  <conditionalFormatting sqref="AC5 AC8:AC19">
    <cfRule type="expression" dxfId="1532" priority="1228" stopIfTrue="1">
      <formula>IF(V5&gt;0,AC5&gt;0,0)</formula>
    </cfRule>
  </conditionalFormatting>
  <conditionalFormatting sqref="AG5 AG8:AG19">
    <cfRule type="expression" dxfId="1531" priority="1227" stopIfTrue="1">
      <formula>IF(V5&gt;0,AG5&gt;0,0)</formula>
    </cfRule>
  </conditionalFormatting>
  <conditionalFormatting sqref="AS5 AS8:AS19">
    <cfRule type="expression" dxfId="1530" priority="1226" stopIfTrue="1">
      <formula>IF(V5&gt;0,AS5&gt;0,0)</formula>
    </cfRule>
  </conditionalFormatting>
  <conditionalFormatting sqref="AU5 AU8:AU19">
    <cfRule type="expression" dxfId="1529" priority="1225" stopIfTrue="1">
      <formula>IF(V5&gt;0,AU5&gt;0,0)</formula>
    </cfRule>
  </conditionalFormatting>
  <conditionalFormatting sqref="AW5 AW8:AW19">
    <cfRule type="expression" dxfId="1528" priority="1224" stopIfTrue="1">
      <formula>IF(V5&gt;0,AW5&gt;0,0)</formula>
    </cfRule>
  </conditionalFormatting>
  <conditionalFormatting sqref="AY5 AY8:AY19">
    <cfRule type="expression" dxfId="1527" priority="1223" stopIfTrue="1">
      <formula>IF(V5&gt;0,AY5&gt;0,0)</formula>
    </cfRule>
  </conditionalFormatting>
  <conditionalFormatting sqref="AD5 AD8:AD20">
    <cfRule type="expression" dxfId="1526" priority="1222" stopIfTrue="1">
      <formula>IF(V5&gt;0,AD5&gt;0,0)</formula>
    </cfRule>
  </conditionalFormatting>
  <conditionalFormatting sqref="AE5 AE8:AE19">
    <cfRule type="expression" dxfId="1525" priority="1221" stopIfTrue="1">
      <formula>IF(V5&gt;0,AE5&gt;0,0)</formula>
    </cfRule>
  </conditionalFormatting>
  <conditionalFormatting sqref="I25 I29 I33 I37 I41 I46 I71 I75 I79 I83">
    <cfRule type="expression" dxfId="1524" priority="1219" stopIfTrue="1">
      <formula>IF(VLOOKUP(B25,HWRange,7,FALSE)=F25,FALSE,TRUE)</formula>
    </cfRule>
    <cfRule type="expression" dxfId="1523" priority="1220" stopIfTrue="1">
      <formula>IF(I26=$J$167,FALSE,TRUE)</formula>
    </cfRule>
  </conditionalFormatting>
  <conditionalFormatting sqref="A22">
    <cfRule type="expression" dxfId="1522" priority="1218" stopIfTrue="1">
      <formula>IF(#REF!&gt;0,U22&gt;0,0)</formula>
    </cfRule>
  </conditionalFormatting>
  <conditionalFormatting sqref="T24:T43 T45:T48 T70:T86">
    <cfRule type="expression" dxfId="1521" priority="1217" stopIfTrue="1">
      <formula>IF(U24&gt;0.5*T24, TRUE, "")</formula>
    </cfRule>
  </conditionalFormatting>
  <conditionalFormatting sqref="U86 U24:U26 U28:U30 U32:U34 U36:U38 U40:U42 U45:U47 U70:U72 U74:U76 U78:U80 U82:U84">
    <cfRule type="expression" dxfId="1520" priority="1216" stopIfTrue="1">
      <formula>T24&lt;0.5*U24</formula>
    </cfRule>
  </conditionalFormatting>
  <conditionalFormatting sqref="V24 V28 V32 V36 V40 V45 V70 V74 V82:AD82 V78 X78:AD78 X74:AD74 X70:AD70 X45:AD45 X40:AD40 X36:AD36 X28:AD28 X24:AD24 X32:AD32">
    <cfRule type="expression" dxfId="1519" priority="1214" stopIfTrue="1">
      <formula>IF(V26&gt;0,IF(V24&gt;$H24,V24,0))</formula>
    </cfRule>
    <cfRule type="expression" dxfId="1518" priority="1215" stopIfTrue="1">
      <formula>IF(V26&gt;0,IF(V24&gt;0.5,V24,0))</formula>
    </cfRule>
  </conditionalFormatting>
  <conditionalFormatting sqref="H24 H28 H32 H36 H40 H45 H70 H74 H78 H82">
    <cfRule type="expression" dxfId="1517" priority="1213" stopIfTrue="1">
      <formula>H24&gt;1</formula>
    </cfRule>
  </conditionalFormatting>
  <conditionalFormatting sqref="O34 O30 O26 O38 O42 O47 O72 O76 O80 O84 E24 E36 E28 E32 E40 E45 E70 E74 E78 E82 A26 A38 A42 A80 A84 E49 E53 E57 E61 E66">
    <cfRule type="expression" dxfId="1516" priority="1212" stopIfTrue="1">
      <formula>$DG$1=$DG$2</formula>
    </cfRule>
  </conditionalFormatting>
  <conditionalFormatting sqref="A30 A34 A47 A72 A76">
    <cfRule type="expression" dxfId="1515" priority="1211" stopIfTrue="1">
      <formula>$DG$1=$DG$2</formula>
    </cfRule>
  </conditionalFormatting>
  <conditionalFormatting sqref="E25 E29 E33 E37 E41 E46 E71 E75 E79 E83">
    <cfRule type="expression" dxfId="1514" priority="1209" stopIfTrue="1">
      <formula>IF(I26=$J$167,FALSE,TRUE)</formula>
    </cfRule>
  </conditionalFormatting>
  <conditionalFormatting sqref="F25 F29 F33 F37 F41 F46 F71 F75 F79 F83">
    <cfRule type="expression" dxfId="1513" priority="1208" stopIfTrue="1">
      <formula>IF(I26=$J$167,FALSE,TRUE)</formula>
    </cfRule>
  </conditionalFormatting>
  <conditionalFormatting sqref="G25 G29 G33 G37 G41 G46 G71 G75 G79 G83">
    <cfRule type="expression" dxfId="1512" priority="1207" stopIfTrue="1">
      <formula>IF(I26=$J$167,FALSE,TRUE)</formula>
    </cfRule>
  </conditionalFormatting>
  <conditionalFormatting sqref="U89">
    <cfRule type="expression" dxfId="1511" priority="1206" stopIfTrue="1">
      <formula>T89&lt;0.5*U89</formula>
    </cfRule>
  </conditionalFormatting>
  <conditionalFormatting sqref="U92">
    <cfRule type="expression" dxfId="1510" priority="1205" stopIfTrue="1">
      <formula>T92&lt;0.5*U92</formula>
    </cfRule>
  </conditionalFormatting>
  <conditionalFormatting sqref="U95">
    <cfRule type="expression" dxfId="1509" priority="1204" stopIfTrue="1">
      <formula>T95&lt;0.5*U95</formula>
    </cfRule>
  </conditionalFormatting>
  <conditionalFormatting sqref="CG96 B90:C90 CG90 CG93">
    <cfRule type="expression" dxfId="1508" priority="1203" stopIfTrue="1">
      <formula>IF(OR(#REF!=0,#REF!=#REF!),FALSE,TRUE)</formula>
    </cfRule>
  </conditionalFormatting>
  <conditionalFormatting sqref="U103 U94 U88 U91">
    <cfRule type="expression" dxfId="1507" priority="1202" stopIfTrue="1">
      <formula>#REF!&lt;0.5*#REF!</formula>
    </cfRule>
  </conditionalFormatting>
  <conditionalFormatting sqref="I94 I88 I91">
    <cfRule type="expression" dxfId="1506" priority="1201" stopIfTrue="1">
      <formula>#REF!&gt;1</formula>
    </cfRule>
  </conditionalFormatting>
  <conditionalFormatting sqref="O95 A95">
    <cfRule type="expression" dxfId="1505" priority="1200" stopIfTrue="1">
      <formula>#REF!=#REF!</formula>
    </cfRule>
  </conditionalFormatting>
  <conditionalFormatting sqref="C95 C92 C89">
    <cfRule type="expression" dxfId="1504" priority="1199" stopIfTrue="1">
      <formula>IF(#REF!=#REF!,FALSE,TRUE)</formula>
    </cfRule>
  </conditionalFormatting>
  <conditionalFormatting sqref="I89 I92 I95">
    <cfRule type="expression" dxfId="1503" priority="1198" stopIfTrue="1">
      <formula>IF(#REF!=#REF!,FALSE,TRUE)</formula>
    </cfRule>
  </conditionalFormatting>
  <conditionalFormatting sqref="A94 A91 A88">
    <cfRule type="expression" dxfId="1502" priority="1196" stopIfTrue="1">
      <formula>#REF!&gt;1</formula>
    </cfRule>
    <cfRule type="expression" dxfId="1501" priority="1197" stopIfTrue="1">
      <formula>IF(#REF!=#REF!,FALSE,TRUE)</formula>
    </cfRule>
  </conditionalFormatting>
  <conditionalFormatting sqref="B89 B92 B95">
    <cfRule type="expression" dxfId="1500" priority="1194" stopIfTrue="1">
      <formula>IF(OR(K88=1,A88&gt;1),1,0)</formula>
    </cfRule>
    <cfRule type="expression" dxfId="1499" priority="1195" stopIfTrue="1">
      <formula>$E88&gt;$L88*$F89</formula>
    </cfRule>
  </conditionalFormatting>
  <conditionalFormatting sqref="D88 D91 D94">
    <cfRule type="expression" dxfId="1498" priority="1193" stopIfTrue="1">
      <formula>IF(#REF!=#REF!,FALSE,TRUE)</formula>
    </cfRule>
  </conditionalFormatting>
  <conditionalFormatting sqref="F91">
    <cfRule type="expression" dxfId="1497" priority="1192" stopIfTrue="1">
      <formula>IF(#REF!=#REF!,FALSE,TRUE)</formula>
    </cfRule>
  </conditionalFormatting>
  <conditionalFormatting sqref="G91">
    <cfRule type="expression" dxfId="1496" priority="1191" stopIfTrue="1">
      <formula>IF(#REF!=#REF!,FALSE,TRUE)</formula>
    </cfRule>
  </conditionalFormatting>
  <conditionalFormatting sqref="J89 A92 J92">
    <cfRule type="expression" dxfId="1495" priority="1190" stopIfTrue="1">
      <formula>#REF!=#REF!</formula>
    </cfRule>
  </conditionalFormatting>
  <conditionalFormatting sqref="A89">
    <cfRule type="expression" dxfId="1494" priority="1189" stopIfTrue="1">
      <formula>#REF!=#REF!</formula>
    </cfRule>
  </conditionalFormatting>
  <conditionalFormatting sqref="A90">
    <cfRule type="expression" dxfId="1493" priority="1188" stopIfTrue="1">
      <formula>$A88&gt;0</formula>
    </cfRule>
  </conditionalFormatting>
  <conditionalFormatting sqref="F88">
    <cfRule type="expression" dxfId="1492" priority="1187" stopIfTrue="1">
      <formula>IF(#REF!=#REF!,FALSE,TRUE)</formula>
    </cfRule>
  </conditionalFormatting>
  <conditionalFormatting sqref="G88">
    <cfRule type="expression" dxfId="1491" priority="1186" stopIfTrue="1">
      <formula>IF(#REF!=#REF!,FALSE,TRUE)</formula>
    </cfRule>
  </conditionalFormatting>
  <conditionalFormatting sqref="F94">
    <cfRule type="expression" dxfId="1490" priority="1185" stopIfTrue="1">
      <formula>IF(#REF!=#REF!,FALSE,TRUE)</formula>
    </cfRule>
  </conditionalFormatting>
  <conditionalFormatting sqref="G94">
    <cfRule type="expression" dxfId="1489" priority="1184" stopIfTrue="1">
      <formula>IF(#REF!=#REF!,FALSE,TRUE)</formula>
    </cfRule>
  </conditionalFormatting>
  <conditionalFormatting sqref="B93">
    <cfRule type="expression" dxfId="1488" priority="1183" stopIfTrue="1">
      <formula>IF(OR(#REF!=0,#REF!=#REF!),FALSE,TRUE)</formula>
    </cfRule>
  </conditionalFormatting>
  <conditionalFormatting sqref="B96">
    <cfRule type="expression" dxfId="1487" priority="1182" stopIfTrue="1">
      <formula>IF(OR(#REF!=0,#REF!=#REF!),FALSE,TRUE)</formula>
    </cfRule>
  </conditionalFormatting>
  <conditionalFormatting sqref="O92">
    <cfRule type="expression" dxfId="1486" priority="1181" stopIfTrue="1">
      <formula>#REF!=#REF!</formula>
    </cfRule>
  </conditionalFormatting>
  <conditionalFormatting sqref="O89">
    <cfRule type="expression" dxfId="1485" priority="1180" stopIfTrue="1">
      <formula>#REF!=#REF!</formula>
    </cfRule>
  </conditionalFormatting>
  <conditionalFormatting sqref="C93">
    <cfRule type="expression" dxfId="1484" priority="1179" stopIfTrue="1">
      <formula>IF(OR(#REF!=0,#REF!=#REF!),FALSE,TRUE)</formula>
    </cfRule>
  </conditionalFormatting>
  <conditionalFormatting sqref="C96">
    <cfRule type="expression" dxfId="1483" priority="1178" stopIfTrue="1">
      <formula>IF(OR(#REF!=0,#REF!=#REF!),FALSE,TRUE)</formula>
    </cfRule>
  </conditionalFormatting>
  <conditionalFormatting sqref="V25 V29 V33 V37 V41 V46 V71 V75 V83:AD83 V79 X79:AD79 X75:AD75 X71:AD71 X46:AD46 X41:AD41 X37:AD37 X29:AD29 X25:AD25 X33:AD33">
    <cfRule type="expression" dxfId="1482" priority="1176" stopIfTrue="1">
      <formula>IF(V26&gt;0,IF($A25&gt;0.25,$A25),"false")</formula>
    </cfRule>
    <cfRule type="expression" dxfId="1481" priority="1177" stopIfTrue="1">
      <formula>IF(V26&gt;0,$A25,0)</formula>
    </cfRule>
  </conditionalFormatting>
  <conditionalFormatting sqref="V88:AC88 V91:AC91 V94:AC94">
    <cfRule type="expression" dxfId="1480" priority="1173" stopIfTrue="1">
      <formula>IF(V89=0,0,IF($A88&gt;$I88,1,0))</formula>
    </cfRule>
    <cfRule type="expression" dxfId="1479" priority="1174" stopIfTrue="1">
      <formula>IF(V89=0,0,IF($A88&gt;0.5,1,0))</formula>
    </cfRule>
    <cfRule type="expression" dxfId="1478" priority="1175" stopIfTrue="1">
      <formula>IF(V89=0,0,IF($A88&gt;0,1,0))</formula>
    </cfRule>
  </conditionalFormatting>
  <conditionalFormatting sqref="A93">
    <cfRule type="expression" dxfId="1477" priority="1172" stopIfTrue="1">
      <formula>$A91&gt;0</formula>
    </cfRule>
  </conditionalFormatting>
  <conditionalFormatting sqref="A96">
    <cfRule type="expression" dxfId="1476" priority="1171" stopIfTrue="1">
      <formula>$A94&gt;0</formula>
    </cfRule>
  </conditionalFormatting>
  <conditionalFormatting sqref="E88 E91 E94">
    <cfRule type="expression" dxfId="1475" priority="1170" stopIfTrue="1">
      <formula>$E88&gt;$L88*$F89</formula>
    </cfRule>
  </conditionalFormatting>
  <conditionalFormatting sqref="R5 R8:R19">
    <cfRule type="expression" dxfId="1474" priority="1168" stopIfTrue="1">
      <formula>CX5&gt;0</formula>
    </cfRule>
  </conditionalFormatting>
  <conditionalFormatting sqref="BW5 BW8:BW20">
    <cfRule type="expression" dxfId="1473" priority="1167" stopIfTrue="1">
      <formula>IF(CW5&gt;0,BW5&gt;0,0)</formula>
    </cfRule>
  </conditionalFormatting>
  <conditionalFormatting sqref="CC5 CC8:CC20">
    <cfRule type="expression" dxfId="1472" priority="1166" stopIfTrue="1">
      <formula>IF(CW5&gt;0,CC5&gt;0,0)</formula>
    </cfRule>
  </conditionalFormatting>
  <conditionalFormatting sqref="CD5 CD8:CD20">
    <cfRule type="expression" dxfId="1471" priority="1165" stopIfTrue="1">
      <formula>IF(CW5&gt;0,CD5&gt;0,0)</formula>
    </cfRule>
  </conditionalFormatting>
  <conditionalFormatting sqref="BV5 BV8:BV20">
    <cfRule type="expression" dxfId="1470" priority="1164" stopIfTrue="1">
      <formula>IF(CW5&gt;0,BV5&gt;0,0)</formula>
    </cfRule>
  </conditionalFormatting>
  <conditionalFormatting sqref="BU5 BU8:BU20">
    <cfRule type="expression" dxfId="1469" priority="1163" stopIfTrue="1">
      <formula>IF(CW5&gt;0,BU5&gt;0,0)</formula>
    </cfRule>
  </conditionalFormatting>
  <conditionalFormatting sqref="BT5 BT8:BT20">
    <cfRule type="expression" dxfId="1468" priority="1162" stopIfTrue="1">
      <formula>IF(CW5&gt;0,BT5&gt;0,0)</formula>
    </cfRule>
  </conditionalFormatting>
  <conditionalFormatting sqref="BQ5 BQ8:BQ20">
    <cfRule type="expression" dxfId="1467" priority="1161" stopIfTrue="1">
      <formula>IF(CW5&gt;0,BQ5&gt;0,0)</formula>
    </cfRule>
  </conditionalFormatting>
  <conditionalFormatting sqref="AD88">
    <cfRule type="expression" dxfId="1466" priority="1159" stopIfTrue="1">
      <formula>$E88&gt;$L88*$F89</formula>
    </cfRule>
    <cfRule type="expression" dxfId="1465" priority="1160" stopIfTrue="1">
      <formula>IF(#REF!=#REF!,FALSE,TRUE)</formula>
    </cfRule>
  </conditionalFormatting>
  <conditionalFormatting sqref="AD91">
    <cfRule type="expression" dxfId="1464" priority="1157" stopIfTrue="1">
      <formula>$E91&gt;$L91*$F92</formula>
    </cfRule>
    <cfRule type="expression" dxfId="1463" priority="1158" stopIfTrue="1">
      <formula>IF(#REF!=#REF!,FALSE,TRUE)</formula>
    </cfRule>
  </conditionalFormatting>
  <conditionalFormatting sqref="AD94">
    <cfRule type="expression" dxfId="1462" priority="1155" stopIfTrue="1">
      <formula>$E94&gt;$L94*$F95</formula>
    </cfRule>
    <cfRule type="expression" dxfId="1461" priority="1156" stopIfTrue="1">
      <formula>IF(#REF!=#REF!,FALSE,TRUE)</formula>
    </cfRule>
  </conditionalFormatting>
  <conditionalFormatting sqref="CE11:CE13">
    <cfRule type="expression" dxfId="1460" priority="1154" stopIfTrue="1">
      <formula>IF(CW11&gt;0,CE11&gt;0,0)</formula>
    </cfRule>
  </conditionalFormatting>
  <conditionalFormatting sqref="CE16:CE18">
    <cfRule type="expression" dxfId="1459" priority="1153" stopIfTrue="1">
      <formula>IF(CW16&gt;0,CE16&gt;0,0)</formula>
    </cfRule>
  </conditionalFormatting>
  <conditionalFormatting sqref="AB5 Z5 AF5 AH5 AT5 AV5 AX5 AZ5 BB5 AR5 AP5 AN5 AL5 AJ5 AN8:AN10 AR8:AR10 BB8:BB10 AZ8:AZ10 AX8:AX10 AV8:AV10 AT8:AT10 AF8:AF10 AB8:AB20 Z8:Z20 AH8:AH19 AP8:AP19 AL8:AL19 AJ8:AJ19">
    <cfRule type="expression" dxfId="1458" priority="1152" stopIfTrue="1">
      <formula>IF($V5&gt;0,Z5&gt;0,0)</formula>
    </cfRule>
  </conditionalFormatting>
  <conditionalFormatting sqref="T15">
    <cfRule type="expression" dxfId="1457" priority="1151" stopIfTrue="1">
      <formula>T15=CP15</formula>
    </cfRule>
  </conditionalFormatting>
  <conditionalFormatting sqref="CE15">
    <cfRule type="expression" dxfId="1456" priority="1150" stopIfTrue="1">
      <formula>IF(CW15&gt;0,CE15&gt;0,0)</formula>
    </cfRule>
  </conditionalFormatting>
  <conditionalFormatting sqref="I15">
    <cfRule type="expression" dxfId="1455" priority="1148" stopIfTrue="1">
      <formula>IF(I15=BG15,0,I15&gt;0.99)</formula>
    </cfRule>
    <cfRule type="expression" dxfId="1454" priority="1149" stopIfTrue="1">
      <formula>I15=BG15</formula>
    </cfRule>
  </conditionalFormatting>
  <conditionalFormatting sqref="AB10">
    <cfRule type="expression" dxfId="1453" priority="1146" stopIfTrue="1">
      <formula>IF($V10&gt;0,AB10&gt;0,0)</formula>
    </cfRule>
  </conditionalFormatting>
  <conditionalFormatting sqref="T10">
    <cfRule type="expression" dxfId="1452" priority="1145" stopIfTrue="1">
      <formula>T10=CP10</formula>
    </cfRule>
  </conditionalFormatting>
  <conditionalFormatting sqref="CE10">
    <cfRule type="expression" dxfId="1451" priority="1144" stopIfTrue="1">
      <formula>IF(CW10&gt;0,CE10&gt;0,0)</formula>
    </cfRule>
  </conditionalFormatting>
  <conditionalFormatting sqref="I10">
    <cfRule type="expression" dxfId="1450" priority="1142" stopIfTrue="1">
      <formula>IF(I10=BG10,0,I10&gt;0.99)</formula>
    </cfRule>
    <cfRule type="expression" dxfId="1449" priority="1143" stopIfTrue="1">
      <formula>I10=BG10</formula>
    </cfRule>
  </conditionalFormatting>
  <conditionalFormatting sqref="W82">
    <cfRule type="expression" dxfId="1448" priority="1140">
      <formula>$W83="Standby"</formula>
    </cfRule>
  </conditionalFormatting>
  <conditionalFormatting sqref="W83">
    <cfRule type="expression" dxfId="1447" priority="1139">
      <formula>$W83="Standby"</formula>
    </cfRule>
  </conditionalFormatting>
  <conditionalFormatting sqref="W78">
    <cfRule type="expression" dxfId="1446" priority="1137" stopIfTrue="1">
      <formula>IF(W80&gt;0,IF(W78&gt;$H78,W78,0))</formula>
    </cfRule>
    <cfRule type="expression" dxfId="1445" priority="1138" stopIfTrue="1">
      <formula>IF(W80&gt;0,IF(W78&gt;0.5,W78,0))</formula>
    </cfRule>
  </conditionalFormatting>
  <conditionalFormatting sqref="W74">
    <cfRule type="expression" dxfId="1444" priority="1135" stopIfTrue="1">
      <formula>IF(W76&gt;0,IF(W74&gt;$H74,W74,0))</formula>
    </cfRule>
    <cfRule type="expression" dxfId="1443" priority="1136" stopIfTrue="1">
      <formula>IF(W76&gt;0,IF(W74&gt;0.5,W74,0))</formula>
    </cfRule>
  </conditionalFormatting>
  <conditionalFormatting sqref="W84">
    <cfRule type="expression" dxfId="1442" priority="1134">
      <formula>$W83="Standby"</formula>
    </cfRule>
  </conditionalFormatting>
  <conditionalFormatting sqref="W78">
    <cfRule type="expression" dxfId="1441" priority="1133">
      <formula>$W79="Standby"</formula>
    </cfRule>
  </conditionalFormatting>
  <conditionalFormatting sqref="W80">
    <cfRule type="expression" dxfId="1440" priority="1132">
      <formula>$W79="Standby"</formula>
    </cfRule>
  </conditionalFormatting>
  <conditionalFormatting sqref="W74">
    <cfRule type="expression" dxfId="1439" priority="1131">
      <formula>$W75="Standby"</formula>
    </cfRule>
  </conditionalFormatting>
  <conditionalFormatting sqref="W76">
    <cfRule type="expression" dxfId="1438" priority="1130">
      <formula>$W75="Standby"</formula>
    </cfRule>
  </conditionalFormatting>
  <conditionalFormatting sqref="W70">
    <cfRule type="expression" dxfId="1437" priority="1128" stopIfTrue="1">
      <formula>IF(W72&gt;0,IF(W70&gt;$H70,W70,0))</formula>
    </cfRule>
    <cfRule type="expression" dxfId="1436" priority="1129" stopIfTrue="1">
      <formula>IF(W72&gt;0,IF(W70&gt;0.5,W70,0))</formula>
    </cfRule>
  </conditionalFormatting>
  <conditionalFormatting sqref="W70">
    <cfRule type="expression" dxfId="1435" priority="1127">
      <formula>$W71="Standby"</formula>
    </cfRule>
  </conditionalFormatting>
  <conditionalFormatting sqref="W72">
    <cfRule type="expression" dxfId="1434" priority="1126">
      <formula>$W71="Standby"</formula>
    </cfRule>
  </conditionalFormatting>
  <conditionalFormatting sqref="W45">
    <cfRule type="expression" dxfId="1433" priority="1124" stopIfTrue="1">
      <formula>IF(W47&gt;0,IF(W45&gt;$H45,W45,0))</formula>
    </cfRule>
    <cfRule type="expression" dxfId="1432" priority="1125" stopIfTrue="1">
      <formula>IF(W47&gt;0,IF(W45&gt;0.5,W45,0))</formula>
    </cfRule>
  </conditionalFormatting>
  <conditionalFormatting sqref="W45">
    <cfRule type="expression" dxfId="1431" priority="1123">
      <formula>$W46="Standby"</formula>
    </cfRule>
  </conditionalFormatting>
  <conditionalFormatting sqref="W47">
    <cfRule type="expression" dxfId="1430" priority="1122">
      <formula>$W46="Standby"</formula>
    </cfRule>
  </conditionalFormatting>
  <conditionalFormatting sqref="W40">
    <cfRule type="expression" dxfId="1429" priority="1120" stopIfTrue="1">
      <formula>IF(W42&gt;0,IF(W40&gt;$H40,W40,0))</formula>
    </cfRule>
    <cfRule type="expression" dxfId="1428" priority="1121" stopIfTrue="1">
      <formula>IF(W42&gt;0,IF(W40&gt;0.5,W40,0))</formula>
    </cfRule>
  </conditionalFormatting>
  <conditionalFormatting sqref="W40">
    <cfRule type="expression" dxfId="1427" priority="1119">
      <formula>$W41="Standby"</formula>
    </cfRule>
  </conditionalFormatting>
  <conditionalFormatting sqref="W42">
    <cfRule type="expression" dxfId="1426" priority="1118">
      <formula>$W41="Standby"</formula>
    </cfRule>
  </conditionalFormatting>
  <conditionalFormatting sqref="W36">
    <cfRule type="expression" dxfId="1425" priority="1116" stopIfTrue="1">
      <formula>IF(W38&gt;0,IF(W36&gt;$H36,W36,0))</formula>
    </cfRule>
    <cfRule type="expression" dxfId="1424" priority="1117" stopIfTrue="1">
      <formula>IF(W38&gt;0,IF(W36&gt;0.5,W36,0))</formula>
    </cfRule>
  </conditionalFormatting>
  <conditionalFormatting sqref="W36">
    <cfRule type="expression" dxfId="1423" priority="1115">
      <formula>$W37="Standby"</formula>
    </cfRule>
  </conditionalFormatting>
  <conditionalFormatting sqref="W38">
    <cfRule type="expression" dxfId="1422" priority="1114">
      <formula>$W37="Standby"</formula>
    </cfRule>
  </conditionalFormatting>
  <conditionalFormatting sqref="W32">
    <cfRule type="expression" dxfId="1421" priority="1112" stopIfTrue="1">
      <formula>IF(W34&gt;0,IF(W32&gt;$H32,W32,0))</formula>
    </cfRule>
    <cfRule type="expression" dxfId="1420" priority="1113" stopIfTrue="1">
      <formula>IF(W34&gt;0,IF(W32&gt;0.5,W32,0))</formula>
    </cfRule>
  </conditionalFormatting>
  <conditionalFormatting sqref="W32">
    <cfRule type="expression" dxfId="1419" priority="1111">
      <formula>$W33="Standby"</formula>
    </cfRule>
  </conditionalFormatting>
  <conditionalFormatting sqref="W34">
    <cfRule type="expression" dxfId="1418" priority="1110">
      <formula>$W33="Standby"</formula>
    </cfRule>
  </conditionalFormatting>
  <conditionalFormatting sqref="W28">
    <cfRule type="expression" dxfId="1417" priority="1108" stopIfTrue="1">
      <formula>IF(W30&gt;0,IF(W28&gt;$H28,W28,0))</formula>
    </cfRule>
    <cfRule type="expression" dxfId="1416" priority="1109" stopIfTrue="1">
      <formula>IF(W30&gt;0,IF(W28&gt;0.5,W28,0))</formula>
    </cfRule>
  </conditionalFormatting>
  <conditionalFormatting sqref="W28">
    <cfRule type="expression" dxfId="1415" priority="1107">
      <formula>$W29="Standby"</formula>
    </cfRule>
  </conditionalFormatting>
  <conditionalFormatting sqref="W30">
    <cfRule type="expression" dxfId="1414" priority="1106">
      <formula>$W29="Standby"</formula>
    </cfRule>
  </conditionalFormatting>
  <conditionalFormatting sqref="W24">
    <cfRule type="expression" dxfId="1413" priority="1104" stopIfTrue="1">
      <formula>IF(W26&gt;0,IF(W24&gt;$H24,W24,0))</formula>
    </cfRule>
    <cfRule type="expression" dxfId="1412" priority="1105" stopIfTrue="1">
      <formula>IF(W26&gt;0,IF(W24&gt;0.5,W24,0))</formula>
    </cfRule>
  </conditionalFormatting>
  <conditionalFormatting sqref="W24">
    <cfRule type="expression" dxfId="1411" priority="1103">
      <formula>$W25="Standby"</formula>
    </cfRule>
  </conditionalFormatting>
  <conditionalFormatting sqref="W26">
    <cfRule type="expression" dxfId="1410" priority="1102">
      <formula>$W25="Standby"</formula>
    </cfRule>
  </conditionalFormatting>
  <conditionalFormatting sqref="W79">
    <cfRule type="expression" dxfId="1409" priority="1100" stopIfTrue="1">
      <formula>IF(W80&gt;0,IF($A79&gt;0.25,$A79),"false")</formula>
    </cfRule>
    <cfRule type="expression" dxfId="1408" priority="1101" stopIfTrue="1">
      <formula>IF(W80&gt;0,$A79,0)</formula>
    </cfRule>
  </conditionalFormatting>
  <conditionalFormatting sqref="W79">
    <cfRule type="expression" dxfId="1407" priority="1099">
      <formula>$W79="Standby"</formula>
    </cfRule>
  </conditionalFormatting>
  <conditionalFormatting sqref="W75">
    <cfRule type="expression" dxfId="1406" priority="1097" stopIfTrue="1">
      <formula>IF(W76&gt;0,IF($A75&gt;0.25,$A75),"false")</formula>
    </cfRule>
    <cfRule type="expression" dxfId="1405" priority="1098" stopIfTrue="1">
      <formula>IF(W76&gt;0,$A75,0)</formula>
    </cfRule>
  </conditionalFormatting>
  <conditionalFormatting sqref="W75">
    <cfRule type="expression" dxfId="1404" priority="1096">
      <formula>$W75="Standby"</formula>
    </cfRule>
  </conditionalFormatting>
  <conditionalFormatting sqref="W71">
    <cfRule type="expression" dxfId="1403" priority="1094" stopIfTrue="1">
      <formula>IF(W72&gt;0,IF($A71&gt;0.25,$A71),"false")</formula>
    </cfRule>
    <cfRule type="expression" dxfId="1402" priority="1095" stopIfTrue="1">
      <formula>IF(W72&gt;0,$A71,0)</formula>
    </cfRule>
  </conditionalFormatting>
  <conditionalFormatting sqref="W71">
    <cfRule type="expression" dxfId="1401" priority="1093">
      <formula>$W71="Standby"</formula>
    </cfRule>
  </conditionalFormatting>
  <conditionalFormatting sqref="W46">
    <cfRule type="expression" dxfId="1400" priority="1091" stopIfTrue="1">
      <formula>IF(W47&gt;0,IF($A46&gt;0.25,$A46),"false")</formula>
    </cfRule>
    <cfRule type="expression" dxfId="1399" priority="1092" stopIfTrue="1">
      <formula>IF(W47&gt;0,$A46,0)</formula>
    </cfRule>
  </conditionalFormatting>
  <conditionalFormatting sqref="W46">
    <cfRule type="expression" dxfId="1398" priority="1090">
      <formula>$W46="Standby"</formula>
    </cfRule>
  </conditionalFormatting>
  <conditionalFormatting sqref="W41">
    <cfRule type="expression" dxfId="1397" priority="1088" stopIfTrue="1">
      <formula>IF(W42&gt;0,IF($A41&gt;0.25,$A41),"false")</formula>
    </cfRule>
    <cfRule type="expression" dxfId="1396" priority="1089" stopIfTrue="1">
      <formula>IF(W42&gt;0,$A41,0)</formula>
    </cfRule>
  </conditionalFormatting>
  <conditionalFormatting sqref="W41">
    <cfRule type="expression" dxfId="1395" priority="1087">
      <formula>$W41="Standby"</formula>
    </cfRule>
  </conditionalFormatting>
  <conditionalFormatting sqref="W37">
    <cfRule type="expression" dxfId="1394" priority="1085" stopIfTrue="1">
      <formula>IF(W38&gt;0,IF($A37&gt;0.25,$A37),"false")</formula>
    </cfRule>
    <cfRule type="expression" dxfId="1393" priority="1086" stopIfTrue="1">
      <formula>IF(W38&gt;0,$A37,0)</formula>
    </cfRule>
  </conditionalFormatting>
  <conditionalFormatting sqref="W37">
    <cfRule type="expression" dxfId="1392" priority="1084">
      <formula>$W37="Standby"</formula>
    </cfRule>
  </conditionalFormatting>
  <conditionalFormatting sqref="W33">
    <cfRule type="expression" dxfId="1391" priority="1082" stopIfTrue="1">
      <formula>IF(W34&gt;0,IF($A33&gt;0.25,$A33),"false")</formula>
    </cfRule>
    <cfRule type="expression" dxfId="1390" priority="1083" stopIfTrue="1">
      <formula>IF(W34&gt;0,$A33,0)</formula>
    </cfRule>
  </conditionalFormatting>
  <conditionalFormatting sqref="W33">
    <cfRule type="expression" dxfId="1389" priority="1081">
      <formula>$W33="Standby"</formula>
    </cfRule>
  </conditionalFormatting>
  <conditionalFormatting sqref="W29">
    <cfRule type="expression" dxfId="1388" priority="1079" stopIfTrue="1">
      <formula>IF(W30&gt;0,IF($A29&gt;0.25,$A29),"false")</formula>
    </cfRule>
    <cfRule type="expression" dxfId="1387" priority="1080" stopIfTrue="1">
      <formula>IF(W30&gt;0,$A29,0)</formula>
    </cfRule>
  </conditionalFormatting>
  <conditionalFormatting sqref="W29">
    <cfRule type="expression" dxfId="1386" priority="1078">
      <formula>$W29="Standby"</formula>
    </cfRule>
  </conditionalFormatting>
  <conditionalFormatting sqref="W25">
    <cfRule type="expression" dxfId="1385" priority="1076" stopIfTrue="1">
      <formula>IF(W26&gt;0,IF($A25&gt;0.25,$A25),"false")</formula>
    </cfRule>
    <cfRule type="expression" dxfId="1384" priority="1077" stopIfTrue="1">
      <formula>IF(W26&gt;0,$A25,0)</formula>
    </cfRule>
  </conditionalFormatting>
  <conditionalFormatting sqref="W25">
    <cfRule type="expression" dxfId="1383" priority="1075">
      <formula>$W25="Standby"</formula>
    </cfRule>
  </conditionalFormatting>
  <conditionalFormatting sqref="H35">
    <cfRule type="expression" dxfId="1382" priority="1073" stopIfTrue="1">
      <formula>IF(E32=0,1,0)</formula>
    </cfRule>
    <cfRule type="expression" dxfId="1381" priority="1074" stopIfTrue="1">
      <formula>H35=$H$23</formula>
    </cfRule>
  </conditionalFormatting>
  <conditionalFormatting sqref="F105:F119">
    <cfRule type="expression" dxfId="1380" priority="1072">
      <formula>IF(A105&gt;0,F105&gt;VLOOKUP(B105,HWPricing,3,FALSE),0)</formula>
    </cfRule>
  </conditionalFormatting>
  <conditionalFormatting sqref="F123:F127">
    <cfRule type="expression" dxfId="1379" priority="1071">
      <formula>IF(A123&gt;0,F123&gt;VLOOKUP(B123,HWPricing,3,FALSE),0)</formula>
    </cfRule>
  </conditionalFormatting>
  <conditionalFormatting sqref="E82">
    <cfRule type="expression" dxfId="1378" priority="1070">
      <formula>J84=$H$192</formula>
    </cfRule>
  </conditionalFormatting>
  <conditionalFormatting sqref="BL123:BL127 BL105:BL121">
    <cfRule type="expression" dxfId="1377" priority="1067">
      <formula>IF(BF105&gt;0,BL105&gt;VLOOKUP(BG105,HWPricing,3,FALSE),0)</formula>
    </cfRule>
  </conditionalFormatting>
  <conditionalFormatting sqref="F5:G5 F8:G19">
    <cfRule type="expression" dxfId="1376" priority="1063" stopIfTrue="1">
      <formula>IF($T5=0,$F5&gt;$H5,0)</formula>
    </cfRule>
    <cfRule type="expression" dxfId="1375" priority="1064" stopIfTrue="1">
      <formula>IF($T5=0,$F5&gt;0.5*$H5,0)</formula>
    </cfRule>
  </conditionalFormatting>
  <conditionalFormatting sqref="F19">
    <cfRule type="expression" dxfId="1374" priority="1061" stopIfTrue="1">
      <formula>IF($T19=0,$F19&gt;$H19,0)</formula>
    </cfRule>
    <cfRule type="expression" dxfId="1373" priority="1062" stopIfTrue="1">
      <formula>IF($T19=0,$F19&gt;0.5*$H19,0)</formula>
    </cfRule>
  </conditionalFormatting>
  <conditionalFormatting sqref="I24 I28 I32 I36 I40 I45 I49 I53 I57 I61 I66 I70 I74 I78 I82">
    <cfRule type="expression" dxfId="1372" priority="1058" stopIfTrue="1">
      <formula>I26=$H$189</formula>
    </cfRule>
    <cfRule type="expression" dxfId="1371" priority="1059" stopIfTrue="1">
      <formula>IF($I26=$J$167,0,$R26=0)</formula>
    </cfRule>
    <cfRule type="expression" dxfId="1370" priority="1060">
      <formula>IFERROR(VLOOKUP(I24,$J$185:$J$190,1,FALSE),1)</formula>
    </cfRule>
  </conditionalFormatting>
  <conditionalFormatting sqref="C72 C47 C76 C80 C84 C26 C30 C34 C38 C42 C51 C55 C59 C63 C68">
    <cfRule type="expression" dxfId="1369" priority="1057" stopIfTrue="1">
      <formula>IF($I26=$J$167,FALSE,TRUE)</formula>
    </cfRule>
  </conditionalFormatting>
  <conditionalFormatting sqref="CG85 CG81 CG77 CG73 CG48 CG52 CG43 CG39 CG35 CG31 CG27 CG56 CG60 CG64 CG69">
    <cfRule type="expression" dxfId="1368" priority="1056" stopIfTrue="1">
      <formula>IF(OR($A25=0,$I26=$J$167),FALSE,TRUE)</formula>
    </cfRule>
  </conditionalFormatting>
  <conditionalFormatting sqref="A83 A79 A75 A71 A46 A41 A37 A33 A29 A25 A50 A54 A58 A62 A67">
    <cfRule type="expression" dxfId="1367" priority="1054" stopIfTrue="1">
      <formula>$A25&gt;1</formula>
    </cfRule>
    <cfRule type="expression" dxfId="1366" priority="1055" stopIfTrue="1">
      <formula>IF($I26=$J$167,FALSE,TRUE)</formula>
    </cfRule>
  </conditionalFormatting>
  <conditionalFormatting sqref="B79 B83 B25 B29 B33 B37 B41 B46 B50 B54 B58 B62 B67 B71 B75">
    <cfRule type="expression" dxfId="1365" priority="1052" stopIfTrue="1">
      <formula>IF($I26=$J$167,0,$R26=0)</formula>
    </cfRule>
    <cfRule type="expression" dxfId="1364" priority="1053" stopIfTrue="1">
      <formula>$A25&gt;1</formula>
    </cfRule>
  </conditionalFormatting>
  <conditionalFormatting sqref="D83 D79 D75 D71 D46 D41 D37 D33 D29 D25 D50 D54 D58 D62 D67">
    <cfRule type="expression" dxfId="1363" priority="1051" stopIfTrue="1">
      <formula>IF($I26=$J$167,FALSE,TRUE)</formula>
    </cfRule>
  </conditionalFormatting>
  <conditionalFormatting sqref="C83 C79 C75 C71 C25 C29 C33 C37 C41 C46 C50 C54 C58 C62 C67">
    <cfRule type="expression" dxfId="1362" priority="1049" stopIfTrue="1">
      <formula>P26&gt;0</formula>
    </cfRule>
    <cfRule type="expression" dxfId="1361" priority="1050" stopIfTrue="1">
      <formula>IF($I26=$J$167,FALSE,TRUE)</formula>
    </cfRule>
  </conditionalFormatting>
  <conditionalFormatting sqref="H90">
    <cfRule type="expression" dxfId="1360" priority="1047" stopIfTrue="1">
      <formula>IF(A88=0,1,0)</formula>
    </cfRule>
    <cfRule type="expression" dxfId="1359" priority="1048" stopIfTrue="1">
      <formula>H90=$H$23</formula>
    </cfRule>
  </conditionalFormatting>
  <conditionalFormatting sqref="H93">
    <cfRule type="expression" dxfId="1358" priority="1045" stopIfTrue="1">
      <formula>IF(A91=0,1,0)</formula>
    </cfRule>
    <cfRule type="expression" dxfId="1357" priority="1046" stopIfTrue="1">
      <formula>H93=$H$23</formula>
    </cfRule>
  </conditionalFormatting>
  <conditionalFormatting sqref="H96">
    <cfRule type="expression" dxfId="1356" priority="1043" stopIfTrue="1">
      <formula>IF(A94=0,1,0)</formula>
    </cfRule>
    <cfRule type="expression" dxfId="1355" priority="1044" stopIfTrue="1">
      <formula>H96=$H$23</formula>
    </cfRule>
  </conditionalFormatting>
  <conditionalFormatting sqref="H85">
    <cfRule type="expression" dxfId="1354" priority="1041" stopIfTrue="1">
      <formula>IF(A83=0,1,0)</formula>
    </cfRule>
    <cfRule type="expression" dxfId="1353" priority="1042" stopIfTrue="1">
      <formula>H85=$H$23</formula>
    </cfRule>
  </conditionalFormatting>
  <conditionalFormatting sqref="H81">
    <cfRule type="expression" dxfId="1352" priority="1039" stopIfTrue="1">
      <formula>IF(A79=0,1,0)</formula>
    </cfRule>
    <cfRule type="expression" dxfId="1351" priority="1040" stopIfTrue="1">
      <formula>H81=$H$23</formula>
    </cfRule>
  </conditionalFormatting>
  <conditionalFormatting sqref="H77">
    <cfRule type="expression" dxfId="1350" priority="1037" stopIfTrue="1">
      <formula>IF(A75=0,1,0)</formula>
    </cfRule>
    <cfRule type="expression" dxfId="1349" priority="1038" stopIfTrue="1">
      <formula>H77=$H$23</formula>
    </cfRule>
  </conditionalFormatting>
  <conditionalFormatting sqref="H73">
    <cfRule type="expression" dxfId="1348" priority="1035" stopIfTrue="1">
      <formula>IF(A71=0,1,0)</formula>
    </cfRule>
    <cfRule type="expression" dxfId="1347" priority="1036" stopIfTrue="1">
      <formula>H73=$H$23</formula>
    </cfRule>
  </conditionalFormatting>
  <conditionalFormatting sqref="H48">
    <cfRule type="expression" dxfId="1346" priority="1033" stopIfTrue="1">
      <formula>IF(A46=0,1,0)</formula>
    </cfRule>
    <cfRule type="expression" dxfId="1345" priority="1034" stopIfTrue="1">
      <formula>H48=$H$23</formula>
    </cfRule>
  </conditionalFormatting>
  <conditionalFormatting sqref="H43">
    <cfRule type="expression" dxfId="1344" priority="1031" stopIfTrue="1">
      <formula>IF(A41=0,1,0)</formula>
    </cfRule>
    <cfRule type="expression" dxfId="1343" priority="1032" stopIfTrue="1">
      <formula>H43=$H$23</formula>
    </cfRule>
  </conditionalFormatting>
  <conditionalFormatting sqref="H39">
    <cfRule type="expression" dxfId="1342" priority="1029" stopIfTrue="1">
      <formula>IF(A37=0,1,0)</formula>
    </cfRule>
    <cfRule type="expression" dxfId="1341" priority="1030" stopIfTrue="1">
      <formula>H39=$H$23</formula>
    </cfRule>
  </conditionalFormatting>
  <conditionalFormatting sqref="H31">
    <cfRule type="expression" dxfId="1340" priority="1027" stopIfTrue="1">
      <formula>IF(A29=0,1,0)</formula>
    </cfRule>
    <cfRule type="expression" dxfId="1339" priority="1028" stopIfTrue="1">
      <formula>H31=$H$23</formula>
    </cfRule>
  </conditionalFormatting>
  <conditionalFormatting sqref="H27">
    <cfRule type="expression" dxfId="1338" priority="1025" stopIfTrue="1">
      <formula>IF(A25=0,1,0)</formula>
    </cfRule>
    <cfRule type="expression" dxfId="1337" priority="1026" stopIfTrue="1">
      <formula>H27=$H$23</formula>
    </cfRule>
  </conditionalFormatting>
  <conditionalFormatting sqref="J95">
    <cfRule type="expression" dxfId="1336" priority="1024" stopIfTrue="1">
      <formula>#REF!=#REF!</formula>
    </cfRule>
  </conditionalFormatting>
  <conditionalFormatting sqref="P5 P8:P20">
    <cfRule type="expression" dxfId="1335" priority="1021" stopIfTrue="1">
      <formula>IF(R5=0,0,BO5&gt;0)</formula>
    </cfRule>
  </conditionalFormatting>
  <conditionalFormatting sqref="AF14:AF15 AF19:AF20">
    <cfRule type="expression" dxfId="1334" priority="1019" stopIfTrue="1">
      <formula>IF($V14&gt;0,AF14&gt;0,0)</formula>
    </cfRule>
  </conditionalFormatting>
  <conditionalFormatting sqref="AT14:AT15 AT19:AT20">
    <cfRule type="expression" dxfId="1333" priority="1017" stopIfTrue="1">
      <formula>IF($V14&gt;0,AT14&gt;0,0)</formula>
    </cfRule>
  </conditionalFormatting>
  <conditionalFormatting sqref="AV14:AV15 AV19:AV21">
    <cfRule type="expression" dxfId="1332" priority="1016" stopIfTrue="1">
      <formula>IF($V14&gt;0,AV14&gt;0,0)</formula>
    </cfRule>
  </conditionalFormatting>
  <conditionalFormatting sqref="AX14:AX15 AX19:AX20">
    <cfRule type="expression" dxfId="1331" priority="1015" stopIfTrue="1">
      <formula>IF($V14&gt;0,AX14&gt;0,0)</formula>
    </cfRule>
  </conditionalFormatting>
  <conditionalFormatting sqref="AZ14:AZ15 AZ19:AZ20">
    <cfRule type="expression" dxfId="1330" priority="1014" stopIfTrue="1">
      <formula>IF($V14&gt;0,AZ14&gt;0,0)</formula>
    </cfRule>
  </conditionalFormatting>
  <conditionalFormatting sqref="BB14:BB15 BB19:BB20">
    <cfRule type="expression" dxfId="1329" priority="1013" stopIfTrue="1">
      <formula>IF($V14&gt;0,BB14&gt;0,0)</formula>
    </cfRule>
  </conditionalFormatting>
  <conditionalFormatting sqref="Y5 Y8:Y20">
    <cfRule type="expression" dxfId="1328" priority="1011" stopIfTrue="1">
      <formula>IF(V5&gt;0,Y5&gt;0,0)</formula>
    </cfRule>
  </conditionalFormatting>
  <conditionalFormatting sqref="HA19">
    <cfRule type="expression" dxfId="1327" priority="1010" stopIfTrue="1">
      <formula>IF(GB19&gt;0,HA19&gt;0,0)</formula>
    </cfRule>
  </conditionalFormatting>
  <conditionalFormatting sqref="HA15">
    <cfRule type="expression" dxfId="1326" priority="1009" stopIfTrue="1">
      <formula>IF(GB15&gt;0,HA15&gt;0,0)</formula>
    </cfRule>
  </conditionalFormatting>
  <conditionalFormatting sqref="HA10">
    <cfRule type="expression" dxfId="1325" priority="1008" stopIfTrue="1">
      <formula>IF(GB10&gt;0,HA10&gt;0,0)</formula>
    </cfRule>
  </conditionalFormatting>
  <conditionalFormatting sqref="C131">
    <cfRule type="expression" dxfId="1324" priority="996">
      <formula>$C$131="not listed"</formula>
    </cfRule>
  </conditionalFormatting>
  <conditionalFormatting sqref="Z86:AA86">
    <cfRule type="expression" dxfId="1323" priority="995">
      <formula>$Z$86="not listed"</formula>
    </cfRule>
  </conditionalFormatting>
  <conditionalFormatting sqref="T20">
    <cfRule type="expression" dxfId="1322" priority="993" stopIfTrue="1">
      <formula>IF(V20=0,0,T20=CR20)</formula>
    </cfRule>
  </conditionalFormatting>
  <conditionalFormatting sqref="E5 E8:E19">
    <cfRule type="expression" dxfId="1321" priority="991">
      <formula>IF(OR(D5&lt;1000,NOT($D$4=$CI$2)),IF($V5=0,0,IF(C5+D5=0,0,IF(ABS(U5-T5)&lt;0.05,0,IF(U5-T5&lt;0.05,1,IF(U5&lt;0.01,TRUE,T5&lt;0.01))))),0)</formula>
    </cfRule>
    <cfRule type="expression" dxfId="1320" priority="992">
      <formula>IF($T5=0,0,IF(C5+D5=0,0,E5&lt;X5))</formula>
    </cfRule>
  </conditionalFormatting>
  <conditionalFormatting sqref="X5 X8:X19">
    <cfRule type="expression" dxfId="1319" priority="989" stopIfTrue="1">
      <formula>IF(OR(D5&lt;1000,NOT($D$4=$CI$2)),IF($V5=0,0,IF(C5+D5=0,0,IF(ABS($T5-$U5)&lt;0.05,0,IF(U5&lt;0.01,TRUE,T5&lt;0.01)))),0)</formula>
    </cfRule>
    <cfRule type="expression" dxfId="1318" priority="990" stopIfTrue="1">
      <formula>IF($T5=0,0,X5=CQ5)</formula>
    </cfRule>
  </conditionalFormatting>
  <conditionalFormatting sqref="I5 I8:I19">
    <cfRule type="expression" dxfId="1317" priority="985" stopIfTrue="1">
      <formula>IF(R5="",I5&gt;0.99,0)</formula>
    </cfRule>
    <cfRule type="expression" dxfId="1316" priority="986" stopIfTrue="1">
      <formula>I5=BG5</formula>
    </cfRule>
  </conditionalFormatting>
  <conditionalFormatting sqref="T88:T96 T103">
    <cfRule type="expression" dxfId="1315" priority="984" stopIfTrue="1">
      <formula>IF(U88&gt;0.5*T88, TRUE, "")</formula>
    </cfRule>
  </conditionalFormatting>
  <conditionalFormatting sqref="M9:M19">
    <cfRule type="expression" dxfId="1314" priority="982" stopIfTrue="1">
      <formula>IF(M9=0,0,IF(ISERROR(VLOOKUP(M9,$A$167:$A$190,1,FALSE)),TRUE,FALSE))</formula>
    </cfRule>
    <cfRule type="expression" dxfId="1313" priority="983" stopIfTrue="1">
      <formula>IF(CW9&gt;0,BK9&gt;0,0)</formula>
    </cfRule>
  </conditionalFormatting>
  <conditionalFormatting sqref="CB5 CB8:CB20">
    <cfRule type="expression" dxfId="1312" priority="981" stopIfTrue="1">
      <formula>IF(CW5&gt;0,CB5&gt;0,0)</formula>
    </cfRule>
  </conditionalFormatting>
  <conditionalFormatting sqref="A52">
    <cfRule type="expression" dxfId="1311" priority="979" stopIfTrue="1">
      <formula>$A52&gt;0</formula>
    </cfRule>
  </conditionalFormatting>
  <conditionalFormatting sqref="I50">
    <cfRule type="expression" dxfId="1310" priority="977" stopIfTrue="1">
      <formula>IF(VLOOKUP(B50,HWRange,7,FALSE)=F50,FALSE,TRUE)</formula>
    </cfRule>
    <cfRule type="expression" dxfId="1309" priority="978" stopIfTrue="1">
      <formula>IF(I51=$J$167,FALSE,TRUE)</formula>
    </cfRule>
  </conditionalFormatting>
  <conditionalFormatting sqref="T49:T52">
    <cfRule type="expression" dxfId="1308" priority="976" stopIfTrue="1">
      <formula>IF(U49&gt;0.5*T49, TRUE, "")</formula>
    </cfRule>
  </conditionalFormatting>
  <conditionalFormatting sqref="U49:U51">
    <cfRule type="expression" dxfId="1307" priority="975" stopIfTrue="1">
      <formula>T49&lt;0.5*U49</formula>
    </cfRule>
  </conditionalFormatting>
  <conditionalFormatting sqref="V49 X49:AD49">
    <cfRule type="expression" dxfId="1306" priority="973" stopIfTrue="1">
      <formula>IF(V51&gt;0,IF(V49&gt;$H49,V49,0))</formula>
    </cfRule>
    <cfRule type="expression" dxfId="1305" priority="974" stopIfTrue="1">
      <formula>IF(V51&gt;0,IF(V49&gt;0.5,V49,0))</formula>
    </cfRule>
  </conditionalFormatting>
  <conditionalFormatting sqref="H49">
    <cfRule type="expression" dxfId="1304" priority="972" stopIfTrue="1">
      <formula>H49&gt;1</formula>
    </cfRule>
  </conditionalFormatting>
  <conditionalFormatting sqref="O51">
    <cfRule type="expression" dxfId="1303" priority="971" stopIfTrue="1">
      <formula>$DG$1=$DG$2</formula>
    </cfRule>
  </conditionalFormatting>
  <conditionalFormatting sqref="A51">
    <cfRule type="expression" dxfId="1302" priority="970" stopIfTrue="1">
      <formula>$DG$1=$DG$2</formula>
    </cfRule>
  </conditionalFormatting>
  <conditionalFormatting sqref="E50">
    <cfRule type="expression" dxfId="1301" priority="968" stopIfTrue="1">
      <formula>IF(I51=$J$167,FALSE,TRUE)</formula>
    </cfRule>
  </conditionalFormatting>
  <conditionalFormatting sqref="F50">
    <cfRule type="expression" dxfId="1300" priority="967" stopIfTrue="1">
      <formula>IF(I51=$J$167,FALSE,TRUE)</formula>
    </cfRule>
  </conditionalFormatting>
  <conditionalFormatting sqref="G50">
    <cfRule type="expression" dxfId="1299" priority="966" stopIfTrue="1">
      <formula>IF(I51=$J$167,FALSE,TRUE)</formula>
    </cfRule>
  </conditionalFormatting>
  <conditionalFormatting sqref="V50 X50:AD50">
    <cfRule type="expression" dxfId="1298" priority="964" stopIfTrue="1">
      <formula>IF(V51&gt;0,IF($A50&gt;0.25,$A50),"false")</formula>
    </cfRule>
    <cfRule type="expression" dxfId="1297" priority="965" stopIfTrue="1">
      <formula>IF(V51&gt;0,$A50,0)</formula>
    </cfRule>
  </conditionalFormatting>
  <conditionalFormatting sqref="W49">
    <cfRule type="expression" dxfId="1296" priority="962" stopIfTrue="1">
      <formula>IF(W51&gt;0,IF(W49&gt;$H49,W49,0))</formula>
    </cfRule>
    <cfRule type="expression" dxfId="1295" priority="963" stopIfTrue="1">
      <formula>IF(W51&gt;0,IF(W49&gt;0.5,W49,0))</formula>
    </cfRule>
  </conditionalFormatting>
  <conditionalFormatting sqref="W49">
    <cfRule type="expression" dxfId="1294" priority="961">
      <formula>$W50="Standby"</formula>
    </cfRule>
  </conditionalFormatting>
  <conditionalFormatting sqref="W51">
    <cfRule type="expression" dxfId="1293" priority="960">
      <formula>$W50="Standby"</formula>
    </cfRule>
  </conditionalFormatting>
  <conditionalFormatting sqref="W50">
    <cfRule type="expression" dxfId="1292" priority="958" stopIfTrue="1">
      <formula>IF(W51&gt;0,IF($A50&gt;0.25,$A50),"false")</formula>
    </cfRule>
    <cfRule type="expression" dxfId="1291" priority="959" stopIfTrue="1">
      <formula>IF(W51&gt;0,$A50,0)</formula>
    </cfRule>
  </conditionalFormatting>
  <conditionalFormatting sqref="W50">
    <cfRule type="expression" dxfId="1290" priority="957">
      <formula>$W50="Standby"</formula>
    </cfRule>
  </conditionalFormatting>
  <conditionalFormatting sqref="H52">
    <cfRule type="expression" dxfId="1289" priority="953" stopIfTrue="1">
      <formula>IF(A50=0,1,0)</formula>
    </cfRule>
    <cfRule type="expression" dxfId="1288" priority="954" stopIfTrue="1">
      <formula>H52=$H$23</formula>
    </cfRule>
  </conditionalFormatting>
  <conditionalFormatting sqref="A56">
    <cfRule type="expression" dxfId="1287" priority="952" stopIfTrue="1">
      <formula>$A56&gt;0</formula>
    </cfRule>
  </conditionalFormatting>
  <conditionalFormatting sqref="I54">
    <cfRule type="expression" dxfId="1286" priority="950" stopIfTrue="1">
      <formula>IF(VLOOKUP(B54,HWRange,7,FALSE)=F54,FALSE,TRUE)</formula>
    </cfRule>
    <cfRule type="expression" dxfId="1285" priority="951" stopIfTrue="1">
      <formula>IF(I55=$J$167,FALSE,TRUE)</formula>
    </cfRule>
  </conditionalFormatting>
  <conditionalFormatting sqref="T53:T56">
    <cfRule type="expression" dxfId="1284" priority="949" stopIfTrue="1">
      <formula>IF(U53&gt;0.5*T53, TRUE, "")</formula>
    </cfRule>
  </conditionalFormatting>
  <conditionalFormatting sqref="U53:U55">
    <cfRule type="expression" dxfId="1283" priority="948" stopIfTrue="1">
      <formula>T53&lt;0.5*U53</formula>
    </cfRule>
  </conditionalFormatting>
  <conditionalFormatting sqref="V53 X53:AD53">
    <cfRule type="expression" dxfId="1282" priority="946" stopIfTrue="1">
      <formula>IF(V55&gt;0,IF(V53&gt;$H53,V53,0))</formula>
    </cfRule>
    <cfRule type="expression" dxfId="1281" priority="947" stopIfTrue="1">
      <formula>IF(V55&gt;0,IF(V53&gt;0.5,V53,0))</formula>
    </cfRule>
  </conditionalFormatting>
  <conditionalFormatting sqref="H53">
    <cfRule type="expression" dxfId="1280" priority="945" stopIfTrue="1">
      <formula>H53&gt;1</formula>
    </cfRule>
  </conditionalFormatting>
  <conditionalFormatting sqref="O55">
    <cfRule type="expression" dxfId="1279" priority="944" stopIfTrue="1">
      <formula>$DG$1=$DG$2</formula>
    </cfRule>
  </conditionalFormatting>
  <conditionalFormatting sqref="A55">
    <cfRule type="expression" dxfId="1278" priority="943" stopIfTrue="1">
      <formula>$DG$1=$DG$2</formula>
    </cfRule>
  </conditionalFormatting>
  <conditionalFormatting sqref="E54">
    <cfRule type="expression" dxfId="1277" priority="941" stopIfTrue="1">
      <formula>IF(I55=$J$167,FALSE,TRUE)</formula>
    </cfRule>
  </conditionalFormatting>
  <conditionalFormatting sqref="F54">
    <cfRule type="expression" dxfId="1276" priority="940" stopIfTrue="1">
      <formula>IF(I55=$J$167,FALSE,TRUE)</formula>
    </cfRule>
  </conditionalFormatting>
  <conditionalFormatting sqref="G54">
    <cfRule type="expression" dxfId="1275" priority="939" stopIfTrue="1">
      <formula>IF(I55=$J$167,FALSE,TRUE)</formula>
    </cfRule>
  </conditionalFormatting>
  <conditionalFormatting sqref="V54 X54:AD54">
    <cfRule type="expression" dxfId="1274" priority="937" stopIfTrue="1">
      <formula>IF(V55&gt;0,IF($A54&gt;0.25,$A54),"false")</formula>
    </cfRule>
    <cfRule type="expression" dxfId="1273" priority="938" stopIfTrue="1">
      <formula>IF(V55&gt;0,$A54,0)</formula>
    </cfRule>
  </conditionalFormatting>
  <conditionalFormatting sqref="W53">
    <cfRule type="expression" dxfId="1272" priority="934" stopIfTrue="1">
      <formula>IF(W55&gt;0,IF(W53&gt;$H53,W53,0))</formula>
    </cfRule>
    <cfRule type="expression" dxfId="1271" priority="935" stopIfTrue="1">
      <formula>IF(W55&gt;0,IF(W53&gt;0.5,W53,0))</formula>
    </cfRule>
  </conditionalFormatting>
  <conditionalFormatting sqref="W53">
    <cfRule type="expression" dxfId="1270" priority="933">
      <formula>$W54="Standby"</formula>
    </cfRule>
  </conditionalFormatting>
  <conditionalFormatting sqref="W55">
    <cfRule type="expression" dxfId="1269" priority="932">
      <formula>$W54="Standby"</formula>
    </cfRule>
  </conditionalFormatting>
  <conditionalFormatting sqref="W54">
    <cfRule type="expression" dxfId="1268" priority="930" stopIfTrue="1">
      <formula>IF(W55&gt;0,IF($A54&gt;0.25,$A54),"false")</formula>
    </cfRule>
    <cfRule type="expression" dxfId="1267" priority="931" stopIfTrue="1">
      <formula>IF(W55&gt;0,$A54,0)</formula>
    </cfRule>
  </conditionalFormatting>
  <conditionalFormatting sqref="W54">
    <cfRule type="expression" dxfId="1266" priority="929">
      <formula>$W54="Standby"</formula>
    </cfRule>
  </conditionalFormatting>
  <conditionalFormatting sqref="H56">
    <cfRule type="expression" dxfId="1265" priority="925" stopIfTrue="1">
      <formula>IF(A54=0,1,0)</formula>
    </cfRule>
    <cfRule type="expression" dxfId="1264" priority="926" stopIfTrue="1">
      <formula>H56=$H$23</formula>
    </cfRule>
  </conditionalFormatting>
  <conditionalFormatting sqref="A60">
    <cfRule type="expression" dxfId="1263" priority="924" stopIfTrue="1">
      <formula>$A60&gt;0</formula>
    </cfRule>
  </conditionalFormatting>
  <conditionalFormatting sqref="I58">
    <cfRule type="expression" dxfId="1262" priority="922" stopIfTrue="1">
      <formula>IF(VLOOKUP(B58,HWRange,7,FALSE)=F58,FALSE,TRUE)</formula>
    </cfRule>
    <cfRule type="expression" dxfId="1261" priority="923" stopIfTrue="1">
      <formula>IF(I59=$J$167,FALSE,TRUE)</formula>
    </cfRule>
  </conditionalFormatting>
  <conditionalFormatting sqref="T57:T60">
    <cfRule type="expression" dxfId="1260" priority="921" stopIfTrue="1">
      <formula>IF(U57&gt;0.5*T57, TRUE, "")</formula>
    </cfRule>
  </conditionalFormatting>
  <conditionalFormatting sqref="U57:U59">
    <cfRule type="expression" dxfId="1259" priority="920" stopIfTrue="1">
      <formula>T57&lt;0.5*U57</formula>
    </cfRule>
  </conditionalFormatting>
  <conditionalFormatting sqref="V57 X57:AD57">
    <cfRule type="expression" dxfId="1258" priority="918" stopIfTrue="1">
      <formula>IF(V59&gt;0,IF(V57&gt;$H57,V57,0))</formula>
    </cfRule>
    <cfRule type="expression" dxfId="1257" priority="919" stopIfTrue="1">
      <formula>IF(V59&gt;0,IF(V57&gt;0.5,V57,0))</formula>
    </cfRule>
  </conditionalFormatting>
  <conditionalFormatting sqref="H57">
    <cfRule type="expression" dxfId="1256" priority="917" stopIfTrue="1">
      <formula>H57&gt;1</formula>
    </cfRule>
  </conditionalFormatting>
  <conditionalFormatting sqref="O59">
    <cfRule type="expression" dxfId="1255" priority="916" stopIfTrue="1">
      <formula>$DG$1=$DG$2</formula>
    </cfRule>
  </conditionalFormatting>
  <conditionalFormatting sqref="A59">
    <cfRule type="expression" dxfId="1254" priority="915" stopIfTrue="1">
      <formula>$DG$1=$DG$2</formula>
    </cfRule>
  </conditionalFormatting>
  <conditionalFormatting sqref="E58">
    <cfRule type="expression" dxfId="1253" priority="913" stopIfTrue="1">
      <formula>IF(I59=$J$167,FALSE,TRUE)</formula>
    </cfRule>
  </conditionalFormatting>
  <conditionalFormatting sqref="F58">
    <cfRule type="expression" dxfId="1252" priority="912" stopIfTrue="1">
      <formula>IF(I59=$J$167,FALSE,TRUE)</formula>
    </cfRule>
  </conditionalFormatting>
  <conditionalFormatting sqref="G58">
    <cfRule type="expression" dxfId="1251" priority="911" stopIfTrue="1">
      <formula>IF(I59=$J$167,FALSE,TRUE)</formula>
    </cfRule>
  </conditionalFormatting>
  <conditionalFormatting sqref="V58 X58:AD58">
    <cfRule type="expression" dxfId="1250" priority="909" stopIfTrue="1">
      <formula>IF(V59&gt;0,IF($A58&gt;0.25,$A58),"false")</formula>
    </cfRule>
    <cfRule type="expression" dxfId="1249" priority="910" stopIfTrue="1">
      <formula>IF(V59&gt;0,$A58,0)</formula>
    </cfRule>
  </conditionalFormatting>
  <conditionalFormatting sqref="W57">
    <cfRule type="expression" dxfId="1248" priority="906" stopIfTrue="1">
      <formula>IF(W59&gt;0,IF(W57&gt;$H57,W57,0))</formula>
    </cfRule>
    <cfRule type="expression" dxfId="1247" priority="907" stopIfTrue="1">
      <formula>IF(W59&gt;0,IF(W57&gt;0.5,W57,0))</formula>
    </cfRule>
  </conditionalFormatting>
  <conditionalFormatting sqref="W57">
    <cfRule type="expression" dxfId="1246" priority="905">
      <formula>$W58="Standby"</formula>
    </cfRule>
  </conditionalFormatting>
  <conditionalFormatting sqref="W59">
    <cfRule type="expression" dxfId="1245" priority="904">
      <formula>$W58="Standby"</formula>
    </cfRule>
  </conditionalFormatting>
  <conditionalFormatting sqref="W58">
    <cfRule type="expression" dxfId="1244" priority="902" stopIfTrue="1">
      <formula>IF(W59&gt;0,IF($A58&gt;0.25,$A58),"false")</formula>
    </cfRule>
    <cfRule type="expression" dxfId="1243" priority="903" stopIfTrue="1">
      <formula>IF(W59&gt;0,$A58,0)</formula>
    </cfRule>
  </conditionalFormatting>
  <conditionalFormatting sqref="W58">
    <cfRule type="expression" dxfId="1242" priority="901">
      <formula>$W58="Standby"</formula>
    </cfRule>
  </conditionalFormatting>
  <conditionalFormatting sqref="H60">
    <cfRule type="expression" dxfId="1241" priority="897" stopIfTrue="1">
      <formula>IF(A58=0,1,0)</formula>
    </cfRule>
    <cfRule type="expression" dxfId="1240" priority="898" stopIfTrue="1">
      <formula>H60=$H$23</formula>
    </cfRule>
  </conditionalFormatting>
  <conditionalFormatting sqref="A64">
    <cfRule type="expression" dxfId="1239" priority="896" stopIfTrue="1">
      <formula>$A64&gt;0</formula>
    </cfRule>
  </conditionalFormatting>
  <conditionalFormatting sqref="I62">
    <cfRule type="expression" dxfId="1238" priority="894" stopIfTrue="1">
      <formula>IF(VLOOKUP(B62,HWRange,7,FALSE)=F62,FALSE,TRUE)</formula>
    </cfRule>
    <cfRule type="expression" dxfId="1237" priority="895" stopIfTrue="1">
      <formula>IF(I63=$J$167,FALSE,TRUE)</formula>
    </cfRule>
  </conditionalFormatting>
  <conditionalFormatting sqref="T61:T64">
    <cfRule type="expression" dxfId="1236" priority="893" stopIfTrue="1">
      <formula>IF(U61&gt;0.5*T61, TRUE, "")</formula>
    </cfRule>
  </conditionalFormatting>
  <conditionalFormatting sqref="U61:U63">
    <cfRule type="expression" dxfId="1235" priority="892" stopIfTrue="1">
      <formula>T61&lt;0.5*U61</formula>
    </cfRule>
  </conditionalFormatting>
  <conditionalFormatting sqref="V61 X61:AD61">
    <cfRule type="expression" dxfId="1234" priority="890" stopIfTrue="1">
      <formula>IF(V63&gt;0,IF(V61&gt;$H61,V61,0))</formula>
    </cfRule>
    <cfRule type="expression" dxfId="1233" priority="891" stopIfTrue="1">
      <formula>IF(V63&gt;0,IF(V61&gt;0.5,V61,0))</formula>
    </cfRule>
  </conditionalFormatting>
  <conditionalFormatting sqref="H61">
    <cfRule type="expression" dxfId="1232" priority="889" stopIfTrue="1">
      <formula>H61&gt;1</formula>
    </cfRule>
  </conditionalFormatting>
  <conditionalFormatting sqref="O63">
    <cfRule type="expression" dxfId="1231" priority="888" stopIfTrue="1">
      <formula>$DG$1=$DG$2</formula>
    </cfRule>
  </conditionalFormatting>
  <conditionalFormatting sqref="A63">
    <cfRule type="expression" dxfId="1230" priority="887" stopIfTrue="1">
      <formula>$DG$1=$DG$2</formula>
    </cfRule>
  </conditionalFormatting>
  <conditionalFormatting sqref="E62">
    <cfRule type="expression" dxfId="1229" priority="885" stopIfTrue="1">
      <formula>IF(I63=$J$167,FALSE,TRUE)</formula>
    </cfRule>
  </conditionalFormatting>
  <conditionalFormatting sqref="F62">
    <cfRule type="expression" dxfId="1228" priority="884" stopIfTrue="1">
      <formula>IF(I63=$J$167,FALSE,TRUE)</formula>
    </cfRule>
  </conditionalFormatting>
  <conditionalFormatting sqref="G62">
    <cfRule type="expression" dxfId="1227" priority="883" stopIfTrue="1">
      <formula>IF(I63=$J$167,FALSE,TRUE)</formula>
    </cfRule>
  </conditionalFormatting>
  <conditionalFormatting sqref="V62 X62:AD62">
    <cfRule type="expression" dxfId="1226" priority="881" stopIfTrue="1">
      <formula>IF(V63&gt;0,IF($A62&gt;0.25,$A62),"false")</formula>
    </cfRule>
    <cfRule type="expression" dxfId="1225" priority="882" stopIfTrue="1">
      <formula>IF(V63&gt;0,$A62,0)</formula>
    </cfRule>
  </conditionalFormatting>
  <conditionalFormatting sqref="W61">
    <cfRule type="expression" dxfId="1224" priority="878" stopIfTrue="1">
      <formula>IF(W63&gt;0,IF(W61&gt;$H61,W61,0))</formula>
    </cfRule>
    <cfRule type="expression" dxfId="1223" priority="879" stopIfTrue="1">
      <formula>IF(W63&gt;0,IF(W61&gt;0.5,W61,0))</formula>
    </cfRule>
  </conditionalFormatting>
  <conditionalFormatting sqref="W61">
    <cfRule type="expression" dxfId="1222" priority="877">
      <formula>$W62="Standby"</formula>
    </cfRule>
  </conditionalFormatting>
  <conditionalFormatting sqref="W63">
    <cfRule type="expression" dxfId="1221" priority="876">
      <formula>$W62="Standby"</formula>
    </cfRule>
  </conditionalFormatting>
  <conditionalFormatting sqref="W62">
    <cfRule type="expression" dxfId="1220" priority="874" stopIfTrue="1">
      <formula>IF(W63&gt;0,IF($A62&gt;0.25,$A62),"false")</formula>
    </cfRule>
    <cfRule type="expression" dxfId="1219" priority="875" stopIfTrue="1">
      <formula>IF(W63&gt;0,$A62,0)</formula>
    </cfRule>
  </conditionalFormatting>
  <conditionalFormatting sqref="W62">
    <cfRule type="expression" dxfId="1218" priority="873">
      <formula>$W62="Standby"</formula>
    </cfRule>
  </conditionalFormatting>
  <conditionalFormatting sqref="H64">
    <cfRule type="expression" dxfId="1217" priority="869" stopIfTrue="1">
      <formula>IF(A62=0,1,0)</formula>
    </cfRule>
    <cfRule type="expression" dxfId="1216" priority="870" stopIfTrue="1">
      <formula>H64=$H$23</formula>
    </cfRule>
  </conditionalFormatting>
  <conditionalFormatting sqref="A69">
    <cfRule type="expression" dxfId="1215" priority="868" stopIfTrue="1">
      <formula>$A69&gt;0</formula>
    </cfRule>
  </conditionalFormatting>
  <conditionalFormatting sqref="I67">
    <cfRule type="expression" dxfId="1214" priority="866" stopIfTrue="1">
      <formula>IF(VLOOKUP(B67,HWRange,7,FALSE)=F67,FALSE,TRUE)</formula>
    </cfRule>
    <cfRule type="expression" dxfId="1213" priority="867" stopIfTrue="1">
      <formula>IF(I68=$J$167,FALSE,TRUE)</formula>
    </cfRule>
  </conditionalFormatting>
  <conditionalFormatting sqref="T66:T69">
    <cfRule type="expression" dxfId="1212" priority="865" stopIfTrue="1">
      <formula>IF(U66&gt;0.5*T66, TRUE, "")</formula>
    </cfRule>
  </conditionalFormatting>
  <conditionalFormatting sqref="U66:U68">
    <cfRule type="expression" dxfId="1211" priority="864" stopIfTrue="1">
      <formula>T66&lt;0.5*U66</formula>
    </cfRule>
  </conditionalFormatting>
  <conditionalFormatting sqref="V66 X66:AD66">
    <cfRule type="expression" dxfId="1210" priority="862" stopIfTrue="1">
      <formula>IF(V68&gt;0,IF(V66&gt;$H66,V66,0))</formula>
    </cfRule>
    <cfRule type="expression" dxfId="1209" priority="863" stopIfTrue="1">
      <formula>IF(V68&gt;0,IF(V66&gt;0.5,V66,0))</formula>
    </cfRule>
  </conditionalFormatting>
  <conditionalFormatting sqref="H66">
    <cfRule type="expression" dxfId="1208" priority="861" stopIfTrue="1">
      <formula>H66&gt;1</formula>
    </cfRule>
  </conditionalFormatting>
  <conditionalFormatting sqref="O68">
    <cfRule type="expression" dxfId="1207" priority="860" stopIfTrue="1">
      <formula>$DG$1=$DG$2</formula>
    </cfRule>
  </conditionalFormatting>
  <conditionalFormatting sqref="A68">
    <cfRule type="expression" dxfId="1206" priority="859" stopIfTrue="1">
      <formula>$DG$1=$DG$2</formula>
    </cfRule>
  </conditionalFormatting>
  <conditionalFormatting sqref="E67">
    <cfRule type="expression" dxfId="1205" priority="857" stopIfTrue="1">
      <formula>IF(I68=$J$167,FALSE,TRUE)</formula>
    </cfRule>
  </conditionalFormatting>
  <conditionalFormatting sqref="F67">
    <cfRule type="expression" dxfId="1204" priority="856" stopIfTrue="1">
      <formula>IF(I68=$J$167,FALSE,TRUE)</formula>
    </cfRule>
  </conditionalFormatting>
  <conditionalFormatting sqref="G67">
    <cfRule type="expression" dxfId="1203" priority="855" stopIfTrue="1">
      <formula>IF(I68=$J$167,FALSE,TRUE)</formula>
    </cfRule>
  </conditionalFormatting>
  <conditionalFormatting sqref="V67 X67:AD67">
    <cfRule type="expression" dxfId="1202" priority="853" stopIfTrue="1">
      <formula>IF(V68&gt;0,IF($A67&gt;0.25,$A67),"false")</formula>
    </cfRule>
    <cfRule type="expression" dxfId="1201" priority="854" stopIfTrue="1">
      <formula>IF(V68&gt;0,$A67,0)</formula>
    </cfRule>
  </conditionalFormatting>
  <conditionalFormatting sqref="W66">
    <cfRule type="expression" dxfId="1200" priority="850" stopIfTrue="1">
      <formula>IF(W68&gt;0,IF(W66&gt;$H66,W66,0))</formula>
    </cfRule>
    <cfRule type="expression" dxfId="1199" priority="851" stopIfTrue="1">
      <formula>IF(W68&gt;0,IF(W66&gt;0.5,W66,0))</formula>
    </cfRule>
  </conditionalFormatting>
  <conditionalFormatting sqref="W66">
    <cfRule type="expression" dxfId="1198" priority="849">
      <formula>$W67="Standby"</formula>
    </cfRule>
  </conditionalFormatting>
  <conditionalFormatting sqref="W68">
    <cfRule type="expression" dxfId="1197" priority="848">
      <formula>$W67="Standby"</formula>
    </cfRule>
  </conditionalFormatting>
  <conditionalFormatting sqref="W67">
    <cfRule type="expression" dxfId="1196" priority="846" stopIfTrue="1">
      <formula>IF(W68&gt;0,IF($A67&gt;0.25,$A67),"false")</formula>
    </cfRule>
    <cfRule type="expression" dxfId="1195" priority="847" stopIfTrue="1">
      <formula>IF(W68&gt;0,$A67,0)</formula>
    </cfRule>
  </conditionalFormatting>
  <conditionalFormatting sqref="W67">
    <cfRule type="expression" dxfId="1194" priority="845">
      <formula>$W67="Standby"</formula>
    </cfRule>
  </conditionalFormatting>
  <conditionalFormatting sqref="D68">
    <cfRule type="expression" dxfId="1193" priority="843">
      <formula>J69&gt;100</formula>
    </cfRule>
    <cfRule type="expression" dxfId="1192" priority="844">
      <formula>J68=$H$192</formula>
    </cfRule>
  </conditionalFormatting>
  <conditionalFormatting sqref="H69">
    <cfRule type="expression" dxfId="1191" priority="841" stopIfTrue="1">
      <formula>IF(A67=0,1,0)</formula>
    </cfRule>
    <cfRule type="expression" dxfId="1190" priority="842" stopIfTrue="1">
      <formula>H69=$H$23</formula>
    </cfRule>
  </conditionalFormatting>
  <conditionalFormatting sqref="CA20">
    <cfRule type="expression" dxfId="1189" priority="840" stopIfTrue="1">
      <formula>IF(CV20&gt;0,CA20&gt;0,0)</formula>
    </cfRule>
  </conditionalFormatting>
  <conditionalFormatting sqref="CA5 CA8:CA20">
    <cfRule type="expression" dxfId="1188" priority="839" stopIfTrue="1">
      <formula>IF(CW5&gt;0,CA5&gt;0,0)</formula>
    </cfRule>
  </conditionalFormatting>
  <conditionalFormatting sqref="BZ20">
    <cfRule type="expression" dxfId="1187" priority="838" stopIfTrue="1">
      <formula>IF(CU20&gt;0,BZ20&gt;0,0)</formula>
    </cfRule>
  </conditionalFormatting>
  <conditionalFormatting sqref="BZ5 BZ8:BZ20">
    <cfRule type="expression" dxfId="1186" priority="837" stopIfTrue="1">
      <formula>IF(CW5&gt;0,BZ5&gt;0,0)</formula>
    </cfRule>
  </conditionalFormatting>
  <conditionalFormatting sqref="BY20">
    <cfRule type="expression" dxfId="1185" priority="836" stopIfTrue="1">
      <formula>IF(CT20&gt;0,BY20&gt;0,0)</formula>
    </cfRule>
  </conditionalFormatting>
  <conditionalFormatting sqref="BY5 BY8:BY20">
    <cfRule type="expression" dxfId="1184" priority="835" stopIfTrue="1">
      <formula>IF(CW5&gt;0,BY5&gt;0,0)</formula>
    </cfRule>
  </conditionalFormatting>
  <conditionalFormatting sqref="BX20">
    <cfRule type="expression" dxfId="1183" priority="834" stopIfTrue="1">
      <formula>IF(CS20&gt;0,BX20&gt;0,0)</formula>
    </cfRule>
  </conditionalFormatting>
  <conditionalFormatting sqref="AQ20">
    <cfRule type="expression" dxfId="1182" priority="832" stopIfTrue="1">
      <formula>IF(T20&gt;0,AQ20&gt;0,0)</formula>
    </cfRule>
  </conditionalFormatting>
  <conditionalFormatting sqref="AQ5 AQ8:AQ19">
    <cfRule type="expression" dxfId="1181" priority="831" stopIfTrue="1">
      <formula>IF(T5&gt;0,AQ5&gt;0,0)</formula>
    </cfRule>
  </conditionalFormatting>
  <conditionalFormatting sqref="AR14:AR15 AR19:AR20">
    <cfRule type="expression" dxfId="1180" priority="830" stopIfTrue="1">
      <formula>IF($V14&gt;0,AR14&gt;0,0)</formula>
    </cfRule>
  </conditionalFormatting>
  <conditionalFormatting sqref="AO20">
    <cfRule type="expression" dxfId="1179" priority="829" stopIfTrue="1">
      <formula>IF(R20&gt;0,AO20&gt;0,0)</formula>
    </cfRule>
  </conditionalFormatting>
  <conditionalFormatting sqref="AO5 AO8:AO19">
    <cfRule type="expression" dxfId="1178" priority="828" stopIfTrue="1">
      <formula>IF(R5&gt;0,AO5&gt;0,0)</formula>
    </cfRule>
  </conditionalFormatting>
  <conditionalFormatting sqref="AM20">
    <cfRule type="expression" dxfId="1177" priority="826" stopIfTrue="1">
      <formula>IF(P20&gt;0,AM20&gt;0,0)</formula>
    </cfRule>
  </conditionalFormatting>
  <conditionalFormatting sqref="AM5 AM8:AM19">
    <cfRule type="expression" dxfId="1176" priority="825" stopIfTrue="1">
      <formula>IF(P5&gt;0,AM5&gt;0,0)</formula>
    </cfRule>
  </conditionalFormatting>
  <conditionalFormatting sqref="AN14:AN15 AN19:AN20">
    <cfRule type="expression" dxfId="1175" priority="824" stopIfTrue="1">
      <formula>IF($V14&gt;0,AN14&gt;0,0)</formula>
    </cfRule>
  </conditionalFormatting>
  <conditionalFormatting sqref="AK20">
    <cfRule type="expression" dxfId="1174" priority="823" stopIfTrue="1">
      <formula>IF(N20&gt;0,AK20&gt;0,0)</formula>
    </cfRule>
  </conditionalFormatting>
  <conditionalFormatting sqref="AK5 AK8:AK19">
    <cfRule type="expression" dxfId="1173" priority="822" stopIfTrue="1">
      <formula>IF(N5&gt;0,AK5&gt;0,0)</formula>
    </cfRule>
  </conditionalFormatting>
  <conditionalFormatting sqref="AI20">
    <cfRule type="expression" dxfId="1172" priority="820" stopIfTrue="1">
      <formula>IF(L20&gt;0,AI20&gt;0,0)</formula>
    </cfRule>
  </conditionalFormatting>
  <conditionalFormatting sqref="AI5 AI8:AI19">
    <cfRule type="expression" dxfId="1171" priority="819" stopIfTrue="1">
      <formula>IF(L5&gt;0,AI5&gt;0,0)</formula>
    </cfRule>
  </conditionalFormatting>
  <conditionalFormatting sqref="AD11:AD13">
    <cfRule type="expression" dxfId="1170" priority="815" stopIfTrue="1">
      <formula>IF(V11&gt;0,AD11&gt;0,0)</formula>
    </cfRule>
  </conditionalFormatting>
  <conditionalFormatting sqref="AB11:AB13">
    <cfRule type="expression" dxfId="1169" priority="813" stopIfTrue="1">
      <formula>IF($V11&gt;0,AB11&gt;0,0)</formula>
    </cfRule>
  </conditionalFormatting>
  <conditionalFormatting sqref="Z11:Z13">
    <cfRule type="expression" dxfId="1168" priority="812" stopIfTrue="1">
      <formula>IF($V11&gt;0,Z11&gt;0,0)</formula>
    </cfRule>
  </conditionalFormatting>
  <conditionalFormatting sqref="AD16:AD18">
    <cfRule type="expression" dxfId="1167" priority="807" stopIfTrue="1">
      <formula>IF(V16&gt;0,AD16&gt;0,0)</formula>
    </cfRule>
  </conditionalFormatting>
  <conditionalFormatting sqref="AB16:AB18">
    <cfRule type="expression" dxfId="1166" priority="805" stopIfTrue="1">
      <formula>IF($V16&gt;0,AB16&gt;0,0)</formula>
    </cfRule>
  </conditionalFormatting>
  <conditionalFormatting sqref="Z16:Z18">
    <cfRule type="expression" dxfId="1165" priority="804" stopIfTrue="1">
      <formula>IF($V16&gt;0,Z16&gt;0,0)</formula>
    </cfRule>
  </conditionalFormatting>
  <conditionalFormatting sqref="U98">
    <cfRule type="expression" dxfId="1164" priority="801" stopIfTrue="1">
      <formula>T98&lt;0.5*U98</formula>
    </cfRule>
  </conditionalFormatting>
  <conditionalFormatting sqref="CG99">
    <cfRule type="expression" dxfId="1163" priority="800" stopIfTrue="1">
      <formula>IF(OR(#REF!=0,#REF!=#REF!),FALSE,TRUE)</formula>
    </cfRule>
  </conditionalFormatting>
  <conditionalFormatting sqref="U97">
    <cfRule type="expression" dxfId="1162" priority="799" stopIfTrue="1">
      <formula>#REF!&lt;0.5*#REF!</formula>
    </cfRule>
  </conditionalFormatting>
  <conditionalFormatting sqref="I97">
    <cfRule type="expression" dxfId="1161" priority="798" stopIfTrue="1">
      <formula>#REF!&gt;1</formula>
    </cfRule>
  </conditionalFormatting>
  <conditionalFormatting sqref="O98 A98">
    <cfRule type="expression" dxfId="1160" priority="797" stopIfTrue="1">
      <formula>#REF!=#REF!</formula>
    </cfRule>
  </conditionalFormatting>
  <conditionalFormatting sqref="C98">
    <cfRule type="expression" dxfId="1159" priority="796" stopIfTrue="1">
      <formula>IF(#REF!=#REF!,FALSE,TRUE)</formula>
    </cfRule>
  </conditionalFormatting>
  <conditionalFormatting sqref="I98">
    <cfRule type="expression" dxfId="1158" priority="795" stopIfTrue="1">
      <formula>IF(#REF!=#REF!,FALSE,TRUE)</formula>
    </cfRule>
  </conditionalFormatting>
  <conditionalFormatting sqref="A97">
    <cfRule type="expression" dxfId="1157" priority="793" stopIfTrue="1">
      <formula>#REF!&gt;1</formula>
    </cfRule>
    <cfRule type="expression" dxfId="1156" priority="794" stopIfTrue="1">
      <formula>IF(#REF!=#REF!,FALSE,TRUE)</formula>
    </cfRule>
  </conditionalFormatting>
  <conditionalFormatting sqref="D97">
    <cfRule type="expression" dxfId="1155" priority="790" stopIfTrue="1">
      <formula>IF(#REF!=#REF!,FALSE,TRUE)</formula>
    </cfRule>
  </conditionalFormatting>
  <conditionalFormatting sqref="F97">
    <cfRule type="expression" dxfId="1154" priority="789" stopIfTrue="1">
      <formula>IF(#REF!=#REF!,FALSE,TRUE)</formula>
    </cfRule>
  </conditionalFormatting>
  <conditionalFormatting sqref="G97">
    <cfRule type="expression" dxfId="1153" priority="788" stopIfTrue="1">
      <formula>IF(#REF!=#REF!,FALSE,TRUE)</formula>
    </cfRule>
  </conditionalFormatting>
  <conditionalFormatting sqref="B99">
    <cfRule type="expression" dxfId="1152" priority="787" stopIfTrue="1">
      <formula>IF(OR(#REF!=0,#REF!=#REF!),FALSE,TRUE)</formula>
    </cfRule>
  </conditionalFormatting>
  <conditionalFormatting sqref="C99">
    <cfRule type="expression" dxfId="1151" priority="786" stopIfTrue="1">
      <formula>IF(OR(#REF!=0,#REF!=#REF!),FALSE,TRUE)</formula>
    </cfRule>
  </conditionalFormatting>
  <conditionalFormatting sqref="V97:AC97">
    <cfRule type="expression" dxfId="1150" priority="783" stopIfTrue="1">
      <formula>IF(V98=0,0,IF($A97&gt;$I97,1,0))</formula>
    </cfRule>
    <cfRule type="expression" dxfId="1149" priority="784" stopIfTrue="1">
      <formula>IF(V98=0,0,IF($A97&gt;0.5,1,0))</formula>
    </cfRule>
    <cfRule type="expression" dxfId="1148" priority="785" stopIfTrue="1">
      <formula>IF(V98=0,0,IF($A97&gt;0,1,0))</formula>
    </cfRule>
  </conditionalFormatting>
  <conditionalFormatting sqref="A99">
    <cfRule type="expression" dxfId="1147" priority="782" stopIfTrue="1">
      <formula>$A97&gt;0</formula>
    </cfRule>
  </conditionalFormatting>
  <conditionalFormatting sqref="E97">
    <cfRule type="expression" dxfId="1146" priority="781" stopIfTrue="1">
      <formula>$E97&gt;$L97*$F98</formula>
    </cfRule>
  </conditionalFormatting>
  <conditionalFormatting sqref="AD97">
    <cfRule type="expression" dxfId="1145" priority="779" stopIfTrue="1">
      <formula>$E97&gt;$L97*$F98</formula>
    </cfRule>
    <cfRule type="expression" dxfId="1144" priority="780" stopIfTrue="1">
      <formula>IF(#REF!=#REF!,FALSE,TRUE)</formula>
    </cfRule>
  </conditionalFormatting>
  <conditionalFormatting sqref="H99">
    <cfRule type="expression" dxfId="1143" priority="777" stopIfTrue="1">
      <formula>IF(A97=0,1,0)</formula>
    </cfRule>
    <cfRule type="expression" dxfId="1142" priority="778" stopIfTrue="1">
      <formula>H99=$H$23</formula>
    </cfRule>
  </conditionalFormatting>
  <conditionalFormatting sqref="J98">
    <cfRule type="expression" dxfId="1141" priority="776" stopIfTrue="1">
      <formula>#REF!=#REF!</formula>
    </cfRule>
  </conditionalFormatting>
  <conditionalFormatting sqref="T97:T99">
    <cfRule type="expression" dxfId="1140" priority="775" stopIfTrue="1">
      <formula>IF(U97&gt;0.5*T97, TRUE, "")</formula>
    </cfRule>
  </conditionalFormatting>
  <conditionalFormatting sqref="U101">
    <cfRule type="expression" dxfId="1139" priority="774" stopIfTrue="1">
      <formula>T101&lt;0.5*U101</formula>
    </cfRule>
  </conditionalFormatting>
  <conditionalFormatting sqref="CG102">
    <cfRule type="expression" dxfId="1138" priority="773" stopIfTrue="1">
      <formula>IF(OR(#REF!=0,#REF!=#REF!),FALSE,TRUE)</formula>
    </cfRule>
  </conditionalFormatting>
  <conditionalFormatting sqref="U100">
    <cfRule type="expression" dxfId="1137" priority="772" stopIfTrue="1">
      <formula>#REF!&lt;0.5*#REF!</formula>
    </cfRule>
  </conditionalFormatting>
  <conditionalFormatting sqref="I100">
    <cfRule type="expression" dxfId="1136" priority="771" stopIfTrue="1">
      <formula>#REF!&gt;1</formula>
    </cfRule>
  </conditionalFormatting>
  <conditionalFormatting sqref="O101 A101">
    <cfRule type="expression" dxfId="1135" priority="770" stopIfTrue="1">
      <formula>#REF!=#REF!</formula>
    </cfRule>
  </conditionalFormatting>
  <conditionalFormatting sqref="C101">
    <cfRule type="expression" dxfId="1134" priority="769" stopIfTrue="1">
      <formula>IF(#REF!=#REF!,FALSE,TRUE)</formula>
    </cfRule>
  </conditionalFormatting>
  <conditionalFormatting sqref="I101">
    <cfRule type="expression" dxfId="1133" priority="768" stopIfTrue="1">
      <formula>IF(#REF!=#REF!,FALSE,TRUE)</formula>
    </cfRule>
  </conditionalFormatting>
  <conditionalFormatting sqref="A100">
    <cfRule type="expression" dxfId="1132" priority="766" stopIfTrue="1">
      <formula>#REF!&gt;1</formula>
    </cfRule>
    <cfRule type="expression" dxfId="1131" priority="767" stopIfTrue="1">
      <formula>IF(#REF!=#REF!,FALSE,TRUE)</formula>
    </cfRule>
  </conditionalFormatting>
  <conditionalFormatting sqref="D100">
    <cfRule type="expression" dxfId="1130" priority="763" stopIfTrue="1">
      <formula>IF(#REF!=#REF!,FALSE,TRUE)</formula>
    </cfRule>
  </conditionalFormatting>
  <conditionalFormatting sqref="F100">
    <cfRule type="expression" dxfId="1129" priority="762" stopIfTrue="1">
      <formula>IF(#REF!=#REF!,FALSE,TRUE)</formula>
    </cfRule>
  </conditionalFormatting>
  <conditionalFormatting sqref="G100">
    <cfRule type="expression" dxfId="1128" priority="761" stopIfTrue="1">
      <formula>IF(#REF!=#REF!,FALSE,TRUE)</formula>
    </cfRule>
  </conditionalFormatting>
  <conditionalFormatting sqref="B102">
    <cfRule type="expression" dxfId="1127" priority="760" stopIfTrue="1">
      <formula>IF(OR(#REF!=0,#REF!=#REF!),FALSE,TRUE)</formula>
    </cfRule>
  </conditionalFormatting>
  <conditionalFormatting sqref="C102">
    <cfRule type="expression" dxfId="1126" priority="759" stopIfTrue="1">
      <formula>IF(OR(#REF!=0,#REF!=#REF!),FALSE,TRUE)</formula>
    </cfRule>
  </conditionalFormatting>
  <conditionalFormatting sqref="V100:AC100">
    <cfRule type="expression" dxfId="1125" priority="756" stopIfTrue="1">
      <formula>IF(V101=0,0,IF($A100&gt;$I100,1,0))</formula>
    </cfRule>
    <cfRule type="expression" dxfId="1124" priority="757" stopIfTrue="1">
      <formula>IF(V101=0,0,IF($A100&gt;0.5,1,0))</formula>
    </cfRule>
    <cfRule type="expression" dxfId="1123" priority="758" stopIfTrue="1">
      <formula>IF(V101=0,0,IF($A100&gt;0,1,0))</formula>
    </cfRule>
  </conditionalFormatting>
  <conditionalFormatting sqref="A102">
    <cfRule type="expression" dxfId="1122" priority="755" stopIfTrue="1">
      <formula>$A100&gt;0</formula>
    </cfRule>
  </conditionalFormatting>
  <conditionalFormatting sqref="E100">
    <cfRule type="expression" dxfId="1121" priority="754" stopIfTrue="1">
      <formula>$E100&gt;$L100*$F101</formula>
    </cfRule>
  </conditionalFormatting>
  <conditionalFormatting sqref="AD100">
    <cfRule type="expression" dxfId="1120" priority="752" stopIfTrue="1">
      <formula>$E100&gt;$L100*$F101</formula>
    </cfRule>
    <cfRule type="expression" dxfId="1119" priority="753" stopIfTrue="1">
      <formula>IF(#REF!=#REF!,FALSE,TRUE)</formula>
    </cfRule>
  </conditionalFormatting>
  <conditionalFormatting sqref="H102">
    <cfRule type="expression" dxfId="1118" priority="750" stopIfTrue="1">
      <formula>IF(A100=0,1,0)</formula>
    </cfRule>
    <cfRule type="expression" dxfId="1117" priority="751" stopIfTrue="1">
      <formula>H102=$H$23</formula>
    </cfRule>
  </conditionalFormatting>
  <conditionalFormatting sqref="J101">
    <cfRule type="expression" dxfId="1116" priority="749" stopIfTrue="1">
      <formula>#REF!=#REF!</formula>
    </cfRule>
  </conditionalFormatting>
  <conditionalFormatting sqref="T100:T102">
    <cfRule type="expression" dxfId="1115" priority="748" stopIfTrue="1">
      <formula>IF(U100&gt;0.5*T100, TRUE, "")</formula>
    </cfRule>
  </conditionalFormatting>
  <conditionalFormatting sqref="T44">
    <cfRule type="expression" dxfId="1114" priority="747" stopIfTrue="1">
      <formula>IF(U44&gt;0.5*T44, TRUE, "")</formula>
    </cfRule>
  </conditionalFormatting>
  <conditionalFormatting sqref="E105:E119">
    <cfRule type="expression" dxfId="1113" priority="743">
      <formula>IF(A105&gt;0,IF(E105=C169,0,1),0)</formula>
    </cfRule>
  </conditionalFormatting>
  <conditionalFormatting sqref="E123:E127">
    <cfRule type="expression" dxfId="1112" priority="742">
      <formula>IF(A123&gt;0,IF(E123=C188,0,1),0)</formula>
    </cfRule>
  </conditionalFormatting>
  <conditionalFormatting sqref="C5 C8:C20">
    <cfRule type="expression" dxfId="1111" priority="740" stopIfTrue="1">
      <formula>IF($V5=0,0,IF(C5=0,0,ABS($T5-$U5)&lt;0.05))</formula>
    </cfRule>
    <cfRule type="expression" dxfId="1110" priority="741" stopIfTrue="1">
      <formula>IF(C5=0,0,OR(U5&lt;T5,T5=0))</formula>
    </cfRule>
  </conditionalFormatting>
  <conditionalFormatting sqref="D5 D8:D20">
    <cfRule type="expression" dxfId="1109" priority="738" stopIfTrue="1">
      <formula>IF($V5=0,0,IF(D5=0,0,ABS($T5-$U5)&lt;0.05))</formula>
    </cfRule>
    <cfRule type="expression" dxfId="1108" priority="739" stopIfTrue="1">
      <formula>OR(IF(D5&lt;1000,0,V5/BP5&gt;100),IF(OR(D5=0,D5="Services"),0,OR(U5&lt;T5,T5=0)))</formula>
    </cfRule>
  </conditionalFormatting>
  <conditionalFormatting sqref="A86">
    <cfRule type="expression" dxfId="1107" priority="722">
      <formula>$A$71+$A$75+$A$79+$A$83&gt;0</formula>
    </cfRule>
  </conditionalFormatting>
  <conditionalFormatting sqref="A103">
    <cfRule type="expression" dxfId="1106" priority="721">
      <formula>$A$88+$A$91+$A$94+$A$97+$A$100&gt;0</formula>
    </cfRule>
  </conditionalFormatting>
  <conditionalFormatting sqref="B105:B119">
    <cfRule type="expression" dxfId="1105" priority="719">
      <formula>IF(A105&gt;0,F105&gt;VLOOKUP(B105,HWPricing,3,FALSE),0)</formula>
    </cfRule>
    <cfRule type="expression" dxfId="1104" priority="720">
      <formula>IF(A105&gt;0,IF(E105=C169,0,1),0)</formula>
    </cfRule>
  </conditionalFormatting>
  <conditionalFormatting sqref="B123:B127">
    <cfRule type="expression" dxfId="1103" priority="717">
      <formula>IF(A123&gt;0,F123&gt;VLOOKUP(B123,HWPricing,3,FALSE),0)</formula>
    </cfRule>
    <cfRule type="expression" dxfId="1102" priority="718">
      <formula>IF(A123&gt;0,IF(E123=C188,0,1),0)</formula>
    </cfRule>
  </conditionalFormatting>
  <conditionalFormatting sqref="AT11:AT13">
    <cfRule type="expression" dxfId="1101" priority="709" stopIfTrue="1">
      <formula>IF($V11&gt;0,AT11&gt;0,0)</formula>
    </cfRule>
  </conditionalFormatting>
  <conditionalFormatting sqref="AV11:AV13">
    <cfRule type="expression" dxfId="1100" priority="708" stopIfTrue="1">
      <formula>IF($V11&gt;0,AV11&gt;0,0)</formula>
    </cfRule>
  </conditionalFormatting>
  <conditionalFormatting sqref="AX11:AX13">
    <cfRule type="expression" dxfId="1099" priority="707" stopIfTrue="1">
      <formula>IF($V11&gt;0,AX11&gt;0,0)</formula>
    </cfRule>
  </conditionalFormatting>
  <conditionalFormatting sqref="AZ11:AZ13">
    <cfRule type="expression" dxfId="1098" priority="706" stopIfTrue="1">
      <formula>IF($V11&gt;0,AZ11&gt;0,0)</formula>
    </cfRule>
  </conditionalFormatting>
  <conditionalFormatting sqref="BB11:BB13">
    <cfRule type="expression" dxfId="1097" priority="705" stopIfTrue="1">
      <formula>IF($V11&gt;0,BB11&gt;0,0)</formula>
    </cfRule>
  </conditionalFormatting>
  <conditionalFormatting sqref="AT16:AT18">
    <cfRule type="expression" dxfId="1096" priority="687" stopIfTrue="1">
      <formula>IF($V16&gt;0,AT16&gt;0,0)</formula>
    </cfRule>
  </conditionalFormatting>
  <conditionalFormatting sqref="AV16:AV18">
    <cfRule type="expression" dxfId="1095" priority="686" stopIfTrue="1">
      <formula>IF($V16&gt;0,AV16&gt;0,0)</formula>
    </cfRule>
  </conditionalFormatting>
  <conditionalFormatting sqref="AX16:AX18">
    <cfRule type="expression" dxfId="1094" priority="685" stopIfTrue="1">
      <formula>IF($V16&gt;0,AX16&gt;0,0)</formula>
    </cfRule>
  </conditionalFormatting>
  <conditionalFormatting sqref="AZ16:AZ18">
    <cfRule type="expression" dxfId="1093" priority="684" stopIfTrue="1">
      <formula>IF($V16&gt;0,AZ16&gt;0,0)</formula>
    </cfRule>
  </conditionalFormatting>
  <conditionalFormatting sqref="BB16:BB18">
    <cfRule type="expression" dxfId="1092" priority="683" stopIfTrue="1">
      <formula>IF($V16&gt;0,BB16&gt;0,0)</formula>
    </cfRule>
  </conditionalFormatting>
  <conditionalFormatting sqref="T65">
    <cfRule type="expression" dxfId="1091" priority="672" stopIfTrue="1">
      <formula>IF(U65&gt;0.5*T65, TRUE, "")</formula>
    </cfRule>
  </conditionalFormatting>
  <conditionalFormatting sqref="A65">
    <cfRule type="expression" dxfId="1090" priority="671">
      <formula>$A$46+$A$50+$A$54+$A$58+$A$62&gt;0</formula>
    </cfRule>
  </conditionalFormatting>
  <conditionalFormatting sqref="A44">
    <cfRule type="expression" dxfId="1089" priority="665">
      <formula>$A$25+$A$29+$A$33+$A$37+$A$41&gt;0</formula>
    </cfRule>
  </conditionalFormatting>
  <conditionalFormatting sqref="AR11:AR13">
    <cfRule type="expression" dxfId="1088" priority="663" stopIfTrue="1">
      <formula>IF($V11&gt;0,AR11&gt;0,0)</formula>
    </cfRule>
  </conditionalFormatting>
  <conditionalFormatting sqref="AR16:AR18">
    <cfRule type="expression" dxfId="1087" priority="661" stopIfTrue="1">
      <formula>IF($V16&gt;0,AR16&gt;0,0)</formula>
    </cfRule>
  </conditionalFormatting>
  <conditionalFormatting sqref="AN11:AN13">
    <cfRule type="expression" dxfId="1086" priority="659" stopIfTrue="1">
      <formula>IF($V11&gt;0,AN11&gt;0,0)</formula>
    </cfRule>
  </conditionalFormatting>
  <conditionalFormatting sqref="AN16:AN18">
    <cfRule type="expression" dxfId="1085" priority="657" stopIfTrue="1">
      <formula>IF($V16&gt;0,AN16&gt;0,0)</formula>
    </cfRule>
  </conditionalFormatting>
  <conditionalFormatting sqref="AF11:AF13">
    <cfRule type="expression" dxfId="1084" priority="639" stopIfTrue="1">
      <formula>IF($V11&gt;0,AF11&gt;0,0)</formula>
    </cfRule>
  </conditionalFormatting>
  <conditionalFormatting sqref="AF16:AF18">
    <cfRule type="expression" dxfId="1083" priority="637" stopIfTrue="1">
      <formula>IF($V16&gt;0,AF16&gt;0,0)</formula>
    </cfRule>
  </conditionalFormatting>
  <conditionalFormatting sqref="G131">
    <cfRule type="expression" dxfId="1082" priority="636">
      <formula>$C$96="not listed"</formula>
    </cfRule>
  </conditionalFormatting>
  <conditionalFormatting sqref="HB9:HB10">
    <cfRule type="expression" dxfId="1081" priority="634" stopIfTrue="1">
      <formula>IF($T9=0,$F9&gt;$H9,0)</formula>
    </cfRule>
    <cfRule type="expression" dxfId="1080" priority="635" stopIfTrue="1">
      <formula>IF($T9=0,$F9&gt;0.5*$H9,0)</formula>
    </cfRule>
  </conditionalFormatting>
  <conditionalFormatting sqref="HC9:HC10">
    <cfRule type="expression" dxfId="1079" priority="628" stopIfTrue="1">
      <formula>IF($T9=0,$F9&gt;$H9,0)</formula>
    </cfRule>
    <cfRule type="expression" dxfId="1078" priority="629" stopIfTrue="1">
      <formula>IF($T9=0,$F9&gt;0.5*$H9,0)</formula>
    </cfRule>
  </conditionalFormatting>
  <conditionalFormatting sqref="HC14">
    <cfRule type="expression" dxfId="1077" priority="624" stopIfTrue="1">
      <formula>IF($T14=0,$F14&gt;$H14,0)</formula>
    </cfRule>
    <cfRule type="expression" dxfId="1076" priority="625" stopIfTrue="1">
      <formula>IF($T14=0,$F14&gt;0.5*$H14,0)</formula>
    </cfRule>
  </conditionalFormatting>
  <conditionalFormatting sqref="HB14:HB15">
    <cfRule type="expression" dxfId="1075" priority="622" stopIfTrue="1">
      <formula>IF($T14=0,$F14&gt;$H14,0)</formula>
    </cfRule>
    <cfRule type="expression" dxfId="1074" priority="623" stopIfTrue="1">
      <formula>IF($T14=0,$F14&gt;0.5*$H14,0)</formula>
    </cfRule>
  </conditionalFormatting>
  <conditionalFormatting sqref="HB19">
    <cfRule type="expression" dxfId="1073" priority="620" stopIfTrue="1">
      <formula>IF($T19=0,$F19&gt;$H19,0)</formula>
    </cfRule>
    <cfRule type="expression" dxfId="1072" priority="621" stopIfTrue="1">
      <formula>IF($T19=0,$F19&gt;0.5*$H19,0)</formula>
    </cfRule>
  </conditionalFormatting>
  <conditionalFormatting sqref="HC15">
    <cfRule type="expression" dxfId="1071" priority="618" stopIfTrue="1">
      <formula>IF($T15=0,$F15&gt;$H15,0)</formula>
    </cfRule>
    <cfRule type="expression" dxfId="1070" priority="619" stopIfTrue="1">
      <formula>IF($T15=0,$F15&gt;0.5*$H15,0)</formula>
    </cfRule>
  </conditionalFormatting>
  <conditionalFormatting sqref="HC19">
    <cfRule type="expression" dxfId="1069" priority="616" stopIfTrue="1">
      <formula>IF($T19=0,$F19&gt;$H19,0)</formula>
    </cfRule>
    <cfRule type="expression" dxfId="1068" priority="617" stopIfTrue="1">
      <formula>IF($T19=0,$F19&gt;0.5*$H19,0)</formula>
    </cfRule>
  </conditionalFormatting>
  <conditionalFormatting sqref="AE86">
    <cfRule type="expression" dxfId="1067" priority="615">
      <formula>$Z$86="not listed"</formula>
    </cfRule>
  </conditionalFormatting>
  <conditionalFormatting sqref="AC86">
    <cfRule type="expression" dxfId="1066" priority="614">
      <formula>$Z$86="not listed"</formula>
    </cfRule>
  </conditionalFormatting>
  <conditionalFormatting sqref="AD86">
    <cfRule type="expression" dxfId="1065" priority="613">
      <formula>$Z$86="not listed"</formula>
    </cfRule>
  </conditionalFormatting>
  <conditionalFormatting sqref="E131">
    <cfRule type="expression" dxfId="1064" priority="612">
      <formula>$C$96="not listed"</formula>
    </cfRule>
  </conditionalFormatting>
  <conditionalFormatting sqref="AF67">
    <cfRule type="expression" dxfId="1063" priority="565">
      <formula>VLOOKUP(K67,HostMatch,9,FALSE)</formula>
    </cfRule>
    <cfRule type="expression" dxfId="1062" priority="566">
      <formula>AF66=""</formula>
    </cfRule>
  </conditionalFormatting>
  <conditionalFormatting sqref="C27">
    <cfRule type="expression" dxfId="1061" priority="554" stopIfTrue="1">
      <formula>IF(OR($A25=0,$I26=$J$167),FALSE,TRUE)</formula>
    </cfRule>
  </conditionalFormatting>
  <conditionalFormatting sqref="B27">
    <cfRule type="expression" dxfId="1060" priority="553" stopIfTrue="1">
      <formula>IF(OR($A25=0,$I26=$J$167),FALSE,TRUE)</formula>
    </cfRule>
  </conditionalFormatting>
  <conditionalFormatting sqref="B31">
    <cfRule type="expression" dxfId="1059" priority="546" stopIfTrue="1">
      <formula>IF(OR($A29=0,$I30=$J$167),FALSE,TRUE)</formula>
    </cfRule>
  </conditionalFormatting>
  <conditionalFormatting sqref="B35">
    <cfRule type="expression" dxfId="1058" priority="545" stopIfTrue="1">
      <formula>IF(OR($A33=0,$I34=$J$167),FALSE,TRUE)</formula>
    </cfRule>
  </conditionalFormatting>
  <conditionalFormatting sqref="B39">
    <cfRule type="expression" dxfId="1057" priority="544" stopIfTrue="1">
      <formula>IF(OR($A37=0,$I38=$J$167),FALSE,TRUE)</formula>
    </cfRule>
  </conditionalFormatting>
  <conditionalFormatting sqref="B43">
    <cfRule type="expression" dxfId="1056" priority="543" stopIfTrue="1">
      <formula>IF(OR($A41=0,$I42=$J$167),FALSE,TRUE)</formula>
    </cfRule>
  </conditionalFormatting>
  <conditionalFormatting sqref="B48">
    <cfRule type="expression" dxfId="1055" priority="542" stopIfTrue="1">
      <formula>IF(OR($A46=0,$I47=$J$167),FALSE,TRUE)</formula>
    </cfRule>
  </conditionalFormatting>
  <conditionalFormatting sqref="B52">
    <cfRule type="expression" dxfId="1054" priority="541" stopIfTrue="1">
      <formula>IF(OR($A50=0,$I51=$J$167),FALSE,TRUE)</formula>
    </cfRule>
  </conditionalFormatting>
  <conditionalFormatting sqref="B56">
    <cfRule type="expression" dxfId="1053" priority="540" stopIfTrue="1">
      <formula>IF(OR($A54=0,$I55=$J$167),FALSE,TRUE)</formula>
    </cfRule>
  </conditionalFormatting>
  <conditionalFormatting sqref="B60">
    <cfRule type="expression" dxfId="1052" priority="539" stopIfTrue="1">
      <formula>IF(OR($A58=0,$I59=$J$167),FALSE,TRUE)</formula>
    </cfRule>
  </conditionalFormatting>
  <conditionalFormatting sqref="B64">
    <cfRule type="expression" dxfId="1051" priority="538" stopIfTrue="1">
      <formula>IF(OR($A62=0,$I63=$J$167),FALSE,TRUE)</formula>
    </cfRule>
  </conditionalFormatting>
  <conditionalFormatting sqref="B69">
    <cfRule type="expression" dxfId="1050" priority="537" stopIfTrue="1">
      <formula>IF(OR($A67=0,$I68=$J$167),FALSE,TRUE)</formula>
    </cfRule>
  </conditionalFormatting>
  <conditionalFormatting sqref="B73">
    <cfRule type="expression" dxfId="1049" priority="536" stopIfTrue="1">
      <formula>IF(OR($A71=0,$I72=$J$167),FALSE,TRUE)</formula>
    </cfRule>
  </conditionalFormatting>
  <conditionalFormatting sqref="B77">
    <cfRule type="expression" dxfId="1048" priority="535" stopIfTrue="1">
      <formula>IF(OR($A75=0,$I76=$J$167),FALSE,TRUE)</formula>
    </cfRule>
  </conditionalFormatting>
  <conditionalFormatting sqref="B81">
    <cfRule type="expression" dxfId="1047" priority="534" stopIfTrue="1">
      <formula>IF(OR($A79=0,$I80=$J$167),FALSE,TRUE)</formula>
    </cfRule>
  </conditionalFormatting>
  <conditionalFormatting sqref="B85">
    <cfRule type="expression" dxfId="1046" priority="533" stopIfTrue="1">
      <formula>IF(OR($A83=0,$I84=$J$167),FALSE,TRUE)</formula>
    </cfRule>
  </conditionalFormatting>
  <conditionalFormatting sqref="C31">
    <cfRule type="expression" dxfId="1045" priority="532" stopIfTrue="1">
      <formula>IF(OR($A29=0,$I30=$J$167),FALSE,TRUE)</formula>
    </cfRule>
  </conditionalFormatting>
  <conditionalFormatting sqref="C35">
    <cfRule type="expression" dxfId="1044" priority="531" stopIfTrue="1">
      <formula>IF(OR($A33=0,$I34=$J$167),FALSE,TRUE)</formula>
    </cfRule>
  </conditionalFormatting>
  <conditionalFormatting sqref="C39">
    <cfRule type="expression" dxfId="1043" priority="530" stopIfTrue="1">
      <formula>IF(OR($A37=0,$I38=$J$167),FALSE,TRUE)</formula>
    </cfRule>
  </conditionalFormatting>
  <conditionalFormatting sqref="C43">
    <cfRule type="expression" dxfId="1042" priority="529" stopIfTrue="1">
      <formula>IF(OR($A41=0,$I42=$J$167),FALSE,TRUE)</formula>
    </cfRule>
  </conditionalFormatting>
  <conditionalFormatting sqref="C48">
    <cfRule type="expression" dxfId="1041" priority="528" stopIfTrue="1">
      <formula>IF(OR($A46=0,$I47=$J$167),FALSE,TRUE)</formula>
    </cfRule>
  </conditionalFormatting>
  <conditionalFormatting sqref="C52">
    <cfRule type="expression" dxfId="1040" priority="527" stopIfTrue="1">
      <formula>IF(OR($A50=0,$I51=$J$167),FALSE,TRUE)</formula>
    </cfRule>
  </conditionalFormatting>
  <conditionalFormatting sqref="C56">
    <cfRule type="expression" dxfId="1039" priority="526" stopIfTrue="1">
      <formula>IF(OR($A54=0,$I55=$J$167),FALSE,TRUE)</formula>
    </cfRule>
  </conditionalFormatting>
  <conditionalFormatting sqref="C60">
    <cfRule type="expression" dxfId="1038" priority="525" stopIfTrue="1">
      <formula>IF(OR($A58=0,$I59=$J$167),FALSE,TRUE)</formula>
    </cfRule>
  </conditionalFormatting>
  <conditionalFormatting sqref="C64">
    <cfRule type="expression" dxfId="1037" priority="524" stopIfTrue="1">
      <formula>IF(OR($A62=0,$I63=$J$167),FALSE,TRUE)</formula>
    </cfRule>
  </conditionalFormatting>
  <conditionalFormatting sqref="C69">
    <cfRule type="expression" dxfId="1036" priority="523" stopIfTrue="1">
      <formula>IF(OR($A67=0,$I68=$J$167),FALSE,TRUE)</formula>
    </cfRule>
  </conditionalFormatting>
  <conditionalFormatting sqref="C73">
    <cfRule type="expression" dxfId="1035" priority="522" stopIfTrue="1">
      <formula>IF(OR($A71=0,$I72=$J$167),FALSE,TRUE)</formula>
    </cfRule>
  </conditionalFormatting>
  <conditionalFormatting sqref="C77">
    <cfRule type="expression" dxfId="1034" priority="521" stopIfTrue="1">
      <formula>IF(OR($A75=0,$I76=$J$167),FALSE,TRUE)</formula>
    </cfRule>
  </conditionalFormatting>
  <conditionalFormatting sqref="C81">
    <cfRule type="expression" dxfId="1033" priority="520" stopIfTrue="1">
      <formula>IF(OR($A79=0,$I80=$J$167),FALSE,TRUE)</formula>
    </cfRule>
  </conditionalFormatting>
  <conditionalFormatting sqref="C85">
    <cfRule type="expression" dxfId="1032" priority="519" stopIfTrue="1">
      <formula>IF(OR($A83=0,$I84=$J$167),FALSE,TRUE)</formula>
    </cfRule>
  </conditionalFormatting>
  <conditionalFormatting sqref="S66">
    <cfRule type="expression" dxfId="1031" priority="471">
      <formula>LEFT(B67,3)=S67</formula>
    </cfRule>
  </conditionalFormatting>
  <conditionalFormatting sqref="B98">
    <cfRule type="expression" dxfId="1030" priority="465" stopIfTrue="1">
      <formula>IF(OR(K97=1,A97&gt;1),1,0)</formula>
    </cfRule>
    <cfRule type="expression" dxfId="1029" priority="466" stopIfTrue="1">
      <formula>$E97&gt;$L97*$F98</formula>
    </cfRule>
  </conditionalFormatting>
  <conditionalFormatting sqref="B101">
    <cfRule type="expression" dxfId="1028" priority="463" stopIfTrue="1">
      <formula>IF(OR(K100=1,A100&gt;1),1,0)</formula>
    </cfRule>
    <cfRule type="expression" dxfId="1027" priority="464" stopIfTrue="1">
      <formula>$E100&gt;$L100*$F101</formula>
    </cfRule>
  </conditionalFormatting>
  <conditionalFormatting sqref="D72">
    <cfRule type="expression" dxfId="1026" priority="440">
      <formula>J73&gt;100</formula>
    </cfRule>
    <cfRule type="expression" dxfId="1025" priority="441">
      <formula>J72=$H$192</formula>
    </cfRule>
  </conditionalFormatting>
  <conditionalFormatting sqref="D76">
    <cfRule type="expression" dxfId="1024" priority="418">
      <formula>J77&gt;100</formula>
    </cfRule>
    <cfRule type="expression" dxfId="1023" priority="419">
      <formula>J76=$H$192</formula>
    </cfRule>
  </conditionalFormatting>
  <conditionalFormatting sqref="D80">
    <cfRule type="expression" dxfId="1022" priority="416">
      <formula>J81&gt;100</formula>
    </cfRule>
    <cfRule type="expression" dxfId="1021" priority="417">
      <formula>J80=$H$192</formula>
    </cfRule>
  </conditionalFormatting>
  <conditionalFormatting sqref="D42">
    <cfRule type="expression" dxfId="1020" priority="402">
      <formula>J43&gt;100</formula>
    </cfRule>
    <cfRule type="expression" dxfId="1019" priority="403">
      <formula>J42=$H$192</formula>
    </cfRule>
  </conditionalFormatting>
  <conditionalFormatting sqref="D34">
    <cfRule type="expression" dxfId="1018" priority="398">
      <formula>J35&gt;100</formula>
    </cfRule>
    <cfRule type="expression" dxfId="1017" priority="399">
      <formula>J34=$H$192</formula>
    </cfRule>
  </conditionalFormatting>
  <conditionalFormatting sqref="D26">
    <cfRule type="expression" dxfId="1016" priority="394">
      <formula>J27&gt;100</formula>
    </cfRule>
    <cfRule type="expression" dxfId="1015" priority="395">
      <formula>J26=$H$192</formula>
    </cfRule>
  </conditionalFormatting>
  <conditionalFormatting sqref="D38">
    <cfRule type="expression" dxfId="1014" priority="400">
      <formula>J39&gt;100</formula>
    </cfRule>
    <cfRule type="expression" dxfId="1013" priority="401">
      <formula>J38=$H$192</formula>
    </cfRule>
  </conditionalFormatting>
  <conditionalFormatting sqref="D30">
    <cfRule type="expression" dxfId="1012" priority="396">
      <formula>J31&gt;100</formula>
    </cfRule>
    <cfRule type="expression" dxfId="1011" priority="397">
      <formula>J30=$H$192</formula>
    </cfRule>
  </conditionalFormatting>
  <conditionalFormatting sqref="C25 C29 C33 C37 C41 C46 C50 C54 C58 C62 C67 C71 C75 C79 C83">
    <cfRule type="expression" dxfId="1010" priority="329">
      <formula>IF(S25=0,0,C25&gt;S27)</formula>
    </cfRule>
  </conditionalFormatting>
  <conditionalFormatting sqref="S70">
    <cfRule type="expression" dxfId="1009" priority="328">
      <formula>LEFT(B71,3)=S71</formula>
    </cfRule>
  </conditionalFormatting>
  <conditionalFormatting sqref="S74">
    <cfRule type="expression" dxfId="1008" priority="326">
      <formula>LEFT(B75,3)=S75</formula>
    </cfRule>
  </conditionalFormatting>
  <conditionalFormatting sqref="S78">
    <cfRule type="expression" dxfId="1007" priority="324">
      <formula>LEFT(B79,3)=S79</formula>
    </cfRule>
  </conditionalFormatting>
  <conditionalFormatting sqref="S82">
    <cfRule type="expression" dxfId="1006" priority="322">
      <formula>LEFT(B83,3)=S83</formula>
    </cfRule>
  </conditionalFormatting>
  <conditionalFormatting sqref="S24">
    <cfRule type="expression" dxfId="1005" priority="320">
      <formula>LEFT(B25,3)=S25</formula>
    </cfRule>
  </conditionalFormatting>
  <conditionalFormatting sqref="S28">
    <cfRule type="expression" dxfId="1004" priority="318">
      <formula>LEFT(B29,3)=S29</formula>
    </cfRule>
  </conditionalFormatting>
  <conditionalFormatting sqref="S32">
    <cfRule type="expression" dxfId="1003" priority="316">
      <formula>LEFT(B33,3)=S33</formula>
    </cfRule>
  </conditionalFormatting>
  <conditionalFormatting sqref="S36">
    <cfRule type="expression" dxfId="1002" priority="314">
      <formula>LEFT(B37,3)=S37</formula>
    </cfRule>
  </conditionalFormatting>
  <conditionalFormatting sqref="S40">
    <cfRule type="expression" dxfId="1001" priority="312">
      <formula>LEFT(B41,3)=S41</formula>
    </cfRule>
  </conditionalFormatting>
  <conditionalFormatting sqref="S45">
    <cfRule type="expression" dxfId="1000" priority="310">
      <formula>LEFT(B46,3)=S46</formula>
    </cfRule>
  </conditionalFormatting>
  <conditionalFormatting sqref="S49">
    <cfRule type="expression" dxfId="999" priority="308">
      <formula>LEFT(B50,3)=S50</formula>
    </cfRule>
  </conditionalFormatting>
  <conditionalFormatting sqref="S53">
    <cfRule type="expression" dxfId="998" priority="306">
      <formula>LEFT(B54,3)=S54</formula>
    </cfRule>
  </conditionalFormatting>
  <conditionalFormatting sqref="S57">
    <cfRule type="expression" dxfId="997" priority="304">
      <formula>LEFT(B58,3)=S58</formula>
    </cfRule>
  </conditionalFormatting>
  <conditionalFormatting sqref="S61">
    <cfRule type="expression" dxfId="996" priority="302">
      <formula>LEFT(B62,3)=S62</formula>
    </cfRule>
  </conditionalFormatting>
  <conditionalFormatting sqref="D47">
    <cfRule type="expression" dxfId="995" priority="299">
      <formula>J48&gt;100</formula>
    </cfRule>
    <cfRule type="expression" dxfId="994" priority="300">
      <formula>J47=$H$192</formula>
    </cfRule>
  </conditionalFormatting>
  <conditionalFormatting sqref="D51">
    <cfRule type="expression" dxfId="993" priority="297">
      <formula>J52&gt;100</formula>
    </cfRule>
    <cfRule type="expression" dxfId="992" priority="298">
      <formula>J51=$H$192</formula>
    </cfRule>
  </conditionalFormatting>
  <conditionalFormatting sqref="D55">
    <cfRule type="expression" dxfId="991" priority="295">
      <formula>J56&gt;100</formula>
    </cfRule>
    <cfRule type="expression" dxfId="990" priority="296">
      <formula>J55=$H$192</formula>
    </cfRule>
  </conditionalFormatting>
  <conditionalFormatting sqref="D59">
    <cfRule type="expression" dxfId="989" priority="293">
      <formula>J60&gt;100</formula>
    </cfRule>
    <cfRule type="expression" dxfId="988" priority="294">
      <formula>J59=$H$192</formula>
    </cfRule>
  </conditionalFormatting>
  <conditionalFormatting sqref="D63">
    <cfRule type="expression" dxfId="987" priority="291">
      <formula>J64&gt;100</formula>
    </cfRule>
    <cfRule type="expression" dxfId="986" priority="292">
      <formula>J63=$H$192</formula>
    </cfRule>
  </conditionalFormatting>
  <conditionalFormatting sqref="J5 J8:J20">
    <cfRule type="expression" dxfId="985" priority="101698" stopIfTrue="1">
      <formula>IF(R5=0,0,IF(ISERROR(VLOOKUP(J5,$A$167:$A$183,1,FALSE)),TRUE,FALSE))</formula>
    </cfRule>
    <cfRule type="expression" dxfId="984" priority="101699" stopIfTrue="1">
      <formula>IF(V5=0,0,BH5&gt;0)</formula>
    </cfRule>
  </conditionalFormatting>
  <conditionalFormatting sqref="K5 K8:K20">
    <cfRule type="expression" dxfId="983" priority="101702" stopIfTrue="1">
      <formula>IF(R5=0,0,IF(ISERROR(VLOOKUP(K5,$A$167:$A$190,1,FALSE)),TRUE,FALSE))</formula>
    </cfRule>
    <cfRule type="expression" dxfId="982" priority="101703" stopIfTrue="1">
      <formula>IF(V5=0,0,BI5&gt;0)</formula>
    </cfRule>
  </conditionalFormatting>
  <conditionalFormatting sqref="L5 L8:L20">
    <cfRule type="expression" dxfId="981" priority="101706" stopIfTrue="1">
      <formula>IF(R5=0,0,IF(ISERROR(VLOOKUP(L5,$A$167:$A$184,1,FALSE)),TRUE,FALSE))</formula>
    </cfRule>
    <cfRule type="expression" dxfId="980" priority="101707" stopIfTrue="1">
      <formula>IF(V5=0,0,BJ5&gt;0)</formula>
    </cfRule>
  </conditionalFormatting>
  <conditionalFormatting sqref="M5 M8:M20">
    <cfRule type="expression" dxfId="979" priority="101710" stopIfTrue="1">
      <formula>IF(R5=0,0,IF(ISERROR(VLOOKUP(M5,$A$167:$A$184,1,FALSE)),TRUE,FALSE))</formula>
    </cfRule>
    <cfRule type="expression" dxfId="978" priority="101711" stopIfTrue="1">
      <formula>IF(V5=0,0,BK5&gt;0)</formula>
    </cfRule>
  </conditionalFormatting>
  <conditionalFormatting sqref="N5 N8:N20">
    <cfRule type="expression" dxfId="977" priority="101714" stopIfTrue="1">
      <formula>IF(R5=0,0,IF(ISERROR(VLOOKUP(N5,$A$167:$A$184,1,FALSE)),TRUE,FALSE))</formula>
    </cfRule>
    <cfRule type="expression" dxfId="976" priority="101715" stopIfTrue="1">
      <formula>IF(V5=0,0,BL5&gt;0)</formula>
    </cfRule>
  </conditionalFormatting>
  <conditionalFormatting sqref="O5 O8:O20">
    <cfRule type="expression" dxfId="975" priority="101718" stopIfTrue="1">
      <formula>IF(R5=0,0,IF(ISERROR(VLOOKUP(O5,$A$167:$A$190,1,FALSE)),TRUE,FALSE))</formula>
    </cfRule>
    <cfRule type="expression" dxfId="974" priority="101719" stopIfTrue="1">
      <formula>SUM(CY5:CZ5)&gt;0</formula>
    </cfRule>
    <cfRule type="expression" dxfId="973" priority="101720" stopIfTrue="1">
      <formula>IF(CW5=0,0,IF(OR(CW5=" imagery",BO5&gt;0),TRUE,FALSE))</formula>
    </cfRule>
  </conditionalFormatting>
  <conditionalFormatting sqref="Q5 Q8:Q20">
    <cfRule type="expression" dxfId="972" priority="101724">
      <formula>IF(R5=0,0,IF(ISERROR(VLOOKUP(Q5,$A$167:$A$184,1,FALSE)),1,0))</formula>
    </cfRule>
    <cfRule type="expression" dxfId="971" priority="101725">
      <formula>IF(V5=0,0,BO5&gt;0)</formula>
    </cfRule>
  </conditionalFormatting>
  <conditionalFormatting sqref="I68 I72 I76 I80 I84 I63 I59 I55 I51 I47 I42 I38 I34 I26 I30">
    <cfRule type="expression" dxfId="970" priority="364">
      <formula>IF(LEFT(B25,3)=S25,I26=$H$189)</formula>
    </cfRule>
    <cfRule type="expression" dxfId="969" priority="366" stopIfTrue="1">
      <formula>SUM(M27:N27)&gt;0</formula>
    </cfRule>
    <cfRule type="expression" dxfId="968" priority="101731" stopIfTrue="1">
      <formula>IF(I26=$J$167,FALSE,TRUE)</formula>
    </cfRule>
  </conditionalFormatting>
  <conditionalFormatting sqref="D84">
    <cfRule type="expression" dxfId="967" priority="216">
      <formula>J85&gt;100</formula>
    </cfRule>
    <cfRule type="expression" dxfId="966" priority="217">
      <formula>J84=$H$192</formula>
    </cfRule>
  </conditionalFormatting>
  <conditionalFormatting sqref="BX6">
    <cfRule type="expression" dxfId="965" priority="213" stopIfTrue="1">
      <formula>IF(CW6&gt;0,BX6&gt;0,0)</formula>
    </cfRule>
  </conditionalFormatting>
  <conditionalFormatting sqref="CG6">
    <cfRule type="expression" dxfId="964" priority="212" stopIfTrue="1">
      <formula>IF(CW6&gt;0,CG6&gt;0,0)</formula>
    </cfRule>
  </conditionalFormatting>
  <conditionalFormatting sqref="T6">
    <cfRule type="expression" dxfId="963" priority="211" stopIfTrue="1">
      <formula>T6=CP6</formula>
    </cfRule>
  </conditionalFormatting>
  <conditionalFormatting sqref="CF6">
    <cfRule type="expression" dxfId="962" priority="210" stopIfTrue="1">
      <formula>IF(CW6&gt;0,CF6&gt;0,0)</formula>
    </cfRule>
  </conditionalFormatting>
  <conditionalFormatting sqref="BR6">
    <cfRule type="expression" dxfId="961" priority="209" stopIfTrue="1">
      <formula>IF(CW6&gt;0,BR6&gt;0,0)</formula>
    </cfRule>
  </conditionalFormatting>
  <conditionalFormatting sqref="CE6">
    <cfRule type="expression" dxfId="960" priority="208" stopIfTrue="1">
      <formula>IF(CW6&gt;0,CE6&gt;0,0)</formula>
    </cfRule>
  </conditionalFormatting>
  <conditionalFormatting sqref="BS6">
    <cfRule type="expression" dxfId="959" priority="207" stopIfTrue="1">
      <formula>IF(CW6&gt;0,BS6&gt;0,0)</formula>
    </cfRule>
  </conditionalFormatting>
  <conditionalFormatting sqref="BF6">
    <cfRule type="expression" dxfId="958" priority="206" stopIfTrue="1">
      <formula>IF(V6&gt;0,BF6&gt;0,0)</formula>
    </cfRule>
  </conditionalFormatting>
  <conditionalFormatting sqref="BE6">
    <cfRule type="expression" dxfId="957" priority="205" stopIfTrue="1">
      <formula>IF(V6&gt;0,BE6&gt;0,0)</formula>
    </cfRule>
  </conditionalFormatting>
  <conditionalFormatting sqref="BD6">
    <cfRule type="expression" dxfId="956" priority="204" stopIfTrue="1">
      <formula>IF(V6&gt;0,BD6&gt;0,0)</formula>
    </cfRule>
  </conditionalFormatting>
  <conditionalFormatting sqref="BC6">
    <cfRule type="expression" dxfId="955" priority="203" stopIfTrue="1">
      <formula>IF(V6&gt;0,BC6&gt;0,0)</formula>
    </cfRule>
  </conditionalFormatting>
  <conditionalFormatting sqref="BA6">
    <cfRule type="expression" dxfId="954" priority="202" stopIfTrue="1">
      <formula>IF(V6&gt;0,BA6&gt;0,0)</formula>
    </cfRule>
  </conditionalFormatting>
  <conditionalFormatting sqref="AA6">
    <cfRule type="expression" dxfId="953" priority="201" stopIfTrue="1">
      <formula>IF(V6&gt;0,AA6&gt;0,0)</formula>
    </cfRule>
  </conditionalFormatting>
  <conditionalFormatting sqref="AC6">
    <cfRule type="expression" dxfId="952" priority="200" stopIfTrue="1">
      <formula>IF(V6&gt;0,AC6&gt;0,0)</formula>
    </cfRule>
  </conditionalFormatting>
  <conditionalFormatting sqref="AG6">
    <cfRule type="expression" dxfId="951" priority="199" stopIfTrue="1">
      <formula>IF(V6&gt;0,AG6&gt;0,0)</formula>
    </cfRule>
  </conditionalFormatting>
  <conditionalFormatting sqref="AS6">
    <cfRule type="expression" dxfId="950" priority="198" stopIfTrue="1">
      <formula>IF(V6&gt;0,AS6&gt;0,0)</formula>
    </cfRule>
  </conditionalFormatting>
  <conditionalFormatting sqref="AU6">
    <cfRule type="expression" dxfId="949" priority="197" stopIfTrue="1">
      <formula>IF(V6&gt;0,AU6&gt;0,0)</formula>
    </cfRule>
  </conditionalFormatting>
  <conditionalFormatting sqref="AW6">
    <cfRule type="expression" dxfId="948" priority="196" stopIfTrue="1">
      <formula>IF(V6&gt;0,AW6&gt;0,0)</formula>
    </cfRule>
  </conditionalFormatting>
  <conditionalFormatting sqref="AY6">
    <cfRule type="expression" dxfId="947" priority="195" stopIfTrue="1">
      <formula>IF(V6&gt;0,AY6&gt;0,0)</formula>
    </cfRule>
  </conditionalFormatting>
  <conditionalFormatting sqref="AD6">
    <cfRule type="expression" dxfId="946" priority="194" stopIfTrue="1">
      <formula>IF(V6&gt;0,AD6&gt;0,0)</formula>
    </cfRule>
  </conditionalFormatting>
  <conditionalFormatting sqref="AE6">
    <cfRule type="expression" dxfId="945" priority="193" stopIfTrue="1">
      <formula>IF(V6&gt;0,AE6&gt;0,0)</formula>
    </cfRule>
  </conditionalFormatting>
  <conditionalFormatting sqref="R6">
    <cfRule type="expression" dxfId="944" priority="192" stopIfTrue="1">
      <formula>CX6&gt;0</formula>
    </cfRule>
  </conditionalFormatting>
  <conditionalFormatting sqref="BW6">
    <cfRule type="expression" dxfId="943" priority="191" stopIfTrue="1">
      <formula>IF(CW6&gt;0,BW6&gt;0,0)</formula>
    </cfRule>
  </conditionalFormatting>
  <conditionalFormatting sqref="CC6">
    <cfRule type="expression" dxfId="942" priority="190" stopIfTrue="1">
      <formula>IF(CW6&gt;0,CC6&gt;0,0)</formula>
    </cfRule>
  </conditionalFormatting>
  <conditionalFormatting sqref="CD6">
    <cfRule type="expression" dxfId="941" priority="189" stopIfTrue="1">
      <formula>IF(CW6&gt;0,CD6&gt;0,0)</formula>
    </cfRule>
  </conditionalFormatting>
  <conditionalFormatting sqref="BV6">
    <cfRule type="expression" dxfId="940" priority="188" stopIfTrue="1">
      <formula>IF(CW6&gt;0,BV6&gt;0,0)</formula>
    </cfRule>
  </conditionalFormatting>
  <conditionalFormatting sqref="BU6">
    <cfRule type="expression" dxfId="939" priority="187" stopIfTrue="1">
      <formula>IF(CW6&gt;0,BU6&gt;0,0)</formula>
    </cfRule>
  </conditionalFormatting>
  <conditionalFormatting sqref="BT6">
    <cfRule type="expression" dxfId="938" priority="186" stopIfTrue="1">
      <formula>IF(CW6&gt;0,BT6&gt;0,0)</formula>
    </cfRule>
  </conditionalFormatting>
  <conditionalFormatting sqref="BQ6">
    <cfRule type="expression" dxfId="937" priority="185" stopIfTrue="1">
      <formula>IF(CW6&gt;0,BQ6&gt;0,0)</formula>
    </cfRule>
  </conditionalFormatting>
  <conditionalFormatting sqref="AJ6 AL6 AN6 AP6 AR6 BB6 AZ6 AX6 AV6 AT6 AH6 AF6 Z6 AB6">
    <cfRule type="expression" dxfId="936" priority="184" stopIfTrue="1">
      <formula>IF($V6&gt;0,Z6&gt;0,0)</formula>
    </cfRule>
  </conditionalFormatting>
  <conditionalFormatting sqref="F6:G6">
    <cfRule type="expression" dxfId="935" priority="182" stopIfTrue="1">
      <formula>IF($T6=0,$F6&gt;$H6,0)</formula>
    </cfRule>
    <cfRule type="expression" dxfId="934" priority="183" stopIfTrue="1">
      <formula>IF($T6=0,$F6&gt;0.5*$H6,0)</formula>
    </cfRule>
  </conditionalFormatting>
  <conditionalFormatting sqref="P6">
    <cfRule type="expression" dxfId="933" priority="181" stopIfTrue="1">
      <formula>IF(R6=0,0,BO6&gt;0)</formula>
    </cfRule>
  </conditionalFormatting>
  <conditionalFormatting sqref="Y6">
    <cfRule type="expression" dxfId="932" priority="180" stopIfTrue="1">
      <formula>IF(V6&gt;0,Y6&gt;0,0)</formula>
    </cfRule>
  </conditionalFormatting>
  <conditionalFormatting sqref="E6">
    <cfRule type="expression" dxfId="931" priority="177">
      <formula>IF(OR(D6&lt;1000,NOT($D$4=$CI$2)),IF($V6=0,0,IF(C6+D6=0,0,IF(ABS(U6-T6)&lt;0.05,0,IF(U6-T6&lt;0.05,1,IF(U6&lt;0.01,TRUE,T6&lt;0.01))))),0)</formula>
    </cfRule>
    <cfRule type="expression" dxfId="930" priority="178">
      <formula>IF($T6=0,0,IF(C6+D6=0,0,E6&lt;X6))</formula>
    </cfRule>
  </conditionalFormatting>
  <conditionalFormatting sqref="X6">
    <cfRule type="expression" dxfId="929" priority="175" stopIfTrue="1">
      <formula>IF(OR(D6&lt;1000,NOT($D$4=$CI$2)),IF($V6=0,0,IF(C6+D6=0,0,IF(ABS($T6-$U6)&lt;0.05,0,IF(U6&lt;0.01,TRUE,T6&lt;0.01)))),0)</formula>
    </cfRule>
    <cfRule type="expression" dxfId="928" priority="176" stopIfTrue="1">
      <formula>IF($T6=0,0,X6=CQ6)</formula>
    </cfRule>
  </conditionalFormatting>
  <conditionalFormatting sqref="I6">
    <cfRule type="expression" dxfId="927" priority="173" stopIfTrue="1">
      <formula>IF(R6="",I6&gt;0.99,0)</formula>
    </cfRule>
    <cfRule type="expression" dxfId="926" priority="174" stopIfTrue="1">
      <formula>I6=BG6</formula>
    </cfRule>
  </conditionalFormatting>
  <conditionalFormatting sqref="CB6">
    <cfRule type="expression" dxfId="925" priority="172" stopIfTrue="1">
      <formula>IF(CW6&gt;0,CB6&gt;0,0)</formula>
    </cfRule>
  </conditionalFormatting>
  <conditionalFormatting sqref="CA6">
    <cfRule type="expression" dxfId="924" priority="171" stopIfTrue="1">
      <formula>IF(CW6&gt;0,CA6&gt;0,0)</formula>
    </cfRule>
  </conditionalFormatting>
  <conditionalFormatting sqref="BZ6">
    <cfRule type="expression" dxfId="923" priority="170" stopIfTrue="1">
      <formula>IF(CW6&gt;0,BZ6&gt;0,0)</formula>
    </cfRule>
  </conditionalFormatting>
  <conditionalFormatting sqref="BY6">
    <cfRule type="expression" dxfId="922" priority="169" stopIfTrue="1">
      <formula>IF(CW6&gt;0,BY6&gt;0,0)</formula>
    </cfRule>
  </conditionalFormatting>
  <conditionalFormatting sqref="AQ6">
    <cfRule type="expression" dxfId="921" priority="168" stopIfTrue="1">
      <formula>IF(T6&gt;0,AQ6&gt;0,0)</formula>
    </cfRule>
  </conditionalFormatting>
  <conditionalFormatting sqref="AO6">
    <cfRule type="expression" dxfId="920" priority="167" stopIfTrue="1">
      <formula>IF(R6&gt;0,AO6&gt;0,0)</formula>
    </cfRule>
  </conditionalFormatting>
  <conditionalFormatting sqref="AM6">
    <cfRule type="expression" dxfId="919" priority="166" stopIfTrue="1">
      <formula>IF(P6&gt;0,AM6&gt;0,0)</formula>
    </cfRule>
  </conditionalFormatting>
  <conditionalFormatting sqref="AK6">
    <cfRule type="expression" dxfId="918" priority="165" stopIfTrue="1">
      <formula>IF(N6&gt;0,AK6&gt;0,0)</formula>
    </cfRule>
  </conditionalFormatting>
  <conditionalFormatting sqref="AI6">
    <cfRule type="expression" dxfId="917" priority="164" stopIfTrue="1">
      <formula>IF(L6&gt;0,AI6&gt;0,0)</formula>
    </cfRule>
  </conditionalFormatting>
  <conditionalFormatting sqref="C6">
    <cfRule type="expression" dxfId="916" priority="162" stopIfTrue="1">
      <formula>IF($V6=0,0,IF(C6=0,0,ABS($T6-$U6)&lt;0.05))</formula>
    </cfRule>
    <cfRule type="expression" dxfId="915" priority="163" stopIfTrue="1">
      <formula>IF(C6=0,0,OR(U6&lt;T6,T6=0))</formula>
    </cfRule>
  </conditionalFormatting>
  <conditionalFormatting sqref="D6">
    <cfRule type="expression" dxfId="914" priority="160" stopIfTrue="1">
      <formula>IF($V6=0,0,IF(D6=0,0,ABS($T6-$U6)&lt;0.05))</formula>
    </cfRule>
    <cfRule type="expression" dxfId="913" priority="161" stopIfTrue="1">
      <formula>OR(IF(D6&lt;1000,0,V6/BP6&gt;100),IF(OR(D6=0,D6="Services"),0,OR(U6&lt;T6,T6=0)))</formula>
    </cfRule>
  </conditionalFormatting>
  <conditionalFormatting sqref="J6">
    <cfRule type="expression" dxfId="912" priority="156" stopIfTrue="1">
      <formula>IF(R6=0,0,IF(ISERROR(VLOOKUP(J6,$A$167:$A$183,1,FALSE)),TRUE,FALSE))</formula>
    </cfRule>
    <cfRule type="expression" dxfId="911" priority="157" stopIfTrue="1">
      <formula>IF(V6=0,0,BH6&gt;0)</formula>
    </cfRule>
  </conditionalFormatting>
  <conditionalFormatting sqref="K6">
    <cfRule type="expression" dxfId="910" priority="154" stopIfTrue="1">
      <formula>IF(R6=0,0,IF(ISERROR(VLOOKUP(K6,$A$167:$A$190,1,FALSE)),TRUE,FALSE))</formula>
    </cfRule>
    <cfRule type="expression" dxfId="909" priority="155" stopIfTrue="1">
      <formula>IF(V6=0,0,BI6&gt;0)</formula>
    </cfRule>
  </conditionalFormatting>
  <conditionalFormatting sqref="L6">
    <cfRule type="expression" dxfId="908" priority="152" stopIfTrue="1">
      <formula>IF(R6=0,0,IF(ISERROR(VLOOKUP(L6,$A$167:$A$184,1,FALSE)),TRUE,FALSE))</formula>
    </cfRule>
    <cfRule type="expression" dxfId="907" priority="153" stopIfTrue="1">
      <formula>IF(V6=0,0,BJ6&gt;0)</formula>
    </cfRule>
  </conditionalFormatting>
  <conditionalFormatting sqref="M6">
    <cfRule type="expression" dxfId="906" priority="150" stopIfTrue="1">
      <formula>IF(R6=0,0,IF(ISERROR(VLOOKUP(M6,$A$167:$A$184,1,FALSE)),TRUE,FALSE))</formula>
    </cfRule>
    <cfRule type="expression" dxfId="905" priority="151" stopIfTrue="1">
      <formula>IF(V6=0,0,BK6&gt;0)</formula>
    </cfRule>
  </conditionalFormatting>
  <conditionalFormatting sqref="N6">
    <cfRule type="expression" dxfId="904" priority="148" stopIfTrue="1">
      <formula>IF(R6=0,0,IF(ISERROR(VLOOKUP(N6,$A$167:$A$184,1,FALSE)),TRUE,FALSE))</formula>
    </cfRule>
    <cfRule type="expression" dxfId="903" priority="149" stopIfTrue="1">
      <formula>IF(V6=0,0,BL6&gt;0)</formula>
    </cfRule>
  </conditionalFormatting>
  <conditionalFormatting sqref="O6">
    <cfRule type="expression" dxfId="902" priority="145" stopIfTrue="1">
      <formula>IF(R6=0,0,IF(ISERROR(VLOOKUP(O6,$A$167:$A$190,1,FALSE)),TRUE,FALSE))</formula>
    </cfRule>
    <cfRule type="expression" dxfId="901" priority="146" stopIfTrue="1">
      <formula>SUM(CY6:CZ6)&gt;0</formula>
    </cfRule>
    <cfRule type="expression" dxfId="900" priority="147" stopIfTrue="1">
      <formula>IF(CW6=0,0,IF(OR(CW6=" imagery",BO6&gt;0),TRUE,FALSE))</formula>
    </cfRule>
  </conditionalFormatting>
  <conditionalFormatting sqref="Q6">
    <cfRule type="expression" dxfId="899" priority="143">
      <formula>IF(R6=0,0,IF(ISERROR(VLOOKUP(Q6,$A$167:$A$184,1,FALSE)),1,0))</formula>
    </cfRule>
    <cfRule type="expression" dxfId="898" priority="144">
      <formula>IF(V6=0,0,BO6&gt;0)</formula>
    </cfRule>
  </conditionalFormatting>
  <conditionalFormatting sqref="BX7">
    <cfRule type="expression" dxfId="897" priority="142" stopIfTrue="1">
      <formula>IF(CW7&gt;0,BX7&gt;0,0)</formula>
    </cfRule>
  </conditionalFormatting>
  <conditionalFormatting sqref="CG7">
    <cfRule type="expression" dxfId="896" priority="141" stopIfTrue="1">
      <formula>IF(CW7&gt;0,CG7&gt;0,0)</formula>
    </cfRule>
  </conditionalFormatting>
  <conditionalFormatting sqref="T7">
    <cfRule type="expression" dxfId="895" priority="140" stopIfTrue="1">
      <formula>T7=CP7</formula>
    </cfRule>
  </conditionalFormatting>
  <conditionalFormatting sqref="CF7">
    <cfRule type="expression" dxfId="894" priority="139" stopIfTrue="1">
      <formula>IF(CW7&gt;0,CF7&gt;0,0)</formula>
    </cfRule>
  </conditionalFormatting>
  <conditionalFormatting sqref="BR7">
    <cfRule type="expression" dxfId="893" priority="138" stopIfTrue="1">
      <formula>IF(CW7&gt;0,BR7&gt;0,0)</formula>
    </cfRule>
  </conditionalFormatting>
  <conditionalFormatting sqref="CE7">
    <cfRule type="expression" dxfId="892" priority="137" stopIfTrue="1">
      <formula>IF(CW7&gt;0,CE7&gt;0,0)</formula>
    </cfRule>
  </conditionalFormatting>
  <conditionalFormatting sqref="BS7">
    <cfRule type="expression" dxfId="891" priority="136" stopIfTrue="1">
      <formula>IF(CW7&gt;0,BS7&gt;0,0)</formula>
    </cfRule>
  </conditionalFormatting>
  <conditionalFormatting sqref="BF7">
    <cfRule type="expression" dxfId="890" priority="135" stopIfTrue="1">
      <formula>IF(V7&gt;0,BF7&gt;0,0)</formula>
    </cfRule>
  </conditionalFormatting>
  <conditionalFormatting sqref="BE7">
    <cfRule type="expression" dxfId="889" priority="134" stopIfTrue="1">
      <formula>IF(V7&gt;0,BE7&gt;0,0)</formula>
    </cfRule>
  </conditionalFormatting>
  <conditionalFormatting sqref="BD7">
    <cfRule type="expression" dxfId="888" priority="133" stopIfTrue="1">
      <formula>IF(V7&gt;0,BD7&gt;0,0)</formula>
    </cfRule>
  </conditionalFormatting>
  <conditionalFormatting sqref="BC7">
    <cfRule type="expression" dxfId="887" priority="132" stopIfTrue="1">
      <formula>IF(V7&gt;0,BC7&gt;0,0)</formula>
    </cfRule>
  </conditionalFormatting>
  <conditionalFormatting sqref="BA7">
    <cfRule type="expression" dxfId="886" priority="131" stopIfTrue="1">
      <formula>IF(V7&gt;0,BA7&gt;0,0)</formula>
    </cfRule>
  </conditionalFormatting>
  <conditionalFormatting sqref="AA7">
    <cfRule type="expression" dxfId="885" priority="130" stopIfTrue="1">
      <formula>IF(V7&gt;0,AA7&gt;0,0)</formula>
    </cfRule>
  </conditionalFormatting>
  <conditionalFormatting sqref="AC7">
    <cfRule type="expression" dxfId="884" priority="129" stopIfTrue="1">
      <formula>IF(V7&gt;0,AC7&gt;0,0)</formula>
    </cfRule>
  </conditionalFormatting>
  <conditionalFormatting sqref="AG7">
    <cfRule type="expression" dxfId="883" priority="128" stopIfTrue="1">
      <formula>IF(V7&gt;0,AG7&gt;0,0)</formula>
    </cfRule>
  </conditionalFormatting>
  <conditionalFormatting sqref="AS7">
    <cfRule type="expression" dxfId="882" priority="127" stopIfTrue="1">
      <formula>IF(V7&gt;0,AS7&gt;0,0)</formula>
    </cfRule>
  </conditionalFormatting>
  <conditionalFormatting sqref="AU7">
    <cfRule type="expression" dxfId="881" priority="126" stopIfTrue="1">
      <formula>IF(V7&gt;0,AU7&gt;0,0)</formula>
    </cfRule>
  </conditionalFormatting>
  <conditionalFormatting sqref="AW7">
    <cfRule type="expression" dxfId="880" priority="125" stopIfTrue="1">
      <formula>IF(V7&gt;0,AW7&gt;0,0)</formula>
    </cfRule>
  </conditionalFormatting>
  <conditionalFormatting sqref="AY7">
    <cfRule type="expression" dxfId="879" priority="124" stopIfTrue="1">
      <formula>IF(V7&gt;0,AY7&gt;0,0)</formula>
    </cfRule>
  </conditionalFormatting>
  <conditionalFormatting sqref="AD7">
    <cfRule type="expression" dxfId="878" priority="123" stopIfTrue="1">
      <formula>IF(V7&gt;0,AD7&gt;0,0)</formula>
    </cfRule>
  </conditionalFormatting>
  <conditionalFormatting sqref="AE7">
    <cfRule type="expression" dxfId="877" priority="122" stopIfTrue="1">
      <formula>IF(V7&gt;0,AE7&gt;0,0)</formula>
    </cfRule>
  </conditionalFormatting>
  <conditionalFormatting sqref="R7">
    <cfRule type="expression" dxfId="876" priority="121" stopIfTrue="1">
      <formula>CX7&gt;0</formula>
    </cfRule>
  </conditionalFormatting>
  <conditionalFormatting sqref="BW7">
    <cfRule type="expression" dxfId="875" priority="120" stopIfTrue="1">
      <formula>IF(CW7&gt;0,BW7&gt;0,0)</formula>
    </cfRule>
  </conditionalFormatting>
  <conditionalFormatting sqref="CC7">
    <cfRule type="expression" dxfId="874" priority="119" stopIfTrue="1">
      <formula>IF(CW7&gt;0,CC7&gt;0,0)</formula>
    </cfRule>
  </conditionalFormatting>
  <conditionalFormatting sqref="CD7">
    <cfRule type="expression" dxfId="873" priority="118" stopIfTrue="1">
      <formula>IF(CW7&gt;0,CD7&gt;0,0)</formula>
    </cfRule>
  </conditionalFormatting>
  <conditionalFormatting sqref="BV7">
    <cfRule type="expression" dxfId="872" priority="117" stopIfTrue="1">
      <formula>IF(CW7&gt;0,BV7&gt;0,0)</formula>
    </cfRule>
  </conditionalFormatting>
  <conditionalFormatting sqref="BU7">
    <cfRule type="expression" dxfId="871" priority="116" stopIfTrue="1">
      <formula>IF(CW7&gt;0,BU7&gt;0,0)</formula>
    </cfRule>
  </conditionalFormatting>
  <conditionalFormatting sqref="BT7">
    <cfRule type="expression" dxfId="870" priority="115" stopIfTrue="1">
      <formula>IF(CW7&gt;0,BT7&gt;0,0)</formula>
    </cfRule>
  </conditionalFormatting>
  <conditionalFormatting sqref="BQ7">
    <cfRule type="expression" dxfId="869" priority="114" stopIfTrue="1">
      <formula>IF(CW7&gt;0,BQ7&gt;0,0)</formula>
    </cfRule>
  </conditionalFormatting>
  <conditionalFormatting sqref="AJ7 AL7 AN7 AP7 AR7 BB7 AZ7 AX7 AV7 AT7 AH7 AF7 Z7 AB7">
    <cfRule type="expression" dxfId="868" priority="113" stopIfTrue="1">
      <formula>IF($V7&gt;0,Z7&gt;0,0)</formula>
    </cfRule>
  </conditionalFormatting>
  <conditionalFormatting sqref="F7:G7">
    <cfRule type="expression" dxfId="867" priority="111" stopIfTrue="1">
      <formula>IF($T7=0,$F7&gt;$H7,0)</formula>
    </cfRule>
    <cfRule type="expression" dxfId="866" priority="112" stopIfTrue="1">
      <formula>IF($T7=0,$F7&gt;0.5*$H7,0)</formula>
    </cfRule>
  </conditionalFormatting>
  <conditionalFormatting sqref="P7">
    <cfRule type="expression" dxfId="865" priority="110" stopIfTrue="1">
      <formula>IF(R7=0,0,BO7&gt;0)</formula>
    </cfRule>
  </conditionalFormatting>
  <conditionalFormatting sqref="Y7">
    <cfRule type="expression" dxfId="864" priority="109" stopIfTrue="1">
      <formula>IF(V7&gt;0,Y7&gt;0,0)</formula>
    </cfRule>
  </conditionalFormatting>
  <conditionalFormatting sqref="E7">
    <cfRule type="expression" dxfId="863" priority="106">
      <formula>IF(OR(D7&lt;1000,NOT($D$4=$CI$2)),IF($V7=0,0,IF(C7+D7=0,0,IF(ABS(U7-T7)&lt;0.05,0,IF(U7-T7&lt;0.05,1,IF(U7&lt;0.01,TRUE,T7&lt;0.01))))),0)</formula>
    </cfRule>
    <cfRule type="expression" dxfId="862" priority="107">
      <formula>IF($T7=0,0,IF(C7+D7=0,0,E7&lt;X7))</formula>
    </cfRule>
  </conditionalFormatting>
  <conditionalFormatting sqref="X7">
    <cfRule type="expression" dxfId="861" priority="104" stopIfTrue="1">
      <formula>IF(OR(D7&lt;1000,NOT($D$4=$CI$2)),IF($V7=0,0,IF(C7+D7=0,0,IF(ABS($T7-$U7)&lt;0.05,0,IF(U7&lt;0.01,TRUE,T7&lt;0.01)))),0)</formula>
    </cfRule>
    <cfRule type="expression" dxfId="860" priority="105" stopIfTrue="1">
      <formula>IF($T7=0,0,X7=CQ7)</formula>
    </cfRule>
  </conditionalFormatting>
  <conditionalFormatting sqref="I7">
    <cfRule type="expression" dxfId="859" priority="102" stopIfTrue="1">
      <formula>IF(R7="",I7&gt;0.99,0)</formula>
    </cfRule>
    <cfRule type="expression" dxfId="858" priority="103" stopIfTrue="1">
      <formula>I7=BG7</formula>
    </cfRule>
  </conditionalFormatting>
  <conditionalFormatting sqref="CB7">
    <cfRule type="expression" dxfId="857" priority="101" stopIfTrue="1">
      <formula>IF(CW7&gt;0,CB7&gt;0,0)</formula>
    </cfRule>
  </conditionalFormatting>
  <conditionalFormatting sqref="CA7">
    <cfRule type="expression" dxfId="856" priority="100" stopIfTrue="1">
      <formula>IF(CW7&gt;0,CA7&gt;0,0)</formula>
    </cfRule>
  </conditionalFormatting>
  <conditionalFormatting sqref="BZ7">
    <cfRule type="expression" dxfId="855" priority="99" stopIfTrue="1">
      <formula>IF(CW7&gt;0,BZ7&gt;0,0)</formula>
    </cfRule>
  </conditionalFormatting>
  <conditionalFormatting sqref="BY7">
    <cfRule type="expression" dxfId="854" priority="98" stopIfTrue="1">
      <formula>IF(CW7&gt;0,BY7&gt;0,0)</formula>
    </cfRule>
  </conditionalFormatting>
  <conditionalFormatting sqref="AQ7">
    <cfRule type="expression" dxfId="853" priority="97" stopIfTrue="1">
      <formula>IF(T7&gt;0,AQ7&gt;0,0)</formula>
    </cfRule>
  </conditionalFormatting>
  <conditionalFormatting sqref="AO7">
    <cfRule type="expression" dxfId="852" priority="96" stopIfTrue="1">
      <formula>IF(R7&gt;0,AO7&gt;0,0)</formula>
    </cfRule>
  </conditionalFormatting>
  <conditionalFormatting sqref="AM7">
    <cfRule type="expression" dxfId="851" priority="95" stopIfTrue="1">
      <formula>IF(P7&gt;0,AM7&gt;0,0)</formula>
    </cfRule>
  </conditionalFormatting>
  <conditionalFormatting sqref="AK7">
    <cfRule type="expression" dxfId="850" priority="94" stopIfTrue="1">
      <formula>IF(N7&gt;0,AK7&gt;0,0)</formula>
    </cfRule>
  </conditionalFormatting>
  <conditionalFormatting sqref="AI7">
    <cfRule type="expression" dxfId="849" priority="93" stopIfTrue="1">
      <formula>IF(L7&gt;0,AI7&gt;0,0)</formula>
    </cfRule>
  </conditionalFormatting>
  <conditionalFormatting sqref="C7">
    <cfRule type="expression" dxfId="848" priority="91" stopIfTrue="1">
      <formula>IF($V7=0,0,IF(C7=0,0,ABS($T7-$U7)&lt;0.05))</formula>
    </cfRule>
    <cfRule type="expression" dxfId="847" priority="92" stopIfTrue="1">
      <formula>IF(C7=0,0,OR(U7&lt;T7,T7=0))</formula>
    </cfRule>
  </conditionalFormatting>
  <conditionalFormatting sqref="D7">
    <cfRule type="expression" dxfId="846" priority="89" stopIfTrue="1">
      <formula>IF($V7=0,0,IF(D7=0,0,ABS($T7-$U7)&lt;0.05))</formula>
    </cfRule>
    <cfRule type="expression" dxfId="845" priority="90" stopIfTrue="1">
      <formula>OR(IF(D7&lt;1000,0,V7/BP7&gt;100),IF(OR(D7=0,D7="Services"),0,OR(U7&lt;T7,T7=0)))</formula>
    </cfRule>
  </conditionalFormatting>
  <conditionalFormatting sqref="J7">
    <cfRule type="expression" dxfId="844" priority="85" stopIfTrue="1">
      <formula>IF(R7=0,0,IF(ISERROR(VLOOKUP(J7,$A$167:$A$183,1,FALSE)),TRUE,FALSE))</formula>
    </cfRule>
    <cfRule type="expression" dxfId="843" priority="86" stopIfTrue="1">
      <formula>IF(V7=0,0,BH7&gt;0)</formula>
    </cfRule>
  </conditionalFormatting>
  <conditionalFormatting sqref="K7">
    <cfRule type="expression" dxfId="842" priority="83" stopIfTrue="1">
      <formula>IF(R7=0,0,IF(ISERROR(VLOOKUP(K7,$A$167:$A$190,1,FALSE)),TRUE,FALSE))</formula>
    </cfRule>
    <cfRule type="expression" dxfId="841" priority="84" stopIfTrue="1">
      <formula>IF(V7=0,0,BI7&gt;0)</formula>
    </cfRule>
  </conditionalFormatting>
  <conditionalFormatting sqref="L7">
    <cfRule type="expression" dxfId="840" priority="81" stopIfTrue="1">
      <formula>IF(R7=0,0,IF(ISERROR(VLOOKUP(L7,$A$167:$A$184,1,FALSE)),TRUE,FALSE))</formula>
    </cfRule>
    <cfRule type="expression" dxfId="839" priority="82" stopIfTrue="1">
      <formula>IF(V7=0,0,BJ7&gt;0)</formula>
    </cfRule>
  </conditionalFormatting>
  <conditionalFormatting sqref="M7">
    <cfRule type="expression" dxfId="838" priority="79" stopIfTrue="1">
      <formula>IF(R7=0,0,IF(ISERROR(VLOOKUP(M7,$A$167:$A$184,1,FALSE)),TRUE,FALSE))</formula>
    </cfRule>
    <cfRule type="expression" dxfId="837" priority="80" stopIfTrue="1">
      <formula>IF(V7=0,0,BK7&gt;0)</formula>
    </cfRule>
  </conditionalFormatting>
  <conditionalFormatting sqref="N7">
    <cfRule type="expression" dxfId="836" priority="77" stopIfTrue="1">
      <formula>IF(R7=0,0,IF(ISERROR(VLOOKUP(N7,$A$167:$A$184,1,FALSE)),TRUE,FALSE))</formula>
    </cfRule>
    <cfRule type="expression" dxfId="835" priority="78" stopIfTrue="1">
      <formula>IF(V7=0,0,BL7&gt;0)</formula>
    </cfRule>
  </conditionalFormatting>
  <conditionalFormatting sqref="O7">
    <cfRule type="expression" dxfId="834" priority="74" stopIfTrue="1">
      <formula>IF(R7=0,0,IF(ISERROR(VLOOKUP(O7,$A$167:$A$190,1,FALSE)),TRUE,FALSE))</formula>
    </cfRule>
    <cfRule type="expression" dxfId="833" priority="75" stopIfTrue="1">
      <formula>SUM(CY7:CZ7)&gt;0</formula>
    </cfRule>
    <cfRule type="expression" dxfId="832" priority="76" stopIfTrue="1">
      <formula>IF(CW7=0,0,IF(OR(CW7=" imagery",BO7&gt;0),TRUE,FALSE))</formula>
    </cfRule>
  </conditionalFormatting>
  <conditionalFormatting sqref="Q7">
    <cfRule type="expression" dxfId="831" priority="72">
      <formula>IF(R7=0,0,IF(ISERROR(VLOOKUP(Q7,$A$167:$A$184,1,FALSE)),1,0))</formula>
    </cfRule>
    <cfRule type="expression" dxfId="830" priority="73">
      <formula>IF(V7=0,0,BO7&gt;0)</formula>
    </cfRule>
  </conditionalFormatting>
  <conditionalFormatting sqref="S71">
    <cfRule type="expression" dxfId="829" priority="71">
      <formula>LEFT(B71,3)=S71</formula>
    </cfRule>
  </conditionalFormatting>
  <conditionalFormatting sqref="S25">
    <cfRule type="expression" dxfId="828" priority="70">
      <formula>LEFT(B25,3)=S25</formula>
    </cfRule>
  </conditionalFormatting>
  <conditionalFormatting sqref="S29">
    <cfRule type="expression" dxfId="827" priority="69">
      <formula>LEFT(B29,3)=S29</formula>
    </cfRule>
  </conditionalFormatting>
  <conditionalFormatting sqref="S33">
    <cfRule type="expression" dxfId="826" priority="68">
      <formula>LEFT(B33,3)=S33</formula>
    </cfRule>
  </conditionalFormatting>
  <conditionalFormatting sqref="S37">
    <cfRule type="expression" dxfId="825" priority="67">
      <formula>LEFT(B37,3)=S37</formula>
    </cfRule>
  </conditionalFormatting>
  <conditionalFormatting sqref="S41">
    <cfRule type="expression" dxfId="824" priority="66">
      <formula>LEFT(B41,3)=S41</formula>
    </cfRule>
  </conditionalFormatting>
  <conditionalFormatting sqref="S46">
    <cfRule type="expression" dxfId="823" priority="65">
      <formula>LEFT(B46,3)=S46</formula>
    </cfRule>
  </conditionalFormatting>
  <conditionalFormatting sqref="S50">
    <cfRule type="expression" dxfId="822" priority="64">
      <formula>LEFT(B50,3)=S50</formula>
    </cfRule>
  </conditionalFormatting>
  <conditionalFormatting sqref="S54">
    <cfRule type="expression" dxfId="821" priority="63">
      <formula>LEFT(B54,3)=S54</formula>
    </cfRule>
  </conditionalFormatting>
  <conditionalFormatting sqref="S58">
    <cfRule type="expression" dxfId="820" priority="62">
      <formula>LEFT(B58,3)=S58</formula>
    </cfRule>
  </conditionalFormatting>
  <conditionalFormatting sqref="S62">
    <cfRule type="expression" dxfId="819" priority="61">
      <formula>LEFT(B62,3)=S62</formula>
    </cfRule>
  </conditionalFormatting>
  <conditionalFormatting sqref="S67">
    <cfRule type="expression" dxfId="818" priority="60">
      <formula>LEFT(B67,3)=S67</formula>
    </cfRule>
  </conditionalFormatting>
  <conditionalFormatting sqref="S75">
    <cfRule type="expression" dxfId="817" priority="59">
      <formula>LEFT(B75,3)=S75</formula>
    </cfRule>
  </conditionalFormatting>
  <conditionalFormatting sqref="S79">
    <cfRule type="expression" dxfId="816" priority="58">
      <formula>LEFT(B79,3)=S79</formula>
    </cfRule>
  </conditionalFormatting>
  <conditionalFormatting sqref="S83">
    <cfRule type="expression" dxfId="815" priority="57">
      <formula>LEFT(B83,3)=S83</formula>
    </cfRule>
  </conditionalFormatting>
  <conditionalFormatting sqref="D1">
    <cfRule type="expression" dxfId="814" priority="104462">
      <formula>AND($D$1=$H$173,$T$2=$H$177)</formula>
    </cfRule>
    <cfRule type="expression" dxfId="813" priority="104463" stopIfTrue="1">
      <formula>$D$1=$H$175</formula>
    </cfRule>
  </conditionalFormatting>
  <conditionalFormatting sqref="T2">
    <cfRule type="expression" dxfId="812" priority="104464" stopIfTrue="1">
      <formula>$T$2=$H$179</formula>
    </cfRule>
  </conditionalFormatting>
  <conditionalFormatting sqref="H5:H19">
    <cfRule type="expression" dxfId="811" priority="101656" stopIfTrue="1">
      <formula>CX5&gt;0</formula>
    </cfRule>
    <cfRule type="expression" dxfId="810" priority="101657">
      <formula>BK5&gt;0</formula>
    </cfRule>
  </conditionalFormatting>
  <conditionalFormatting sqref="B5:B19">
    <cfRule type="expression" dxfId="809" priority="39">
      <formula>BK5&gt;0</formula>
    </cfRule>
  </conditionalFormatting>
  <conditionalFormatting sqref="AF75">
    <cfRule type="expression" dxfId="808" priority="37">
      <formula>VLOOKUP(K75,HostMatch,9,FALSE)</formula>
    </cfRule>
    <cfRule type="expression" dxfId="807" priority="38">
      <formula>AF74=""</formula>
    </cfRule>
  </conditionalFormatting>
  <conditionalFormatting sqref="AF79">
    <cfRule type="expression" dxfId="806" priority="35">
      <formula>VLOOKUP(K79,HostMatch,9,FALSE)</formula>
    </cfRule>
    <cfRule type="expression" dxfId="805" priority="36">
      <formula>AF78=""</formula>
    </cfRule>
  </conditionalFormatting>
  <conditionalFormatting sqref="AF83">
    <cfRule type="expression" dxfId="804" priority="33">
      <formula>VLOOKUP(K83,HostMatch,9,FALSE)</formula>
    </cfRule>
    <cfRule type="expression" dxfId="803" priority="34">
      <formula>AF82=""</formula>
    </cfRule>
  </conditionalFormatting>
  <conditionalFormatting sqref="AF29">
    <cfRule type="expression" dxfId="802" priority="31">
      <formula>VLOOKUP(K29,HostMatch,9,FALSE)</formula>
    </cfRule>
    <cfRule type="expression" dxfId="801" priority="32">
      <formula>AF28=""</formula>
    </cfRule>
  </conditionalFormatting>
  <conditionalFormatting sqref="AF25">
    <cfRule type="expression" dxfId="800" priority="29">
      <formula>VLOOKUP(K25,HostMatch,9,FALSE)</formula>
    </cfRule>
    <cfRule type="expression" dxfId="799" priority="30">
      <formula>AF24=""</formula>
    </cfRule>
  </conditionalFormatting>
  <conditionalFormatting sqref="AF33">
    <cfRule type="expression" dxfId="798" priority="27">
      <formula>VLOOKUP(K33,HostMatch,9,FALSE)</formula>
    </cfRule>
    <cfRule type="expression" dxfId="797" priority="28">
      <formula>AF32=""</formula>
    </cfRule>
  </conditionalFormatting>
  <conditionalFormatting sqref="AF37">
    <cfRule type="expression" dxfId="796" priority="25">
      <formula>VLOOKUP(K37,HostMatch,9,FALSE)</formula>
    </cfRule>
    <cfRule type="expression" dxfId="795" priority="26">
      <formula>AF36=""</formula>
    </cfRule>
  </conditionalFormatting>
  <conditionalFormatting sqref="AF41">
    <cfRule type="expression" dxfId="794" priority="23">
      <formula>VLOOKUP(K41,HostMatch,9,FALSE)</formula>
    </cfRule>
    <cfRule type="expression" dxfId="793" priority="24">
      <formula>AF40=""</formula>
    </cfRule>
  </conditionalFormatting>
  <conditionalFormatting sqref="AF46">
    <cfRule type="expression" dxfId="792" priority="21">
      <formula>VLOOKUP(K46,HostMatch,9,FALSE)</formula>
    </cfRule>
    <cfRule type="expression" dxfId="791" priority="22">
      <formula>AF45=""</formula>
    </cfRule>
  </conditionalFormatting>
  <conditionalFormatting sqref="AF50">
    <cfRule type="expression" dxfId="790" priority="19">
      <formula>VLOOKUP(K50,HostMatch,9,FALSE)</formula>
    </cfRule>
    <cfRule type="expression" dxfId="789" priority="20">
      <formula>AF49=""</formula>
    </cfRule>
  </conditionalFormatting>
  <conditionalFormatting sqref="AF54">
    <cfRule type="expression" dxfId="788" priority="17">
      <formula>VLOOKUP(K54,HostMatch,9,FALSE)</formula>
    </cfRule>
    <cfRule type="expression" dxfId="787" priority="18">
      <formula>AF53=""</formula>
    </cfRule>
  </conditionalFormatting>
  <conditionalFormatting sqref="AF58">
    <cfRule type="expression" dxfId="786" priority="15">
      <formula>VLOOKUP(K58,HostMatch,9,FALSE)</formula>
    </cfRule>
    <cfRule type="expression" dxfId="785" priority="16">
      <formula>AF57=""</formula>
    </cfRule>
  </conditionalFormatting>
  <conditionalFormatting sqref="AF62">
    <cfRule type="expression" dxfId="784" priority="13">
      <formula>VLOOKUP(K62,HostMatch,9,FALSE)</formula>
    </cfRule>
    <cfRule type="expression" dxfId="783" priority="14">
      <formula>AF61=""</formula>
    </cfRule>
  </conditionalFormatting>
  <conditionalFormatting sqref="AF71">
    <cfRule type="expression" dxfId="782" priority="11">
      <formula>VLOOKUP(K71,HostMatch,9,FALSE)</formula>
    </cfRule>
    <cfRule type="expression" dxfId="781" priority="12">
      <formula>AF70=""</formula>
    </cfRule>
  </conditionalFormatting>
  <conditionalFormatting sqref="AF89">
    <cfRule type="expression" dxfId="780" priority="9">
      <formula>VLOOKUP(K89,HostMatch,9,FALSE)</formula>
    </cfRule>
    <cfRule type="expression" dxfId="779" priority="10">
      <formula>AF88=""</formula>
    </cfRule>
  </conditionalFormatting>
  <conditionalFormatting sqref="AF92">
    <cfRule type="expression" dxfId="778" priority="7">
      <formula>VLOOKUP(K92,HostMatch,9,FALSE)</formula>
    </cfRule>
    <cfRule type="expression" dxfId="777" priority="8">
      <formula>AF91=""</formula>
    </cfRule>
  </conditionalFormatting>
  <conditionalFormatting sqref="AF95">
    <cfRule type="expression" dxfId="776" priority="5">
      <formula>VLOOKUP(K95,HostMatch,9,FALSE)</formula>
    </cfRule>
    <cfRule type="expression" dxfId="775" priority="6">
      <formula>AF94=""</formula>
    </cfRule>
  </conditionalFormatting>
  <conditionalFormatting sqref="AF98">
    <cfRule type="expression" dxfId="774" priority="3">
      <formula>VLOOKUP(K98,HostMatch,9,FALSE)</formula>
    </cfRule>
    <cfRule type="expression" dxfId="773" priority="4">
      <formula>AF97=""</formula>
    </cfRule>
  </conditionalFormatting>
  <conditionalFormatting sqref="AF101">
    <cfRule type="expression" dxfId="772" priority="1">
      <formula>VLOOKUP(K101,HostMatch,9,FALSE)</formula>
    </cfRule>
    <cfRule type="expression" dxfId="771" priority="2">
      <formula>AF100=""</formula>
    </cfRule>
  </conditionalFormatting>
  <dataValidations count="29">
    <dataValidation type="list" allowBlank="1" showInputMessage="1" showErrorMessage="1" sqref="H19 H14:H15 H9:H10 H5">
      <formula1>$HA$4:$HA$40</formula1>
    </dataValidation>
    <dataValidation type="list" allowBlank="1" showInputMessage="1" showErrorMessage="1" sqref="T100:T101 T97:T98 T68 T66 T59 T57 T51 T49 T103 T94:T95 T91:T92 T88:T89 T86 T84 T82 T80 T78 T76 T74 T72 T70 T47 T45 T42 T40 T38 T36 T34 T32 T30 T28 T26 T55 T53 T63 T61 T24">
      <formula1>$CK$24:$CK$109</formula1>
    </dataValidation>
    <dataValidation type="list" allowBlank="1" showInputMessage="1" showErrorMessage="1" sqref="U2">
      <formula1>$H$182:$H$188</formula1>
    </dataValidation>
    <dataValidation type="list" allowBlank="1" showInputMessage="1" showErrorMessage="1" sqref="U93 U64 U99 U60 U48 U81 U73 U77 U39 U31 U27 U102 U52 U90 U69 U56 U35 U96 U43">
      <formula1>$I$192:$I$193</formula1>
    </dataValidation>
    <dataValidation type="list" allowBlank="1" showInputMessage="1" showErrorMessage="1" sqref="T2">
      <formula1>$H$177:$H$180</formula1>
    </dataValidation>
    <dataValidation type="list" allowBlank="1" showInputMessage="1" showErrorMessage="1" sqref="R94 R28 R32 R36 R40 R45 R70 R74 R78 R82 R88 R91 R24 R49 R53 R57 R61 R66 R97 R100">
      <formula1>IF(NOT(M25=""),osWorkstation,IF(NOT(N25=""),osWTS,IF(NOT(O24=""),osSOC,osDBMS)))</formula1>
    </dataValidation>
    <dataValidation type="list" allowBlank="1" showInputMessage="1" showErrorMessage="1" sqref="I72 I80 I68 I47 I42 I38 I34 I26 I84 I76 I51 I55 I59 I63 I30">
      <formula1>VAlist</formula1>
    </dataValidation>
    <dataValidation type="list" allowBlank="1" showInputMessage="1" showErrorMessage="1" sqref="B4">
      <formula1>$H$170:$H$171</formula1>
    </dataValidation>
    <dataValidation type="list" allowBlank="1" showInputMessage="1" showErrorMessage="1" sqref="H85 H64 H99 H60 H48 H69 H90 H93 H102 H73 H31 H39 H77 H81 H52 H23 H27 H56 H35 H96 H43">
      <formula1>$I$190:$I$191</formula1>
    </dataValidation>
    <dataValidation type="list" allowBlank="1" showInputMessage="1" showErrorMessage="1" sqref="J23">
      <formula1>VMset</formula1>
    </dataValidation>
    <dataValidation type="list" allowBlank="1" showInputMessage="1" showErrorMessage="1" sqref="DG1">
      <formula1>$DG$2:$DG$3</formula1>
    </dataValidation>
    <dataValidation type="list" allowBlank="1" showInputMessage="1" showErrorMessage="1" sqref="BH2">
      <formula1>ServerCandidates</formula1>
    </dataValidation>
    <dataValidation type="list" allowBlank="1" showInputMessage="1" showErrorMessage="1" sqref="K5:N5 Q5">
      <formula1>$A$169:$A$184</formula1>
    </dataValidation>
    <dataValidation type="list" allowBlank="1" showInputMessage="1" showErrorMessage="1" sqref="J5">
      <formula1>$A$168:$A$183</formula1>
    </dataValidation>
    <dataValidation type="list" allowBlank="1" showInputMessage="1" showErrorMessage="1" sqref="A4">
      <formula1>$H$167:$H$168</formula1>
    </dataValidation>
    <dataValidation type="list" allowBlank="1" showInputMessage="1" showErrorMessage="1" sqref="D4">
      <formula1>UserNeed</formula1>
    </dataValidation>
    <dataValidation type="list" allowBlank="1" showInputMessage="1" showErrorMessage="1" sqref="J11:N13 J16:N18 Q11:Q13 Q16:Q18 Q6:Q8 J6:N8">
      <formula1>$A$167:$A$184</formula1>
    </dataValidation>
    <dataValidation type="list" allowBlank="1" showInputMessage="1" showErrorMessage="1" sqref="J80 J63 J55 I22 J26 J30 J34 J38 J42 J47 J72 J76 J84 J51 J59 J68">
      <formula1>$H$192:$H$193</formula1>
    </dataValidation>
    <dataValidation type="list" allowBlank="1" showInputMessage="1" showErrorMessage="1" sqref="BB72 BB70">
      <formula1>$BB$70:$BB$71</formula1>
    </dataValidation>
    <dataValidation type="list" allowBlank="1" showInputMessage="1" showErrorMessage="1" sqref="W16:W18 W11:W13 W6:W8">
      <formula1>$BB$22:$BB$23</formula1>
    </dataValidation>
    <dataValidation type="list" allowBlank="1" showInputMessage="1" showErrorMessage="1" sqref="O16:O18 O11:O13 O6:O8">
      <formula1>$A$167:$A$186</formula1>
    </dataValidation>
    <dataValidation type="list" allowBlank="1" showInputMessage="1" showErrorMessage="1" sqref="D1">
      <formula1>$H$173:$H$175</formula1>
    </dataValidation>
    <dataValidation type="list" allowBlank="1" showInputMessage="1" showErrorMessage="1" sqref="I61 I78 I24 I66 I36 I28 I32 I40 I45 I49 I53 I57 I74 I70 I82">
      <formula1>$J$185:$J$189</formula1>
    </dataValidation>
    <dataValidation type="list" allowBlank="1" showInputMessage="1" showErrorMessage="1" sqref="R11:R13 R16:R18 R6:R8">
      <formula1>IF(CW6=" Imagery",ImageryDataList,MapDataList)</formula1>
    </dataValidation>
    <dataValidation type="list" allowBlank="1" showInputMessage="1" showErrorMessage="1" sqref="AF54 AF29 AF50 AF98 AF83 AF25 AF33 AF23 AF37 AF41 AF46 AF58 AF62 AF67 AF71 AF75 AF79 AF89 AF92 AF95 AF101">
      <formula1>GPU_Clients</formula1>
    </dataValidation>
    <dataValidation type="list" allowBlank="1" showInputMessage="1" showErrorMessage="1" sqref="B22">
      <formula1>IF($A$20=$H$171,hwFAVORITES,HWList)</formula1>
    </dataValidation>
    <dataValidation type="list" allowBlank="1" showInputMessage="1" showErrorMessage="1" sqref="A20">
      <formula1>$G$186:$G$191</formula1>
    </dataValidation>
    <dataValidation type="list" allowBlank="1" showInputMessage="1" showErrorMessage="1" sqref="B62 B71 B79 B83 B25 B29 B33 B37 B41 B46 B50 B54 B58 B67 B75 B89 B92 B95 B98 B101">
      <formula1>IF($A$20=$G$186,Project,  IF($A$20=$G$187,Windows,  IF($A$20=$G$188,AmazonVM,  IF($A$20=$G$189,AzureVM,  IF($A$20=$G$190,UNIX,SADS)))))</formula1>
    </dataValidation>
    <dataValidation type="list" allowBlank="1" showInputMessage="1" showErrorMessage="1" sqref="B16:B18 B11:B13 B6:B8">
      <formula1>IF($B$4=$H$171,wfFavorites,wfList)</formula1>
    </dataValidation>
  </dataValidations>
  <hyperlinks>
    <hyperlink ref="V104" r:id="rId1" display=" - Enterprise GIS Resource Center"/>
    <hyperlink ref="V104:W104" r:id="rId2" display=" - System Design Strategies TRD"/>
  </hyperlinks>
  <pageMargins left="0.75" right="0.75" top="1" bottom="1" header="0.5" footer="0.5"/>
  <pageSetup scale="11" orientation="landscape" r:id="rId3"/>
  <headerFooter alignWithMargins="0"/>
  <drawing r:id="rId4"/>
  <legacy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indexed="57"/>
    <pageSetUpPr fitToPage="1"/>
  </sheetPr>
  <dimension ref="A1:HC200"/>
  <sheetViews>
    <sheetView showZeros="0" tabSelected="1" zoomScale="90" zoomScaleNormal="90" zoomScalePageLayoutView="90" workbookViewId="0">
      <selection activeCell="A16" sqref="A16"/>
    </sheetView>
  </sheetViews>
  <sheetFormatPr baseColWidth="10" defaultColWidth="9.1640625" defaultRowHeight="13" outlineLevelRow="2" outlineLevelCol="2" x14ac:dyDescent="0.15"/>
  <cols>
    <col min="1" max="1" width="10.33203125" style="1415" bestFit="1" customWidth="1"/>
    <col min="2" max="2" width="48.83203125" style="1415" customWidth="1"/>
    <col min="3" max="3" width="12.1640625" style="1415" customWidth="1"/>
    <col min="4" max="4" width="10.1640625" style="1415" customWidth="1"/>
    <col min="5" max="5" width="12.1640625" style="1415" customWidth="1" outlineLevel="1"/>
    <col min="6" max="6" width="9.5" style="1415" customWidth="1" outlineLevel="1"/>
    <col min="7" max="7" width="11.1640625" style="1415" customWidth="1"/>
    <col min="8" max="8" width="11.5" style="24" customWidth="1"/>
    <col min="9" max="9" width="9.1640625" style="1415" customWidth="1"/>
    <col min="10" max="10" width="13.5" style="1415" hidden="1" customWidth="1" outlineLevel="2"/>
    <col min="11" max="11" width="10.5" style="1415" hidden="1" customWidth="1" outlineLevel="2"/>
    <col min="12" max="12" width="10" style="1415" hidden="1" customWidth="1" outlineLevel="2"/>
    <col min="13" max="13" width="10.33203125" style="1415" hidden="1" customWidth="1" outlineLevel="2"/>
    <col min="14" max="14" width="10.6640625" style="1415" hidden="1" customWidth="1" outlineLevel="2"/>
    <col min="15" max="15" width="12.5" style="1415" hidden="1" customWidth="1" outlineLevel="2"/>
    <col min="16" max="16" width="9.5" style="1415" hidden="1" customWidth="1" outlineLevel="2"/>
    <col min="17" max="17" width="10.6640625" style="1415" hidden="1" customWidth="1" outlineLevel="2"/>
    <col min="18" max="18" width="10.83203125" style="1415" hidden="1" customWidth="1" outlineLevel="2"/>
    <col min="19" max="19" width="8.6640625" style="1592" customWidth="1" collapsed="1"/>
    <col min="20" max="20" width="8.33203125" style="1415" customWidth="1" outlineLevel="1"/>
    <col min="21" max="21" width="6.5" style="1415" customWidth="1" outlineLevel="1"/>
    <col min="22" max="22" width="7.6640625" style="1592" customWidth="1"/>
    <col min="23" max="23" width="7.5" style="1592" customWidth="1"/>
    <col min="24" max="24" width="7" style="1592" customWidth="1"/>
    <col min="25" max="25" width="7.5" style="1592" customWidth="1"/>
    <col min="26" max="26" width="6.6640625" style="1592" customWidth="1"/>
    <col min="27" max="29" width="7.33203125" style="1592" customWidth="1"/>
    <col min="30" max="30" width="9.33203125" style="1415" customWidth="1"/>
    <col min="31" max="31" width="10.5" style="1415" customWidth="1"/>
    <col min="32" max="32" width="10.1640625" style="1415" customWidth="1"/>
    <col min="33" max="33" width="7.33203125" style="1415" customWidth="1"/>
    <col min="34" max="34" width="6.6640625" style="1415" customWidth="1"/>
    <col min="35" max="46" width="7.33203125" style="1415" customWidth="1"/>
    <col min="47" max="53" width="6.6640625" style="1415" customWidth="1"/>
    <col min="54" max="54" width="9" style="1415" customWidth="1"/>
    <col min="55" max="56" width="7.5" style="1415" customWidth="1"/>
    <col min="57" max="58" width="6.6640625" style="1415" customWidth="1"/>
    <col min="59" max="66" width="6.6640625" style="1415" hidden="1" customWidth="1"/>
    <col min="67" max="72" width="6.6640625" style="1592" hidden="1" customWidth="1"/>
    <col min="73" max="91" width="6.6640625" style="1415" hidden="1" customWidth="1"/>
    <col min="92" max="92" width="6.6640625" style="1415" hidden="1" customWidth="1" collapsed="1"/>
    <col min="93" max="96" width="6.6640625" style="1415" hidden="1" customWidth="1"/>
    <col min="97" max="97" width="9.1640625" style="1415" hidden="1" customWidth="1"/>
    <col min="98" max="114" width="6.6640625" style="1415" hidden="1" customWidth="1"/>
    <col min="115" max="115" width="8.1640625" style="1415" hidden="1" customWidth="1"/>
    <col min="116" max="122" width="6.6640625" style="1415" hidden="1" customWidth="1"/>
    <col min="123" max="124" width="6.6640625" style="1592" hidden="1" customWidth="1"/>
    <col min="125" max="127" width="6.6640625" style="1415" hidden="1" customWidth="1"/>
    <col min="128" max="129" width="6.6640625" style="1592" hidden="1" customWidth="1"/>
    <col min="130" max="133" width="6.6640625" style="1415" hidden="1" customWidth="1"/>
    <col min="134" max="134" width="6.6640625" style="1592" hidden="1" customWidth="1"/>
    <col min="135" max="137" width="6.6640625" style="1415" hidden="1" customWidth="1"/>
    <col min="138" max="138" width="6.6640625" style="1592" hidden="1" customWidth="1"/>
    <col min="139" max="139" width="6.6640625" style="1415" hidden="1" customWidth="1"/>
    <col min="140" max="140" width="6.6640625" style="1592" hidden="1" customWidth="1"/>
    <col min="141" max="141" width="6.6640625" style="1415" hidden="1" customWidth="1"/>
    <col min="142" max="142" width="8" style="1415" hidden="1" customWidth="1"/>
    <col min="143" max="143" width="6.6640625" style="1415" hidden="1" customWidth="1"/>
    <col min="144" max="144" width="6.6640625" style="1592" hidden="1" customWidth="1"/>
    <col min="145" max="145" width="6.6640625" style="1415" hidden="1" customWidth="1"/>
    <col min="146" max="146" width="6.6640625" style="1592" hidden="1" customWidth="1"/>
    <col min="147" max="147" width="6.6640625" style="1415" hidden="1" customWidth="1"/>
    <col min="148" max="148" width="7.83203125" style="1415" hidden="1" customWidth="1"/>
    <col min="149" max="149" width="6.6640625" style="1415" hidden="1" customWidth="1"/>
    <col min="150" max="150" width="6.6640625" style="1592" hidden="1" customWidth="1"/>
    <col min="151" max="151" width="6.6640625" style="1415" hidden="1" customWidth="1"/>
    <col min="152" max="152" width="6.6640625" style="1592" hidden="1" customWidth="1"/>
    <col min="153" max="155" width="6.6640625" style="1415" hidden="1" customWidth="1"/>
    <col min="156" max="156" width="6.6640625" style="1592" hidden="1" customWidth="1"/>
    <col min="157" max="157" width="6.6640625" style="1415" hidden="1" customWidth="1"/>
    <col min="158" max="158" width="6.6640625" style="1592" hidden="1" customWidth="1"/>
    <col min="159" max="161" width="6.6640625" style="1415" hidden="1" customWidth="1"/>
    <col min="162" max="162" width="6.6640625" style="1592" hidden="1" customWidth="1"/>
    <col min="163" max="163" width="7.83203125" style="1415" hidden="1" customWidth="1"/>
    <col min="164" max="164" width="6.6640625" style="1592" hidden="1" customWidth="1"/>
    <col min="165" max="167" width="6.6640625" style="1415" hidden="1" customWidth="1"/>
    <col min="168" max="168" width="6.6640625" style="1592" hidden="1" customWidth="1"/>
    <col min="169" max="169" width="6.6640625" style="1415" hidden="1" customWidth="1"/>
    <col min="170" max="170" width="6.6640625" style="1592" hidden="1" customWidth="1"/>
    <col min="171" max="173" width="6.6640625" style="1415" hidden="1" customWidth="1"/>
    <col min="174" max="174" width="6.6640625" style="1592" hidden="1" customWidth="1"/>
    <col min="175" max="175" width="6.6640625" style="1415" hidden="1" customWidth="1"/>
    <col min="176" max="176" width="6.6640625" style="1592" hidden="1" customWidth="1"/>
    <col min="177" max="179" width="6.6640625" style="1415" hidden="1" customWidth="1"/>
    <col min="180" max="180" width="6.6640625" style="1592" hidden="1" customWidth="1"/>
    <col min="181" max="181" width="8.1640625" style="1415" hidden="1" customWidth="1"/>
    <col min="182" max="182" width="6.6640625" style="1592" hidden="1" customWidth="1"/>
    <col min="183" max="183" width="6.6640625" style="1415" hidden="1" customWidth="1"/>
    <col min="184" max="184" width="8.5" style="1415" hidden="1" customWidth="1"/>
    <col min="185" max="185" width="6.6640625" style="1415" hidden="1" customWidth="1"/>
    <col min="186" max="186" width="6.6640625" style="1592" hidden="1" customWidth="1"/>
    <col min="187" max="187" width="8.33203125" style="1415" hidden="1" customWidth="1"/>
    <col min="188" max="188" width="6.6640625" style="1415" hidden="1" customWidth="1"/>
    <col min="189" max="189" width="6.6640625" style="1592" hidden="1" customWidth="1"/>
    <col min="190" max="191" width="6.6640625" style="1415" hidden="1" customWidth="1"/>
    <col min="192" max="192" width="6.6640625" style="1592" hidden="1" customWidth="1"/>
    <col min="193" max="194" width="6.6640625" style="1415" hidden="1" customWidth="1"/>
    <col min="195" max="195" width="6.6640625" style="1592" hidden="1" customWidth="1"/>
    <col min="196" max="196" width="6.6640625" style="1415" hidden="1" customWidth="1"/>
    <col min="197" max="197" width="6.6640625" style="1592" hidden="1" customWidth="1"/>
    <col min="198" max="198" width="7.5" style="1592" hidden="1" customWidth="1"/>
    <col min="199" max="200" width="6.6640625" style="1415" hidden="1" customWidth="1"/>
    <col min="201" max="202" width="6.6640625" style="1592" hidden="1" customWidth="1"/>
    <col min="203" max="206" width="6.6640625" style="1415" hidden="1" customWidth="1"/>
    <col min="207" max="207" width="5.83203125" style="1415" hidden="1" customWidth="1"/>
    <col min="208" max="208" width="5.5" style="1415" hidden="1" customWidth="1"/>
    <col min="209" max="209" width="9.1640625" style="1415" hidden="1" customWidth="1"/>
    <col min="210" max="210" width="9.1640625" style="1415" customWidth="1"/>
    <col min="211" max="16384" width="9.1640625" style="1415"/>
  </cols>
  <sheetData>
    <row r="1" spans="1:211" ht="15" customHeight="1" x14ac:dyDescent="0.15">
      <c r="A1" s="908"/>
      <c r="B1" s="195" t="s">
        <v>331</v>
      </c>
      <c r="C1" s="196"/>
      <c r="D1" s="2553" t="s">
        <v>387</v>
      </c>
      <c r="E1" s="3422" t="s">
        <v>351</v>
      </c>
      <c r="F1" s="3422"/>
      <c r="G1" s="3223"/>
      <c r="H1" s="2481" t="s">
        <v>327</v>
      </c>
      <c r="I1" s="190" t="s">
        <v>310</v>
      </c>
      <c r="J1" s="1256" t="s">
        <v>400</v>
      </c>
      <c r="K1" s="1257"/>
      <c r="L1" s="1257"/>
      <c r="M1" s="1257"/>
      <c r="N1" s="1257"/>
      <c r="O1" s="1257"/>
      <c r="P1" s="1257"/>
      <c r="Q1" s="1257"/>
      <c r="R1" s="1258"/>
      <c r="S1" s="901" t="s">
        <v>341</v>
      </c>
      <c r="T1" s="1261" t="s">
        <v>359</v>
      </c>
      <c r="U1" s="1262" t="s">
        <v>296</v>
      </c>
      <c r="V1" s="1403" t="s">
        <v>33</v>
      </c>
      <c r="W1" s="2675" t="s">
        <v>1448</v>
      </c>
      <c r="X1" s="757"/>
      <c r="Y1" s="1404" t="s">
        <v>1453</v>
      </c>
      <c r="Z1" s="1404"/>
      <c r="AA1" s="1404"/>
      <c r="AB1" s="1405"/>
      <c r="AC1" s="1405"/>
      <c r="AD1" s="1405"/>
      <c r="AE1" s="1405"/>
      <c r="AF1" s="1405"/>
      <c r="AG1" s="1405"/>
      <c r="AH1" s="1405"/>
      <c r="AI1" s="1405"/>
      <c r="AJ1" s="1405"/>
      <c r="AK1" s="1405"/>
      <c r="AL1" s="1405"/>
      <c r="AM1" s="1405"/>
      <c r="AN1" s="1405"/>
      <c r="AO1" s="1405"/>
      <c r="AP1" s="1405"/>
      <c r="AQ1" s="1405"/>
      <c r="AR1" s="1405"/>
      <c r="AS1" s="1405"/>
      <c r="AT1" s="1405"/>
      <c r="AU1" s="1405"/>
      <c r="AV1" s="1405"/>
      <c r="AW1" s="1405"/>
      <c r="AX1" s="1405"/>
      <c r="AY1" s="1405"/>
      <c r="AZ1" s="1405"/>
      <c r="BA1" s="1405"/>
      <c r="BB1" s="1405"/>
      <c r="BC1" s="1405"/>
      <c r="BD1" s="1405"/>
      <c r="BE1" s="1405"/>
      <c r="BF1" s="902"/>
      <c r="BG1" s="1264" t="s">
        <v>783</v>
      </c>
      <c r="BH1" s="1265"/>
      <c r="BI1" s="1265"/>
      <c r="BJ1" s="1265"/>
      <c r="BK1" s="1265"/>
      <c r="BL1" s="1265"/>
      <c r="BM1" s="1265"/>
      <c r="BN1" s="1265"/>
      <c r="BO1" s="1265"/>
      <c r="BP1" s="1266"/>
      <c r="BQ1" s="1259" t="s">
        <v>782</v>
      </c>
      <c r="BR1" s="1260"/>
      <c r="BS1" s="1260"/>
      <c r="BT1" s="1260"/>
      <c r="BU1" s="1260"/>
      <c r="BV1" s="1260"/>
      <c r="BW1" s="1260"/>
      <c r="BX1" s="1260"/>
      <c r="BY1" s="1260"/>
      <c r="BZ1" s="1260"/>
      <c r="CA1" s="1260"/>
      <c r="CB1" s="1260"/>
      <c r="CC1" s="1260"/>
      <c r="CD1" s="1260"/>
      <c r="CE1" s="1260"/>
      <c r="CF1" s="1260"/>
      <c r="CG1" s="1260"/>
      <c r="CH1" s="903"/>
      <c r="CI1" s="1405"/>
      <c r="CJ1" s="1406" t="s">
        <v>378</v>
      </c>
      <c r="CK1" s="1407" t="s">
        <v>379</v>
      </c>
      <c r="CL1" s="1408" t="s">
        <v>346</v>
      </c>
      <c r="CM1" s="2815"/>
      <c r="CN1" s="904"/>
      <c r="CO1" s="1409"/>
      <c r="CP1" s="1410"/>
      <c r="CQ1" s="1411"/>
      <c r="CR1" s="1410"/>
      <c r="CS1" s="1410"/>
      <c r="CT1" s="1410"/>
      <c r="CU1" s="1410"/>
      <c r="CV1" s="1412"/>
      <c r="CW1" s="1413" t="str">
        <f>CY181</f>
        <v>Tier01</v>
      </c>
      <c r="CX1" s="1413" t="str">
        <f t="shared" ref="CX1:DF1" si="0">CZ181</f>
        <v>Tier02</v>
      </c>
      <c r="CY1" s="1413" t="str">
        <f t="shared" si="0"/>
        <v>Tier03</v>
      </c>
      <c r="CZ1" s="1413" t="str">
        <f t="shared" si="0"/>
        <v>Tier04</v>
      </c>
      <c r="DA1" s="1413" t="str">
        <f t="shared" si="0"/>
        <v>Tier05</v>
      </c>
      <c r="DB1" s="1413" t="str">
        <f t="shared" si="0"/>
        <v>Tier06</v>
      </c>
      <c r="DC1" s="1413" t="str">
        <f t="shared" si="0"/>
        <v>Tier12</v>
      </c>
      <c r="DD1" s="1413" t="str">
        <f t="shared" si="0"/>
        <v>Web</v>
      </c>
      <c r="DE1" s="1413" t="str">
        <f>DG181</f>
        <v>GIS</v>
      </c>
      <c r="DF1" s="1413" t="str">
        <f t="shared" si="0"/>
        <v>DBMS</v>
      </c>
      <c r="DG1" s="298" t="s">
        <v>1</v>
      </c>
      <c r="DH1" s="85" t="s">
        <v>218</v>
      </c>
      <c r="DI1" s="85"/>
      <c r="DJ1" s="85"/>
      <c r="DK1" s="85"/>
      <c r="DL1" s="85"/>
      <c r="DM1" s="85"/>
      <c r="DN1" s="85"/>
      <c r="DO1" s="85"/>
      <c r="DP1" s="85"/>
      <c r="DQ1" s="85"/>
      <c r="DR1" s="85"/>
      <c r="DS1" s="85"/>
      <c r="DT1" s="85"/>
      <c r="DU1" s="85"/>
      <c r="DV1" s="85"/>
      <c r="DW1" s="85"/>
      <c r="DX1" s="85"/>
      <c r="DY1" s="85"/>
      <c r="DZ1" s="85"/>
      <c r="EA1" s="85"/>
      <c r="EB1" s="85"/>
      <c r="EC1" s="85"/>
      <c r="ED1" s="85"/>
      <c r="EE1" s="85"/>
      <c r="EF1" s="85"/>
      <c r="EG1" s="85"/>
      <c r="EH1" s="85"/>
      <c r="EI1" s="85"/>
      <c r="EJ1" s="85"/>
      <c r="EK1" s="85"/>
      <c r="EL1" s="85"/>
      <c r="EM1" s="85"/>
      <c r="EN1" s="85"/>
      <c r="EO1" s="85"/>
      <c r="EP1" s="85"/>
      <c r="EQ1" s="85"/>
      <c r="ER1" s="85"/>
      <c r="ES1" s="85"/>
      <c r="ET1" s="85"/>
      <c r="EU1" s="85"/>
      <c r="EV1" s="85"/>
      <c r="EW1" s="85"/>
      <c r="EX1" s="85"/>
      <c r="EY1" s="85"/>
      <c r="EZ1" s="85"/>
      <c r="FA1" s="85"/>
      <c r="FB1" s="85"/>
      <c r="FC1" s="85"/>
      <c r="FD1" s="85"/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  <c r="FW1" s="85"/>
      <c r="FX1" s="85"/>
      <c r="FY1" s="85"/>
      <c r="FZ1" s="85"/>
      <c r="GA1" s="85"/>
      <c r="GB1" s="85"/>
      <c r="GC1" s="85"/>
      <c r="GD1" s="85"/>
      <c r="GE1" s="85"/>
      <c r="GF1" s="85"/>
      <c r="GG1" s="85"/>
      <c r="GH1" s="85"/>
      <c r="GI1" s="85"/>
      <c r="GJ1" s="85"/>
      <c r="GK1" s="85"/>
      <c r="GL1" s="85"/>
      <c r="GM1" s="85"/>
      <c r="GN1" s="85"/>
      <c r="GO1" s="85"/>
      <c r="GP1" s="85"/>
      <c r="GQ1" s="85"/>
      <c r="GR1" s="85"/>
      <c r="GS1" s="85"/>
      <c r="GT1" s="85"/>
      <c r="GU1" s="85"/>
      <c r="GV1" s="85"/>
      <c r="GW1" s="86"/>
      <c r="GX1" s="89"/>
      <c r="GY1" s="1414"/>
      <c r="GZ1" s="1414"/>
      <c r="HA1" s="1414"/>
      <c r="HB1" s="3420" t="s">
        <v>1557</v>
      </c>
      <c r="HC1" s="3421"/>
    </row>
    <row r="2" spans="1:211" ht="15" customHeight="1" thickBot="1" x14ac:dyDescent="0.2">
      <c r="A2" s="907" t="s">
        <v>280</v>
      </c>
      <c r="B2" s="1928"/>
      <c r="C2" s="1416" t="s">
        <v>395</v>
      </c>
      <c r="D2" s="1417"/>
      <c r="E2" s="1417"/>
      <c r="F2" s="1926"/>
      <c r="G2" s="1925"/>
      <c r="H2" s="2482" t="s">
        <v>326</v>
      </c>
      <c r="I2" s="191" t="s">
        <v>396</v>
      </c>
      <c r="J2" s="193" t="s">
        <v>401</v>
      </c>
      <c r="K2" s="79"/>
      <c r="L2" s="79"/>
      <c r="M2" s="79"/>
      <c r="N2" s="79"/>
      <c r="O2" s="79"/>
      <c r="P2" s="79"/>
      <c r="Q2" s="1418"/>
      <c r="R2" s="1419"/>
      <c r="S2" s="164" t="s">
        <v>342</v>
      </c>
      <c r="T2" s="528" t="s">
        <v>352</v>
      </c>
      <c r="U2" s="167">
        <v>10</v>
      </c>
      <c r="V2" s="1420" t="s">
        <v>361</v>
      </c>
      <c r="W2" s="2676" t="s">
        <v>375</v>
      </c>
      <c r="X2" s="2820"/>
      <c r="Y2" s="1421"/>
      <c r="Z2" s="1421"/>
      <c r="AA2" s="1421"/>
      <c r="AB2" s="16"/>
      <c r="AC2" s="16"/>
      <c r="AD2" s="1263">
        <f>S22</f>
        <v>0</v>
      </c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81"/>
      <c r="BG2" s="3224"/>
      <c r="BH2" s="3423" t="str">
        <f>Calculator!B101</f>
        <v>Arc18 Baseline 4 core (1 chip) 3600 MHz</v>
      </c>
      <c r="BI2" s="3423"/>
      <c r="BJ2" s="3423"/>
      <c r="BK2" s="3423"/>
      <c r="BL2" s="3423"/>
      <c r="BM2" s="3424" t="s">
        <v>321</v>
      </c>
      <c r="BN2" s="3424"/>
      <c r="BO2" s="94">
        <f>Calculator!I101</f>
        <v>74</v>
      </c>
      <c r="BP2" s="752" t="s">
        <v>273</v>
      </c>
      <c r="BQ2" s="1249" t="str">
        <f>BH2</f>
        <v>Arc18 Baseline 4 core (1 chip) 3600 MHz</v>
      </c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/>
      <c r="CF2" s="93"/>
      <c r="CG2" s="93"/>
      <c r="CH2" s="82"/>
      <c r="CI2" s="696" t="str">
        <f>Calculator!A164</f>
        <v>Client or TPH</v>
      </c>
      <c r="CJ2" s="1423">
        <v>1</v>
      </c>
      <c r="CK2" s="1424">
        <v>1</v>
      </c>
      <c r="CL2" s="569">
        <v>1E-3</v>
      </c>
      <c r="CM2" s="1422"/>
      <c r="CN2" s="1425"/>
      <c r="CO2" s="1426"/>
      <c r="CP2" s="1421"/>
      <c r="CQ2" s="1425"/>
      <c r="CR2" s="553"/>
      <c r="CS2" s="1427"/>
      <c r="CT2" s="1427"/>
      <c r="CU2" s="1427"/>
      <c r="CV2" s="1428"/>
      <c r="CW2" s="3425" t="s">
        <v>377</v>
      </c>
      <c r="CX2" s="3425"/>
      <c r="CY2" s="3425"/>
      <c r="CZ2" s="3425"/>
      <c r="DA2" s="3425"/>
      <c r="DB2" s="3425"/>
      <c r="DC2" s="3425"/>
      <c r="DD2" s="3425"/>
      <c r="DE2" s="3425"/>
      <c r="DF2" s="3425"/>
      <c r="DG2" s="1429" t="s">
        <v>456</v>
      </c>
      <c r="DH2" s="790"/>
      <c r="DI2" s="90"/>
      <c r="DJ2" s="90"/>
      <c r="DK2" s="90"/>
      <c r="DL2" s="90"/>
      <c r="DM2" s="1430"/>
      <c r="DN2" s="90"/>
      <c r="DO2" s="1431">
        <f>H20</f>
        <v>0.8</v>
      </c>
      <c r="DP2" s="90"/>
      <c r="DQ2" s="90"/>
      <c r="DR2" s="90"/>
      <c r="DS2" s="795"/>
      <c r="DT2" s="90"/>
      <c r="DU2" s="1431">
        <f>H24</f>
        <v>0.8</v>
      </c>
      <c r="DV2" s="90"/>
      <c r="DW2" s="90"/>
      <c r="DX2" s="90"/>
      <c r="DY2" s="795"/>
      <c r="DZ2" s="90"/>
      <c r="EA2" s="1431">
        <f>H28</f>
        <v>0.8</v>
      </c>
      <c r="EB2" s="90"/>
      <c r="EC2" s="90"/>
      <c r="ED2" s="90"/>
      <c r="EE2" s="795"/>
      <c r="EF2" s="90"/>
      <c r="EG2" s="1431">
        <f>H32</f>
        <v>0.8</v>
      </c>
      <c r="EH2" s="90"/>
      <c r="EI2" s="90"/>
      <c r="EJ2" s="90"/>
      <c r="EK2" s="83"/>
      <c r="EL2" s="83"/>
      <c r="EM2" s="1432">
        <f>H36</f>
        <v>0.8</v>
      </c>
      <c r="EN2" s="83"/>
      <c r="EO2" s="83"/>
      <c r="EP2" s="90"/>
      <c r="EQ2" s="83"/>
      <c r="ER2" s="83"/>
      <c r="ES2" s="1432">
        <f>H41</f>
        <v>0.8</v>
      </c>
      <c r="ET2" s="83"/>
      <c r="EU2" s="83"/>
      <c r="EV2" s="90"/>
      <c r="EW2" s="2767"/>
      <c r="EX2" s="83"/>
      <c r="EY2" s="1432">
        <f>H45</f>
        <v>0.8</v>
      </c>
      <c r="EZ2" s="83"/>
      <c r="FA2" s="83"/>
      <c r="FB2" s="90"/>
      <c r="FC2" s="83"/>
      <c r="FD2" s="83"/>
      <c r="FE2" s="1432">
        <f>H49</f>
        <v>0.8</v>
      </c>
      <c r="FF2" s="83"/>
      <c r="FG2" s="83"/>
      <c r="FH2" s="90"/>
      <c r="FI2" s="83"/>
      <c r="FJ2" s="83"/>
      <c r="FK2" s="1432">
        <f>H53</f>
        <v>0.8</v>
      </c>
      <c r="FL2" s="83"/>
      <c r="FM2" s="83"/>
      <c r="FN2" s="90"/>
      <c r="FO2" s="83"/>
      <c r="FP2" s="83"/>
      <c r="FQ2" s="1432">
        <f>H57</f>
        <v>0.8</v>
      </c>
      <c r="FR2" s="83"/>
      <c r="FS2" s="83"/>
      <c r="FT2" s="90"/>
      <c r="FU2" s="83"/>
      <c r="FV2" s="83"/>
      <c r="FW2" s="1432">
        <f>H62</f>
        <v>0.8</v>
      </c>
      <c r="FX2" s="83"/>
      <c r="FY2" s="83"/>
      <c r="FZ2" s="90"/>
      <c r="GA2" s="2766"/>
      <c r="GB2" s="83"/>
      <c r="GC2" s="1432">
        <f>H66</f>
        <v>0.8</v>
      </c>
      <c r="GD2" s="83"/>
      <c r="GE2" s="83"/>
      <c r="GF2" s="90"/>
      <c r="GG2" s="83"/>
      <c r="GH2" s="83"/>
      <c r="GI2" s="1432">
        <f>H70</f>
        <v>0.8</v>
      </c>
      <c r="GJ2" s="83"/>
      <c r="GK2" s="83"/>
      <c r="GL2" s="90"/>
      <c r="GM2" s="83"/>
      <c r="GN2" s="83"/>
      <c r="GO2" s="1432">
        <f>H74</f>
        <v>0.8</v>
      </c>
      <c r="GP2" s="83"/>
      <c r="GQ2" s="83"/>
      <c r="GR2" s="90"/>
      <c r="GS2" s="83"/>
      <c r="GT2" s="83"/>
      <c r="GU2" s="1432">
        <f>H78</f>
        <v>0.8</v>
      </c>
      <c r="GV2" s="83"/>
      <c r="GW2" s="84"/>
      <c r="GX2" s="90"/>
      <c r="GY2" s="1414"/>
      <c r="GZ2" s="1414"/>
      <c r="HA2" s="2473"/>
      <c r="HB2" s="2861" t="s">
        <v>1551</v>
      </c>
      <c r="HC2" s="2862" t="s">
        <v>992</v>
      </c>
    </row>
    <row r="3" spans="1:211" ht="15" customHeight="1" x14ac:dyDescent="0.2">
      <c r="A3" s="909" t="s">
        <v>291</v>
      </c>
      <c r="B3" s="197" t="s">
        <v>302</v>
      </c>
      <c r="C3" s="186" t="s">
        <v>403</v>
      </c>
      <c r="D3" s="1418"/>
      <c r="E3" s="69" t="s">
        <v>422</v>
      </c>
      <c r="F3" s="700"/>
      <c r="G3" s="154" t="s">
        <v>327</v>
      </c>
      <c r="H3" s="1433" t="s">
        <v>307</v>
      </c>
      <c r="I3" s="782" t="s">
        <v>317</v>
      </c>
      <c r="J3" s="194" t="s">
        <v>336</v>
      </c>
      <c r="K3" s="74"/>
      <c r="L3" s="3411" t="s">
        <v>304</v>
      </c>
      <c r="M3" s="3412"/>
      <c r="N3" s="187" t="s">
        <v>332</v>
      </c>
      <c r="O3" s="3413" t="s">
        <v>300</v>
      </c>
      <c r="P3" s="3414"/>
      <c r="Q3" s="3414"/>
      <c r="R3" s="3415"/>
      <c r="S3" s="170" t="s">
        <v>277</v>
      </c>
      <c r="T3" s="3416" t="s">
        <v>376</v>
      </c>
      <c r="U3" s="3417"/>
      <c r="V3" s="1420" t="s">
        <v>293</v>
      </c>
      <c r="W3" s="2676" t="s">
        <v>1449</v>
      </c>
      <c r="X3" s="758" t="s">
        <v>124</v>
      </c>
      <c r="Y3" s="2738"/>
      <c r="Z3" s="2739"/>
      <c r="AA3" s="2738"/>
      <c r="AB3" s="2739"/>
      <c r="AC3" s="2738"/>
      <c r="AD3" s="2739"/>
      <c r="AE3" s="2738"/>
      <c r="AF3" s="2740"/>
      <c r="AG3" s="2738"/>
      <c r="AH3" s="2740"/>
      <c r="AI3" s="2738"/>
      <c r="AJ3" s="2740"/>
      <c r="AK3" s="2738"/>
      <c r="AL3" s="2740"/>
      <c r="AM3" s="2738"/>
      <c r="AN3" s="2740"/>
      <c r="AO3" s="2738"/>
      <c r="AP3" s="2740"/>
      <c r="AQ3" s="2738"/>
      <c r="AR3" s="2740"/>
      <c r="AS3" s="2738"/>
      <c r="AT3" s="2740"/>
      <c r="AU3" s="2738"/>
      <c r="AV3" s="2740"/>
      <c r="AW3" s="2738"/>
      <c r="AX3" s="2740"/>
      <c r="AY3" s="2740"/>
      <c r="AZ3" s="2739"/>
      <c r="BA3" s="2738"/>
      <c r="BB3" s="2740"/>
      <c r="BC3" s="783"/>
      <c r="BD3" s="2740"/>
      <c r="BE3" s="2741"/>
      <c r="BF3" s="2742"/>
      <c r="BG3" s="162" t="s">
        <v>303</v>
      </c>
      <c r="BH3" s="26" t="str">
        <f>J3</f>
        <v>Desktop</v>
      </c>
      <c r="BI3" s="26"/>
      <c r="BJ3" s="76" t="s">
        <v>332</v>
      </c>
      <c r="BK3" s="75"/>
      <c r="BL3" s="26"/>
      <c r="BM3" s="26" t="s">
        <v>368</v>
      </c>
      <c r="BN3" s="69"/>
      <c r="BO3" s="26"/>
      <c r="BP3" s="752" t="s">
        <v>375</v>
      </c>
      <c r="BQ3" s="779"/>
      <c r="BR3" s="877">
        <f>DN3</f>
        <v>0</v>
      </c>
      <c r="BS3" s="878">
        <f>DT3</f>
        <v>0</v>
      </c>
      <c r="BT3" s="879">
        <f>DZ3</f>
        <v>0</v>
      </c>
      <c r="BU3" s="879">
        <f>EF3</f>
        <v>0</v>
      </c>
      <c r="BV3" s="879">
        <f>EL3</f>
        <v>0</v>
      </c>
      <c r="BW3" s="878">
        <f>ER3</f>
        <v>0</v>
      </c>
      <c r="BX3" s="878">
        <f>EO3</f>
        <v>0</v>
      </c>
      <c r="BY3" s="878">
        <f>EP3</f>
        <v>0</v>
      </c>
      <c r="BZ3" s="878" t="str">
        <f>EQ3</f>
        <v>Tier06</v>
      </c>
      <c r="CA3" s="878">
        <f>ER3</f>
        <v>0</v>
      </c>
      <c r="CB3" s="878">
        <f>ES3</f>
        <v>0</v>
      </c>
      <c r="CC3" s="877">
        <f>GB3</f>
        <v>0</v>
      </c>
      <c r="CD3" s="878">
        <f>GH3</f>
        <v>0</v>
      </c>
      <c r="CE3" s="878">
        <f>GN3</f>
        <v>0</v>
      </c>
      <c r="CF3" s="879">
        <f>GT3</f>
        <v>0</v>
      </c>
      <c r="CG3" s="780" t="s">
        <v>329</v>
      </c>
      <c r="CH3" s="1435" t="s">
        <v>425</v>
      </c>
      <c r="CI3" s="1436"/>
      <c r="CJ3" s="1436"/>
      <c r="CK3" s="1436"/>
      <c r="CL3" s="1436"/>
      <c r="CM3" s="1434" t="s">
        <v>310</v>
      </c>
      <c r="CN3" s="1437"/>
      <c r="CO3" s="1437"/>
      <c r="CP3" s="1437"/>
      <c r="CQ3" s="1437"/>
      <c r="CR3" s="1437"/>
      <c r="CS3" s="1437"/>
      <c r="CT3" s="762"/>
      <c r="CU3" s="762"/>
      <c r="CV3" s="763"/>
      <c r="CW3" s="763"/>
      <c r="CX3" s="1910"/>
      <c r="CY3" s="1912" t="s">
        <v>816</v>
      </c>
      <c r="CZ3" s="1913"/>
      <c r="DA3" s="763"/>
      <c r="DB3" s="931"/>
      <c r="DC3" s="931"/>
      <c r="DD3" s="931"/>
      <c r="DE3" s="931"/>
      <c r="DF3" s="931"/>
      <c r="DG3" s="789" t="s">
        <v>1</v>
      </c>
      <c r="DH3" s="791" t="str">
        <f>$BQ4</f>
        <v>Client</v>
      </c>
      <c r="DI3" s="787"/>
      <c r="DJ3" s="787"/>
      <c r="DK3" s="792"/>
      <c r="DL3" s="783"/>
      <c r="DM3" s="784" t="str">
        <f>$BR4</f>
        <v>Tier01</v>
      </c>
      <c r="DN3" s="785"/>
      <c r="DO3" s="786"/>
      <c r="DP3" s="787">
        <f>S23*G21</f>
        <v>0</v>
      </c>
      <c r="DQ3" s="798">
        <f>H22</f>
        <v>0</v>
      </c>
      <c r="DR3" s="783"/>
      <c r="DS3" s="787" t="str">
        <f>$BS4</f>
        <v>Tier02</v>
      </c>
      <c r="DT3" s="796"/>
      <c r="DU3" s="786"/>
      <c r="DV3" s="787">
        <f>S27*G25</f>
        <v>0</v>
      </c>
      <c r="DW3" s="800">
        <f>H26</f>
        <v>0</v>
      </c>
      <c r="DX3" s="783"/>
      <c r="DY3" s="787" t="str">
        <f>$BT4</f>
        <v>Tier03</v>
      </c>
      <c r="DZ3" s="796"/>
      <c r="EA3" s="786"/>
      <c r="EB3" s="787">
        <f>S31*G29</f>
        <v>0</v>
      </c>
      <c r="EC3" s="800">
        <f>H30</f>
        <v>0</v>
      </c>
      <c r="ED3" s="783"/>
      <c r="EE3" s="787" t="str">
        <f>$BU4</f>
        <v>Tier04</v>
      </c>
      <c r="EF3" s="796"/>
      <c r="EG3" s="786"/>
      <c r="EH3" s="787">
        <f>S35*G33</f>
        <v>0</v>
      </c>
      <c r="EI3" s="797">
        <f>H34</f>
        <v>0</v>
      </c>
      <c r="EJ3" s="783"/>
      <c r="EK3" s="73" t="str">
        <f>$BV4</f>
        <v>Tier05</v>
      </c>
      <c r="EL3" s="750"/>
      <c r="EM3" s="771"/>
      <c r="EN3" s="73">
        <f>S39*G37</f>
        <v>0</v>
      </c>
      <c r="EO3" s="778">
        <f>H38</f>
        <v>0</v>
      </c>
      <c r="EP3" s="783"/>
      <c r="EQ3" s="72" t="str">
        <f>$BW4</f>
        <v>Tier06</v>
      </c>
      <c r="ER3" s="750"/>
      <c r="ES3" s="771"/>
      <c r="ET3" s="73">
        <f>S44*G42</f>
        <v>0</v>
      </c>
      <c r="EU3" s="778">
        <f>H43</f>
        <v>0</v>
      </c>
      <c r="EV3" s="783"/>
      <c r="EW3" s="72" t="str">
        <f>$BX4</f>
        <v>Tier07</v>
      </c>
      <c r="EX3" s="750"/>
      <c r="EY3" s="771"/>
      <c r="EZ3" s="73">
        <f>S48*G46</f>
        <v>0</v>
      </c>
      <c r="FA3" s="778">
        <f>H47</f>
        <v>0</v>
      </c>
      <c r="FB3" s="783"/>
      <c r="FC3" s="72" t="str">
        <f>$BY4</f>
        <v>Tier08</v>
      </c>
      <c r="FD3" s="750"/>
      <c r="FE3" s="771"/>
      <c r="FF3" s="73">
        <f>S52*G50</f>
        <v>0</v>
      </c>
      <c r="FG3" s="778">
        <f>H51</f>
        <v>0</v>
      </c>
      <c r="FH3" s="783"/>
      <c r="FI3" s="72" t="str">
        <f>$BZ4</f>
        <v>Tier09</v>
      </c>
      <c r="FJ3" s="750"/>
      <c r="FK3" s="771"/>
      <c r="FL3" s="73">
        <f>S56*G54</f>
        <v>0</v>
      </c>
      <c r="FM3" s="778">
        <f>H55</f>
        <v>0</v>
      </c>
      <c r="FN3" s="783"/>
      <c r="FO3" s="72" t="str">
        <f>$CA4</f>
        <v>Tier10</v>
      </c>
      <c r="FP3" s="750"/>
      <c r="FQ3" s="771"/>
      <c r="FR3" s="73">
        <f>S60*G58</f>
        <v>0</v>
      </c>
      <c r="FS3" s="778">
        <f>H59</f>
        <v>0</v>
      </c>
      <c r="FT3" s="783"/>
      <c r="FU3" s="72" t="str">
        <f>$CB$4</f>
        <v>WTS</v>
      </c>
      <c r="FV3" s="750"/>
      <c r="FW3" s="771"/>
      <c r="FX3" s="73">
        <f>S65*G63</f>
        <v>0</v>
      </c>
      <c r="FY3" s="778">
        <f>H64</f>
        <v>0</v>
      </c>
      <c r="FZ3" s="783"/>
      <c r="GA3" s="72" t="str">
        <f>$CC4</f>
        <v>Tier12</v>
      </c>
      <c r="GB3" s="750"/>
      <c r="GC3" s="771"/>
      <c r="GD3" s="73">
        <f>S69*G67</f>
        <v>0</v>
      </c>
      <c r="GE3" s="778">
        <f>H68</f>
        <v>0</v>
      </c>
      <c r="GF3" s="783"/>
      <c r="GG3" s="72" t="str">
        <f>$CD4</f>
        <v>Web</v>
      </c>
      <c r="GH3" s="750"/>
      <c r="GI3" s="771"/>
      <c r="GJ3" s="73">
        <f>S73*G71</f>
        <v>0</v>
      </c>
      <c r="GK3" s="778">
        <f>H72</f>
        <v>0</v>
      </c>
      <c r="GL3" s="783"/>
      <c r="GM3" s="72" t="str">
        <f>$CE4</f>
        <v>GIS</v>
      </c>
      <c r="GN3" s="750"/>
      <c r="GO3" s="771"/>
      <c r="GP3" s="73">
        <f>S77*G75</f>
        <v>0</v>
      </c>
      <c r="GQ3" s="778">
        <f>H76</f>
        <v>0</v>
      </c>
      <c r="GR3" s="783"/>
      <c r="GS3" s="72" t="str">
        <f>$CF4</f>
        <v>DBMS</v>
      </c>
      <c r="GT3" s="750"/>
      <c r="GU3" s="771"/>
      <c r="GV3" s="73">
        <f>S81*G79</f>
        <v>0</v>
      </c>
      <c r="GW3" s="778">
        <f>H80</f>
        <v>0</v>
      </c>
      <c r="GX3" s="91" t="s">
        <v>372</v>
      </c>
      <c r="GY3" s="531" t="s">
        <v>110</v>
      </c>
      <c r="GZ3" s="2468"/>
      <c r="HA3" s="2474"/>
      <c r="HB3" s="2861">
        <f>10*(SUM(HB5:HB13)-HB13)</f>
        <v>2629.7944483037322</v>
      </c>
      <c r="HC3" s="2863">
        <f>SUM(HC13:HC15)-HC15</f>
        <v>262.97944483037321</v>
      </c>
    </row>
    <row r="4" spans="1:211" ht="15" customHeight="1" thickBot="1" x14ac:dyDescent="0.2">
      <c r="A4" s="1438" t="s">
        <v>388</v>
      </c>
      <c r="B4" s="359" t="s">
        <v>397</v>
      </c>
      <c r="C4" s="162" t="s">
        <v>305</v>
      </c>
      <c r="D4" s="147" t="s">
        <v>75</v>
      </c>
      <c r="E4" s="22" t="s">
        <v>424</v>
      </c>
      <c r="F4" s="154" t="s">
        <v>273</v>
      </c>
      <c r="G4" s="154" t="s">
        <v>307</v>
      </c>
      <c r="H4" s="1128" t="s">
        <v>404</v>
      </c>
      <c r="I4" s="192" t="s">
        <v>308</v>
      </c>
      <c r="J4" s="1439" t="str">
        <f>Workflow!D6</f>
        <v>Client</v>
      </c>
      <c r="K4" s="1440" t="str">
        <f>Workflow!E6</f>
        <v>Citrix</v>
      </c>
      <c r="L4" s="362" t="str">
        <f>Workflow!F6</f>
        <v>Web</v>
      </c>
      <c r="M4" s="361" t="str">
        <f>Workflow!G6</f>
        <v>Portal</v>
      </c>
      <c r="N4" s="1441" t="str">
        <f>Workflow!H6</f>
        <v>SOC</v>
      </c>
      <c r="O4" s="357" t="str">
        <f>Workflow!I6</f>
        <v>DS/MDS</v>
      </c>
      <c r="P4" s="358" t="str">
        <f>O4</f>
        <v>DS/MDS</v>
      </c>
      <c r="Q4" s="358" t="str">
        <f>Workflow!K6</f>
        <v>DBMS</v>
      </c>
      <c r="R4" s="188" t="s">
        <v>300</v>
      </c>
      <c r="S4" s="171" t="s">
        <v>343</v>
      </c>
      <c r="T4" s="204" t="s">
        <v>364</v>
      </c>
      <c r="U4" s="163" t="s">
        <v>363</v>
      </c>
      <c r="V4" s="1420" t="s">
        <v>106</v>
      </c>
      <c r="W4" s="2676" t="s">
        <v>970</v>
      </c>
      <c r="X4" s="2731" t="s">
        <v>123</v>
      </c>
      <c r="Y4" s="2748" t="str">
        <f>IF(SUM(Y5:Y15)&gt;0,$A179,"")</f>
        <v>DBMS</v>
      </c>
      <c r="Z4" s="2749" t="str">
        <f>IF(SUM(Z5:Z15)&gt;0,CONCATENATE(Y4,"Q"),"")</f>
        <v>DBMSQ</v>
      </c>
      <c r="AA4" s="2748" t="str">
        <f>IF(SUM(AA5:AA15)&gt;0,$A178,"")</f>
        <v>GIS</v>
      </c>
      <c r="AB4" s="2749" t="str">
        <f>IF(AA4="","",CONCATENATE(AA4,"Q"))</f>
        <v>GISQ</v>
      </c>
      <c r="AC4" s="2748" t="str">
        <f>IF(SUM(AC5:AC15)&gt;0,$A177,"")</f>
        <v>Web</v>
      </c>
      <c r="AD4" s="2749" t="str">
        <f>IF(AC4="","",CONCATENATE(AC4,"Q"))</f>
        <v>WebQ</v>
      </c>
      <c r="AE4" s="2748" t="str">
        <f>IF(SUM(AE5:AE15)&gt;0,$A176,"")</f>
        <v/>
      </c>
      <c r="AF4" s="2749" t="str">
        <f>IF(AE4="","",CONCATENATE(AE4,"Q"))</f>
        <v/>
      </c>
      <c r="AG4" s="2748" t="str">
        <f>IF(SUM(AG5:AG15)&gt;0,$A175,"")</f>
        <v>WTS</v>
      </c>
      <c r="AH4" s="2749" t="str">
        <f>IF(AG4="","",CONCATENATE(AG4,"Q"))</f>
        <v>WTSQ</v>
      </c>
      <c r="AI4" s="2748" t="str">
        <f>IF(SUM(AI5:AI15)&gt;0,$A174,"")</f>
        <v/>
      </c>
      <c r="AJ4" s="2749" t="str">
        <f>IF(AI4="","",CONCATENATE(AI4,"Q"))</f>
        <v/>
      </c>
      <c r="AK4" s="2748" t="str">
        <f>IF(SUM(AK5:AK15)&gt;0,$A173,"")</f>
        <v/>
      </c>
      <c r="AL4" s="2749" t="str">
        <f>IF(AK4="","",CONCATENATE(AK4,"Q"))</f>
        <v/>
      </c>
      <c r="AM4" s="2748" t="str">
        <f>IF(SUM(AM5:AM15)&gt;0,$A172,"")</f>
        <v/>
      </c>
      <c r="AN4" s="2749" t="str">
        <f>IF(AM4="","",CONCATENATE(AM4,"Q"))</f>
        <v/>
      </c>
      <c r="AO4" s="2748" t="str">
        <f>IF(SUM(AO5:AO15)&gt;0,$A171,"")</f>
        <v/>
      </c>
      <c r="AP4" s="2749" t="str">
        <f>IF(AO4="","",CONCATENATE(AO4,"Q"))</f>
        <v/>
      </c>
      <c r="AQ4" s="2748" t="str">
        <f>IF(SUM(AQ5:AQ15)&gt;0,$A170,"")</f>
        <v/>
      </c>
      <c r="AR4" s="2749" t="str">
        <f>IF(AQ4="","",CONCATENATE(AQ4,"Q"))</f>
        <v/>
      </c>
      <c r="AS4" s="2748" t="str">
        <f>IF(SUM(AS5:AS15)&gt;0,$A169,"")</f>
        <v/>
      </c>
      <c r="AT4" s="2749" t="str">
        <f>IF(AS4="","",CONCATENATE(AS4,"Q"))</f>
        <v/>
      </c>
      <c r="AU4" s="2748" t="str">
        <f>IF(SUM(AU5:AU15)&gt;0,$A168,"")</f>
        <v/>
      </c>
      <c r="AV4" s="2749" t="str">
        <f>IF(AU4="","",CONCATENATE(AU4,"Q"))</f>
        <v/>
      </c>
      <c r="AW4" s="2748" t="str">
        <f>IF(SUM(AW5:AW15)&gt;0,$A167,"")</f>
        <v/>
      </c>
      <c r="AX4" s="2749" t="str">
        <f>IF(AW4="","",CONCATENATE(AW4,"Q"))</f>
        <v/>
      </c>
      <c r="AY4" s="2748" t="str">
        <f>IF(SUM(AY5:AY15)&gt;0,$A166,"")</f>
        <v/>
      </c>
      <c r="AZ4" s="2749" t="str">
        <f>IF(AY4="","",CONCATENATE(AY4,"Q"))</f>
        <v/>
      </c>
      <c r="BA4" s="2748" t="str">
        <f>IF(SUM(BA5:BA15)&gt;0,$A165,"")</f>
        <v/>
      </c>
      <c r="BB4" s="2749" t="str">
        <f>IF(BA4="","",CONCATENATE(BA4,"Q"))</f>
        <v/>
      </c>
      <c r="BC4" s="2757" t="s">
        <v>327</v>
      </c>
      <c r="BD4" s="1026" t="s">
        <v>298</v>
      </c>
      <c r="BE4" s="1025" t="s">
        <v>277</v>
      </c>
      <c r="BF4" s="1025" t="str">
        <f>$A164</f>
        <v>Client</v>
      </c>
      <c r="BG4" s="22" t="s">
        <v>317</v>
      </c>
      <c r="BH4" s="69" t="str">
        <f>J4</f>
        <v>Client</v>
      </c>
      <c r="BI4" s="69"/>
      <c r="BJ4" s="69" t="str">
        <f>L3</f>
        <v>Web</v>
      </c>
      <c r="BK4" s="69"/>
      <c r="BL4" s="22" t="s">
        <v>312</v>
      </c>
      <c r="BM4" s="22" t="str">
        <f>O3</f>
        <v>Data Source</v>
      </c>
      <c r="BN4" s="22" t="s">
        <v>317</v>
      </c>
      <c r="BO4" s="22" t="str">
        <f>O3</f>
        <v>Data Source</v>
      </c>
      <c r="BP4" s="752" t="s">
        <v>293</v>
      </c>
      <c r="BQ4" s="128" t="str">
        <f>$A164</f>
        <v>Client</v>
      </c>
      <c r="BR4" s="77" t="str">
        <f>$A165</f>
        <v>Tier01</v>
      </c>
      <c r="BS4" s="77" t="str">
        <f>$A166</f>
        <v>Tier02</v>
      </c>
      <c r="BT4" s="77" t="str">
        <f>$A167</f>
        <v>Tier03</v>
      </c>
      <c r="BU4" s="77" t="str">
        <f>$A168</f>
        <v>Tier04</v>
      </c>
      <c r="BV4" s="77" t="str">
        <f>$A169</f>
        <v>Tier05</v>
      </c>
      <c r="BW4" s="77" t="str">
        <f>$A170</f>
        <v>Tier06</v>
      </c>
      <c r="BX4" s="77" t="str">
        <f>$A171</f>
        <v>Tier07</v>
      </c>
      <c r="BY4" s="77" t="str">
        <f>$A172</f>
        <v>Tier08</v>
      </c>
      <c r="BZ4" s="77" t="str">
        <f>$A173</f>
        <v>Tier09</v>
      </c>
      <c r="CA4" s="77" t="str">
        <f>$A174</f>
        <v>Tier10</v>
      </c>
      <c r="CB4" s="77" t="str">
        <f>$A175</f>
        <v>WTS</v>
      </c>
      <c r="CC4" s="77" t="str">
        <f>$A176</f>
        <v>Tier12</v>
      </c>
      <c r="CD4" s="77" t="str">
        <f>$A177</f>
        <v>Web</v>
      </c>
      <c r="CE4" s="77" t="str">
        <f>$A178</f>
        <v>GIS</v>
      </c>
      <c r="CF4" s="148" t="str">
        <f>$A179</f>
        <v>DBMS</v>
      </c>
      <c r="CG4" s="77" t="s">
        <v>317</v>
      </c>
      <c r="CH4" s="3418" t="s">
        <v>295</v>
      </c>
      <c r="CI4" s="3418"/>
      <c r="CJ4" s="3418"/>
      <c r="CK4" s="3418"/>
      <c r="CL4" s="1443" t="s">
        <v>310</v>
      </c>
      <c r="CM4" s="754" t="s">
        <v>277</v>
      </c>
      <c r="CN4" s="3419" t="s">
        <v>326</v>
      </c>
      <c r="CO4" s="3419"/>
      <c r="CP4" s="1444" t="s">
        <v>292</v>
      </c>
      <c r="CQ4" s="1442" t="s">
        <v>123</v>
      </c>
      <c r="CR4" s="1445"/>
      <c r="CS4" s="764"/>
      <c r="CT4" s="1446" t="s">
        <v>291</v>
      </c>
      <c r="CU4" s="1446" t="s">
        <v>329</v>
      </c>
      <c r="CV4" s="1447" t="s">
        <v>399</v>
      </c>
      <c r="CW4" s="1448" t="s">
        <v>423</v>
      </c>
      <c r="CX4" s="1895" t="s">
        <v>562</v>
      </c>
      <c r="CY4" s="1904" t="s">
        <v>815</v>
      </c>
      <c r="CZ4" s="1905" t="s">
        <v>818</v>
      </c>
      <c r="DA4" s="1448" t="s">
        <v>1210</v>
      </c>
      <c r="DB4" s="931"/>
      <c r="DC4" s="931"/>
      <c r="DD4" s="931"/>
      <c r="DE4" s="931"/>
      <c r="DF4" s="1449"/>
      <c r="DG4" s="5"/>
      <c r="DH4" s="793" t="s">
        <v>305</v>
      </c>
      <c r="DI4" s="7" t="s">
        <v>306</v>
      </c>
      <c r="DJ4" s="7" t="s">
        <v>289</v>
      </c>
      <c r="DK4" s="794" t="s">
        <v>1244</v>
      </c>
      <c r="DL4" s="788" t="s">
        <v>219</v>
      </c>
      <c r="DM4" s="781" t="s">
        <v>305</v>
      </c>
      <c r="DN4" s="781" t="s">
        <v>306</v>
      </c>
      <c r="DO4" s="781" t="s">
        <v>289</v>
      </c>
      <c r="DP4" s="781" t="s">
        <v>380</v>
      </c>
      <c r="DQ4" s="794" t="s">
        <v>1244</v>
      </c>
      <c r="DR4" s="788" t="s">
        <v>219</v>
      </c>
      <c r="DS4" s="799" t="s">
        <v>305</v>
      </c>
      <c r="DT4" s="799" t="s">
        <v>306</v>
      </c>
      <c r="DU4" s="799" t="s">
        <v>310</v>
      </c>
      <c r="DV4" s="799" t="s">
        <v>380</v>
      </c>
      <c r="DW4" s="794" t="s">
        <v>1244</v>
      </c>
      <c r="DX4" s="788" t="s">
        <v>219</v>
      </c>
      <c r="DY4" s="799" t="s">
        <v>305</v>
      </c>
      <c r="DZ4" s="799" t="s">
        <v>306</v>
      </c>
      <c r="EA4" s="799" t="s">
        <v>310</v>
      </c>
      <c r="EB4" s="799" t="s">
        <v>380</v>
      </c>
      <c r="EC4" s="794" t="s">
        <v>1244</v>
      </c>
      <c r="ED4" s="788" t="s">
        <v>219</v>
      </c>
      <c r="EE4" s="799" t="s">
        <v>305</v>
      </c>
      <c r="EF4" s="799" t="s">
        <v>306</v>
      </c>
      <c r="EG4" s="799" t="s">
        <v>310</v>
      </c>
      <c r="EH4" s="799" t="s">
        <v>380</v>
      </c>
      <c r="EI4" s="794" t="s">
        <v>1244</v>
      </c>
      <c r="EJ4" s="788" t="s">
        <v>219</v>
      </c>
      <c r="EK4" s="7" t="s">
        <v>305</v>
      </c>
      <c r="EL4" s="7" t="s">
        <v>306</v>
      </c>
      <c r="EM4" s="7" t="s">
        <v>310</v>
      </c>
      <c r="EN4" s="7" t="s">
        <v>380</v>
      </c>
      <c r="EO4" s="794" t="s">
        <v>1244</v>
      </c>
      <c r="EP4" s="788" t="s">
        <v>219</v>
      </c>
      <c r="EQ4" s="6" t="s">
        <v>305</v>
      </c>
      <c r="ER4" s="7" t="s">
        <v>306</v>
      </c>
      <c r="ES4" s="7" t="s">
        <v>310</v>
      </c>
      <c r="ET4" s="7" t="s">
        <v>380</v>
      </c>
      <c r="EU4" s="794" t="s">
        <v>1244</v>
      </c>
      <c r="EV4" s="788" t="s">
        <v>219</v>
      </c>
      <c r="EW4" s="6" t="s">
        <v>305</v>
      </c>
      <c r="EX4" s="7" t="s">
        <v>306</v>
      </c>
      <c r="EY4" s="7" t="s">
        <v>289</v>
      </c>
      <c r="EZ4" s="7" t="s">
        <v>380</v>
      </c>
      <c r="FA4" s="794" t="s">
        <v>1244</v>
      </c>
      <c r="FB4" s="788" t="s">
        <v>219</v>
      </c>
      <c r="FC4" s="6" t="s">
        <v>305</v>
      </c>
      <c r="FD4" s="7" t="s">
        <v>306</v>
      </c>
      <c r="FE4" s="7" t="s">
        <v>289</v>
      </c>
      <c r="FF4" s="7" t="s">
        <v>380</v>
      </c>
      <c r="FG4" s="794" t="s">
        <v>1244</v>
      </c>
      <c r="FH4" s="788" t="s">
        <v>219</v>
      </c>
      <c r="FI4" s="6" t="s">
        <v>305</v>
      </c>
      <c r="FJ4" s="7" t="s">
        <v>306</v>
      </c>
      <c r="FK4" s="7" t="s">
        <v>289</v>
      </c>
      <c r="FL4" s="7" t="s">
        <v>380</v>
      </c>
      <c r="FM4" s="794" t="s">
        <v>1244</v>
      </c>
      <c r="FN4" s="788" t="s">
        <v>219</v>
      </c>
      <c r="FO4" s="6" t="s">
        <v>305</v>
      </c>
      <c r="FP4" s="7" t="s">
        <v>306</v>
      </c>
      <c r="FQ4" s="7" t="s">
        <v>289</v>
      </c>
      <c r="FR4" s="7" t="s">
        <v>380</v>
      </c>
      <c r="FS4" s="794" t="s">
        <v>1244</v>
      </c>
      <c r="FT4" s="788" t="s">
        <v>219</v>
      </c>
      <c r="FU4" s="6" t="s">
        <v>305</v>
      </c>
      <c r="FV4" s="7" t="s">
        <v>306</v>
      </c>
      <c r="FW4" s="7" t="s">
        <v>289</v>
      </c>
      <c r="FX4" s="7" t="s">
        <v>380</v>
      </c>
      <c r="FY4" s="794" t="s">
        <v>1244</v>
      </c>
      <c r="FZ4" s="788" t="s">
        <v>219</v>
      </c>
      <c r="GA4" s="6" t="s">
        <v>305</v>
      </c>
      <c r="GB4" s="7" t="s">
        <v>306</v>
      </c>
      <c r="GC4" s="7" t="s">
        <v>289</v>
      </c>
      <c r="GD4" s="7" t="s">
        <v>380</v>
      </c>
      <c r="GE4" s="794" t="s">
        <v>1244</v>
      </c>
      <c r="GF4" s="788" t="s">
        <v>219</v>
      </c>
      <c r="GG4" s="6" t="s">
        <v>305</v>
      </c>
      <c r="GH4" s="7" t="s">
        <v>306</v>
      </c>
      <c r="GI4" s="7" t="s">
        <v>289</v>
      </c>
      <c r="GJ4" s="7" t="s">
        <v>380</v>
      </c>
      <c r="GK4" s="8" t="s">
        <v>311</v>
      </c>
      <c r="GL4" s="788" t="s">
        <v>219</v>
      </c>
      <c r="GM4" s="6" t="s">
        <v>305</v>
      </c>
      <c r="GN4" s="7" t="s">
        <v>306</v>
      </c>
      <c r="GO4" s="7" t="s">
        <v>289</v>
      </c>
      <c r="GP4" s="7" t="s">
        <v>380</v>
      </c>
      <c r="GQ4" s="8" t="s">
        <v>1244</v>
      </c>
      <c r="GR4" s="788" t="s">
        <v>219</v>
      </c>
      <c r="GS4" s="6" t="s">
        <v>305</v>
      </c>
      <c r="GT4" s="7" t="s">
        <v>306</v>
      </c>
      <c r="GU4" s="7" t="s">
        <v>290</v>
      </c>
      <c r="GV4" s="7"/>
      <c r="GW4" s="87" t="s">
        <v>309</v>
      </c>
      <c r="GX4" s="92" t="s">
        <v>373</v>
      </c>
      <c r="GY4" s="532" t="s">
        <v>300</v>
      </c>
      <c r="GZ4" s="2469"/>
      <c r="HA4" s="2475" t="s">
        <v>307</v>
      </c>
      <c r="HB4" s="2864"/>
    </row>
    <row r="5" spans="1:211" s="390" customFormat="1" ht="15" customHeight="1" x14ac:dyDescent="0.15">
      <c r="A5" s="1450" t="str">
        <f>CT5</f>
        <v>LAN</v>
      </c>
      <c r="B5" s="1089" t="s">
        <v>392</v>
      </c>
      <c r="C5" s="1451"/>
      <c r="D5" s="1452" t="s">
        <v>112</v>
      </c>
      <c r="E5" s="1090">
        <f ca="1">SUM(C5:OFFSET(C5,MATCH(BG5,OFFSET(BG5,1,0):BG$16,0)-1,0))</f>
        <v>85</v>
      </c>
      <c r="F5" s="1091">
        <f ca="1">SUM(G5:OFFSET(G5,MATCH(BG5,OFFSET(BG5,1,0):BG$16,0)-1,0))</f>
        <v>162.66666666666669</v>
      </c>
      <c r="G5" s="1092"/>
      <c r="H5" s="2479">
        <v>1000</v>
      </c>
      <c r="I5" s="1096">
        <f ca="1">F5/H5</f>
        <v>0.16266666666666668</v>
      </c>
      <c r="J5" s="1020" t="s">
        <v>303</v>
      </c>
      <c r="K5" s="1020" t="s">
        <v>333</v>
      </c>
      <c r="L5" s="1020" t="s">
        <v>304</v>
      </c>
      <c r="M5" s="1020" t="str">
        <f>L5</f>
        <v>Web</v>
      </c>
      <c r="N5" s="1020" t="s">
        <v>517</v>
      </c>
      <c r="O5" s="3135" t="s">
        <v>835</v>
      </c>
      <c r="P5" s="1021"/>
      <c r="Q5" s="1020" t="s">
        <v>309</v>
      </c>
      <c r="R5" s="2730">
        <v>10</v>
      </c>
      <c r="S5" s="1453"/>
      <c r="T5" s="1111"/>
      <c r="U5" s="1112"/>
      <c r="V5" s="1113"/>
      <c r="W5" s="2677"/>
      <c r="X5" s="2732"/>
      <c r="Y5" s="2750"/>
      <c r="Z5" s="1455"/>
      <c r="AA5" s="1456"/>
      <c r="AB5" s="1455"/>
      <c r="AC5" s="1456"/>
      <c r="AD5" s="1455"/>
      <c r="AE5" s="1456"/>
      <c r="AF5" s="1455"/>
      <c r="AG5" s="2750"/>
      <c r="AH5" s="1455"/>
      <c r="AI5" s="2750"/>
      <c r="AJ5" s="1455"/>
      <c r="AK5" s="2750"/>
      <c r="AL5" s="1455"/>
      <c r="AM5" s="2750"/>
      <c r="AN5" s="1455"/>
      <c r="AO5" s="2750"/>
      <c r="AP5" s="1455"/>
      <c r="AQ5" s="2750"/>
      <c r="AR5" s="1455"/>
      <c r="AS5" s="2750"/>
      <c r="AT5" s="1455"/>
      <c r="AU5" s="2750"/>
      <c r="AV5" s="1455"/>
      <c r="AW5" s="2750"/>
      <c r="AX5" s="1455"/>
      <c r="AY5" s="2750"/>
      <c r="AZ5" s="1455"/>
      <c r="BA5" s="2750"/>
      <c r="BB5" s="1455"/>
      <c r="BC5" s="2758"/>
      <c r="BD5" s="2759"/>
      <c r="BE5" s="2764"/>
      <c r="BF5" s="2764"/>
      <c r="BG5" s="1099" t="s">
        <v>308</v>
      </c>
      <c r="BH5" s="1085" t="str">
        <f>J4</f>
        <v>Client</v>
      </c>
      <c r="BI5" s="1085" t="str">
        <f>K4</f>
        <v>Citrix</v>
      </c>
      <c r="BJ5" s="1085" t="str">
        <f>L4</f>
        <v>Web</v>
      </c>
      <c r="BK5" s="1085"/>
      <c r="BL5" s="1085" t="str">
        <f>N4</f>
        <v>SOC</v>
      </c>
      <c r="BM5" s="1085" t="str">
        <f>O4</f>
        <v>DS/MDS</v>
      </c>
      <c r="BN5" s="1115" t="s">
        <v>308</v>
      </c>
      <c r="BO5" s="1099" t="str">
        <f>Q4</f>
        <v>DBMS</v>
      </c>
      <c r="BP5" s="1083" t="s">
        <v>273</v>
      </c>
      <c r="BQ5" s="1110" t="s">
        <v>374</v>
      </c>
      <c r="BR5" s="1110"/>
      <c r="BS5" s="1110"/>
      <c r="BT5" s="1110"/>
      <c r="BU5" s="1110"/>
      <c r="BV5" s="1110"/>
      <c r="BW5" s="1110"/>
      <c r="BX5" s="1110"/>
      <c r="BY5" s="1110"/>
      <c r="BZ5" s="1110"/>
      <c r="CA5" s="1110"/>
      <c r="CB5" s="1110"/>
      <c r="CC5" s="1110"/>
      <c r="CD5" s="1110"/>
      <c r="CE5" s="1110"/>
      <c r="CF5" s="1110"/>
      <c r="CG5" s="1099" t="s">
        <v>308</v>
      </c>
      <c r="CH5" s="1457">
        <f>COUNTBLANK($CI$5:$CI5)</f>
        <v>1</v>
      </c>
      <c r="CI5" s="1458"/>
      <c r="CJ5" s="1459">
        <f>H5</f>
        <v>1000</v>
      </c>
      <c r="CK5" s="1460"/>
      <c r="CL5" s="1106">
        <f ca="1">I5</f>
        <v>0.16266666666666668</v>
      </c>
      <c r="CM5" s="1114"/>
      <c r="CN5" s="1107"/>
      <c r="CO5" s="1107"/>
      <c r="CP5" s="1108"/>
      <c r="CQ5" s="1454">
        <f>IF($D$1=$H$171,1000,0)</f>
        <v>0</v>
      </c>
      <c r="CR5" s="1116">
        <f ca="1">F5/H5</f>
        <v>0.16266666666666668</v>
      </c>
      <c r="CS5" s="1461" t="s">
        <v>346</v>
      </c>
      <c r="CT5" s="1462" t="str">
        <f t="shared" ref="CT5:CT15" si="1">IF(ISERROR(FIND("_",B5)),B5,LEFT(B5,FIND("_",B5)-1))</f>
        <v>LAN</v>
      </c>
      <c r="CU5" s="1462">
        <f>IF(ISERROR(FIND("_",CW5)),CW5,LEFT(CW5,FIND("_",CW5)-1))</f>
        <v>0</v>
      </c>
      <c r="CV5" s="1463">
        <f>H5</f>
        <v>1000</v>
      </c>
      <c r="CW5" s="1899"/>
      <c r="CX5" s="1911"/>
      <c r="CY5" s="1896"/>
      <c r="CZ5" s="1465"/>
      <c r="DA5" s="1899"/>
      <c r="DB5" s="1464"/>
      <c r="DC5" s="1464"/>
      <c r="DD5" s="1464"/>
      <c r="DE5" s="1464"/>
      <c r="DF5" s="1465"/>
      <c r="DG5" s="1117"/>
      <c r="DH5" s="1118"/>
      <c r="DI5" s="1119"/>
      <c r="DJ5" s="1119"/>
      <c r="DK5" s="1120"/>
      <c r="DL5" s="1118"/>
      <c r="DM5" s="1119"/>
      <c r="DN5" s="1119"/>
      <c r="DO5" s="1119"/>
      <c r="DP5" s="1119"/>
      <c r="DQ5" s="1120"/>
      <c r="DR5" s="1118"/>
      <c r="DS5" s="1119"/>
      <c r="DT5" s="1119"/>
      <c r="DU5" s="1119"/>
      <c r="DV5" s="1119"/>
      <c r="DW5" s="1120"/>
      <c r="DX5" s="1118"/>
      <c r="DY5" s="1119"/>
      <c r="DZ5" s="1119"/>
      <c r="EA5" s="1119"/>
      <c r="EB5" s="1119"/>
      <c r="EC5" s="1120"/>
      <c r="ED5" s="1118"/>
      <c r="EE5" s="1119"/>
      <c r="EF5" s="1119"/>
      <c r="EG5" s="1119"/>
      <c r="EH5" s="1119"/>
      <c r="EI5" s="1120"/>
      <c r="EJ5" s="1118"/>
      <c r="EK5" s="1119"/>
      <c r="EL5" s="1119"/>
      <c r="EM5" s="1119"/>
      <c r="EN5" s="1119"/>
      <c r="EO5" s="1119"/>
      <c r="EP5" s="1118"/>
      <c r="EQ5" s="1121"/>
      <c r="ER5" s="1119"/>
      <c r="ES5" s="1119"/>
      <c r="ET5" s="1119"/>
      <c r="EU5" s="1119"/>
      <c r="EV5" s="1118"/>
      <c r="EW5" s="1121"/>
      <c r="EX5" s="1119"/>
      <c r="EY5" s="1119"/>
      <c r="EZ5" s="1119"/>
      <c r="FA5" s="1122"/>
      <c r="FB5" s="1118"/>
      <c r="FC5" s="1121"/>
      <c r="FD5" s="1119"/>
      <c r="FE5" s="1119"/>
      <c r="FF5" s="1119"/>
      <c r="FG5" s="1122"/>
      <c r="FH5" s="1118"/>
      <c r="FI5" s="1121"/>
      <c r="FJ5" s="1119"/>
      <c r="FK5" s="1119"/>
      <c r="FL5" s="1119"/>
      <c r="FM5" s="1122"/>
      <c r="FN5" s="1118"/>
      <c r="FO5" s="1121"/>
      <c r="FP5" s="1119"/>
      <c r="FQ5" s="1119"/>
      <c r="FR5" s="1119"/>
      <c r="FS5" s="1122"/>
      <c r="FT5" s="1118"/>
      <c r="FU5" s="1121"/>
      <c r="FV5" s="1119"/>
      <c r="FW5" s="1119"/>
      <c r="FX5" s="1119"/>
      <c r="FY5" s="1122"/>
      <c r="FZ5" s="1118"/>
      <c r="GA5" s="1121"/>
      <c r="GB5" s="1119"/>
      <c r="GC5" s="1119"/>
      <c r="GD5" s="1119"/>
      <c r="GE5" s="1122"/>
      <c r="GF5" s="1118"/>
      <c r="GG5" s="1121"/>
      <c r="GH5" s="1119"/>
      <c r="GI5" s="1119"/>
      <c r="GJ5" s="1119"/>
      <c r="GK5" s="1122"/>
      <c r="GL5" s="1118"/>
      <c r="GM5" s="1121"/>
      <c r="GN5" s="1119"/>
      <c r="GO5" s="1119"/>
      <c r="GP5" s="1119"/>
      <c r="GQ5" s="1122"/>
      <c r="GR5" s="1118"/>
      <c r="GS5" s="1121"/>
      <c r="GT5" s="1119"/>
      <c r="GU5" s="1119"/>
      <c r="GV5" s="1119"/>
      <c r="GW5" s="1122"/>
      <c r="GX5" s="1123"/>
      <c r="GY5" s="1466"/>
      <c r="GZ5" s="2470"/>
      <c r="HA5" s="1493">
        <f>H5</f>
        <v>1000</v>
      </c>
      <c r="HB5" s="2865"/>
      <c r="HC5" s="2865"/>
    </row>
    <row r="6" spans="1:211" s="1490" customFormat="1" ht="15" customHeight="1" x14ac:dyDescent="0.2">
      <c r="A6" s="1467" t="str">
        <f>IF($A$4=$H$163,$CI6&amp;"."&amp;$CJ6&amp;"."&amp;$CK6,CT6)</f>
        <v>S DeskEdit</v>
      </c>
      <c r="B6" s="159" t="s">
        <v>209</v>
      </c>
      <c r="C6" s="1468">
        <v>10</v>
      </c>
      <c r="D6" s="1469"/>
      <c r="E6" s="537">
        <f>IF(D6&lt;1000,IF(SUM(C6:D6)=0,0,IF(AND(D$1=H$169,T6=0),CS6,IF(T$2=$H$174,X6,IF(T$2=$H$175,IF(T6&gt;0,  IF(CR6&gt;X6,X6,CS6),CS6),E6)))),X6)</f>
        <v>10</v>
      </c>
      <c r="F6" s="538">
        <f>IF($T$2=$H$173,0,IF($D$4=Calculator!$A$162,C6*E6+D6/60,IF(OR($D$4=Calculator!$A$163,D6&lt;1000),(C6+D6)*E6,C6*E6+D6/60)))</f>
        <v>100</v>
      </c>
      <c r="G6" s="803">
        <f>IF(SUM($C6:$D6)&gt;0,F6*$I6/60,0)</f>
        <v>65</v>
      </c>
      <c r="H6" s="925" t="str">
        <f>W6&amp;CU6&amp;" {"&amp;TEXT(F6*60,"###,##0")&amp;"}"</f>
        <v>DB {6,000}</v>
      </c>
      <c r="I6" s="540">
        <f>$BG6</f>
        <v>39</v>
      </c>
      <c r="J6" s="926" t="s">
        <v>382</v>
      </c>
      <c r="K6" s="926" t="s">
        <v>382</v>
      </c>
      <c r="L6" s="927" t="s">
        <v>382</v>
      </c>
      <c r="M6" s="927" t="s">
        <v>382</v>
      </c>
      <c r="N6" s="927" t="s">
        <v>382</v>
      </c>
      <c r="O6" s="927" t="s">
        <v>382</v>
      </c>
      <c r="P6" s="928" t="str">
        <f>IF(OR(AND($O6=$A$163,  $O$5=$A$163),AND($O6=$A$163,  $O$5=$A$183)), IF(BL6&gt;0,IF($N6=$A$163,$N$5,$N6), IF(BI6&gt;0,  IF($K6=$A$163,$K$5,$K6), IF($J6=$A$163,$J$5,$J6))),IF(O6=$A$163,O$5,O6))</f>
        <v>Client</v>
      </c>
      <c r="Q6" s="929" t="s">
        <v>382</v>
      </c>
      <c r="R6" s="160" t="s">
        <v>1055</v>
      </c>
      <c r="S6" s="1470">
        <f>VLOOKUP($B6,wfRange,Workflow!B$1,FALSE)</f>
        <v>200</v>
      </c>
      <c r="T6" s="1245">
        <f>CP6</f>
        <v>3</v>
      </c>
      <c r="U6" s="546">
        <f ca="1">IF(F6=0,T6,60/E6-V6)</f>
        <v>5.5920986276424651</v>
      </c>
      <c r="V6" s="759">
        <f ca="1">IF(F6=0,0,SUM(Y6:BF6))</f>
        <v>0.40790137235753482</v>
      </c>
      <c r="W6" s="2682"/>
      <c r="X6" s="2733">
        <f>CQ6</f>
        <v>10</v>
      </c>
      <c r="Y6" s="2751">
        <f>IF(SUM($C6:$D6)&gt;0,$K$81*CF6,0)*1/VLOOKUP(B6,wfRange,Workflow!N$1,FALSE)</f>
        <v>3.186157458904957E-2</v>
      </c>
      <c r="Z6" s="1474">
        <f>IF(Y6&gt;0, IF($A$79&lt;0.9999,   IF($T6=0,  MAX($CL$2*Y6*$Q$78,$CL$2*Y6*$Q$77),  MAX(Y6*$Q$78,Y6*$Q$77)),  Y6*200),0)</f>
        <v>6.6188609149817343E-3</v>
      </c>
      <c r="AA6" s="2751">
        <f>IF(SUM($C6:$D6)&gt;0,$K$77*CE6,0)*1/VLOOKUP(B6,wfRange,Workflow!N$1,FALSE)</f>
        <v>0</v>
      </c>
      <c r="AB6" s="1474">
        <f>IF(AA6&gt;0, IF($A$75&lt;0.9999,   IF($T6=0,  MAX($CL$2*AA6*$Q$74,$CL$2*AA6*$Q$73),  MAX(AA6*$Q$74,AA6*$Q$73)),  AA6*200),0)</f>
        <v>0</v>
      </c>
      <c r="AC6" s="2751">
        <f>IF(SUM($C6:$D6)&gt;0,$K$73*CD6,0)*1/VLOOKUP(B6,wfRange,Workflow!N$1,FALSE)</f>
        <v>0</v>
      </c>
      <c r="AD6" s="1474">
        <f>IF(AC6&gt;0, IF($A$71&lt;0.9999,   IF($T6=0,  MAX($CL$2*AC6*$Q$70,$CL$2*AC6*$Q$69),  MAX(AC6*$Q$70,AC6*$Q$69)),  AC6*200),0)</f>
        <v>0</v>
      </c>
      <c r="AE6" s="2751">
        <f>IF(SUM($C6:$D6)&gt;0,$K$69*CC6,0)*1/VLOOKUP(B6,wfRange,Workflow!N$1,FALSE)</f>
        <v>0</v>
      </c>
      <c r="AF6" s="1474">
        <f>IF(AE6&gt;0, IF($A$67&lt;0.9999,   IF($T6=0,  MAX($CL$2*AE6*$Q$66,$CL$2*AE6*$Q$65),  MAX(AE6*$Q$66,AE6*$Q$65)),  AE6*200),0)</f>
        <v>0</v>
      </c>
      <c r="AG6" s="2751">
        <f>IF(SUM($C6:$D6)&gt;0,$K$65*CB6,0)*1/VLOOKUP(B6,wfRange,Workflow!N$1,FALSE)</f>
        <v>0</v>
      </c>
      <c r="AH6" s="1474">
        <f>IF(AG6&gt;0, IF($A$63&lt;0.9999,   IF($T6=0,  MAX($CL$2*AG6*$Q$62,$CL$2*AG6*$Q$60),  MAX(AG6*$Q$62,AG6*$Q$60)),  AG6*200),0)</f>
        <v>0</v>
      </c>
      <c r="AI6" s="2751">
        <f>IF(SUM($C6:$D6)&gt;0,$K$60*CA6,0)*1/VLOOKUP(B6,wfRange,Workflow!N$1,FALSE)</f>
        <v>0</v>
      </c>
      <c r="AJ6" s="1474">
        <f>IF(AI6&gt;0, IF($A$58&lt;0.9999,   IF($T6=0,  MAX($CL$2*AI6*$Q$57,$CL$2*AI6*$Q$56),  MAX(AI6*$Q$57,AI6*$Q$56)),  AI6*200),0)</f>
        <v>0</v>
      </c>
      <c r="AK6" s="2751">
        <f>IF(SUM($C6:$D6)&gt;0,$K$56*BZ6,0)*1/VLOOKUP(B6,wfRange,Workflow!N$1,FALSE)</f>
        <v>0</v>
      </c>
      <c r="AL6" s="1474">
        <f>IF(AK6&gt;0, IF($A$54&lt;0.9999,   IF($T6=0,  MAX($CL$2*AK6*$Q$53,$CL$2*AK6*$Q$52),  MAX(AK6*$Q$53,AK6*$Q$52)),  AK6*200),0)</f>
        <v>0</v>
      </c>
      <c r="AM6" s="2751">
        <f>IF(SUM($C6:$D6)&gt;0,$K$52*BY6,0)*1/VLOOKUP(B6,wfRange,Workflow!N$1,FALSE)</f>
        <v>0</v>
      </c>
      <c r="AN6" s="1474">
        <f>IF(AM6&gt;0, IF($A$50&lt;0.9999,   IF($T6=0,  MAX($CL$2*AM6*$Q$49,$CL$2*AM6*$Q$48),  MAX(AM6*$Q$49,AM6*$Q$48)),  AM6*200),0)</f>
        <v>0</v>
      </c>
      <c r="AO6" s="2751">
        <f>IF(SUM($C6:$D6)&gt;0,$K$48*BX6,0)*1/VLOOKUP(B6,wfRange,Workflow!N$1,FALSE)</f>
        <v>0</v>
      </c>
      <c r="AP6" s="1474">
        <f>IF(AO6&gt;0, IF($A$46&lt;0.9999,   IF($T6=0,  MAX($CL$2*AO6*$Q$45,$CL$2*AO6*$Q$44),  MAX(AO6*$Q$45,AO6*$Q$44)),  AO6*200),0)</f>
        <v>0</v>
      </c>
      <c r="AQ6" s="2751">
        <f>IF(SUM($C6:$D6)&gt;0,$K$44*BW6,0)*1/VLOOKUP(B6,wfRange,Workflow!N$1,FALSE)</f>
        <v>0</v>
      </c>
      <c r="AR6" s="1474">
        <f>IF(AQ6&gt;0, IF($A$42&lt;0.9999,   IF($T6=0,  MAX($CL$2*AQ6*$Q$41,$CL$2*AQ6*$Q$39),  MAX(AQ6*$Q$41,AQ6*$Q$39)),  AQ6*200),0)</f>
        <v>0</v>
      </c>
      <c r="AS6" s="2751">
        <f>IF(SUM($C6:$D6)&gt;0,$K$39*BV6,0)*1/VLOOKUP(B6,wfRange,Workflow!N$1,FALSE)</f>
        <v>0</v>
      </c>
      <c r="AT6" s="1474">
        <f>IF(AS6&gt;0, IF($A$37&lt;0.9999,   IF($T6=0,  MAX($CL$2*AS6*$Q$36,$CL$2*AS6*$Q$35),  MAX(AS6*$Q$36,AS6*$Q$35)),  AS6*200),0)</f>
        <v>0</v>
      </c>
      <c r="AU6" s="2751">
        <f>IF(SUM($C6:$D6)&gt;0,$K$35*BU6,0)*1/VLOOKUP(B6,wfRange,Workflow!N$1,FALSE)</f>
        <v>0</v>
      </c>
      <c r="AV6" s="1474">
        <f>IF(AU6&gt;0, IF($A$33&lt;0.9999,   IF($T6=0,  MAX($CL$2*AU6*$Q$32,$CL$2*AU6*$Q$31),  MAX(AU6*$Q$32,AU6*$Q$31)),  AU6*200),0)</f>
        <v>0</v>
      </c>
      <c r="AW6" s="2751">
        <f>IF(SUM($C6:$D6)&gt;0,$K$31*BT6,0)*1/VLOOKUP(B6,wfRange,Workflow!N$1,FALSE)</f>
        <v>0</v>
      </c>
      <c r="AX6" s="1474">
        <f>IF(AW6&gt;0, IF($A$29&lt;0.9999,   IF($T6=0,  MAX($CL$2*AW6*$Q$28,$CL$2*AW6*$Q$27),  MAX(AW6*$Q$28,AW6*$Q$27)),  AW6*200),0)</f>
        <v>0</v>
      </c>
      <c r="AY6" s="2751">
        <f>IF(SUM($C6:$D6)&gt;0,$K$27*BS6,0)*1/VLOOKUP(B6,wfRange,Workflow!N$1,FALSE)</f>
        <v>0</v>
      </c>
      <c r="AZ6" s="1474">
        <f>IF(AY6&gt;0, IF($A$25&lt;0.9999,   IF($T6=0,  MAX($CL$2*AY6*$Q$24,$CL$2*AY6*$Q$23),  MAX(AY6*$Q$24,AY6*$Q$23)),  AY6*200),0)</f>
        <v>0</v>
      </c>
      <c r="BA6" s="2751">
        <f>IF(SUM($C6:$D6)&gt;0,$K$23*BR6,0)*1/VLOOKUP(B6,wfRange,Workflow!N$1,FALSE)</f>
        <v>0</v>
      </c>
      <c r="BB6" s="1474">
        <f>IF(BA6&gt;0, IF($A$21&lt;0.9999,   IF($T6=0,  MAX($CL$2*BA6*$Q$20,$CL$2*BA6*$Q$19),  MAX(BA6*$Q$20,BA6*$Q$19)),  BA6*200),0)</f>
        <v>0</v>
      </c>
      <c r="BC6" s="2751">
        <f ca="1">IF(SUM($C6:$D6)&gt;0,IF($CJ6&gt;0,IF($CO6&gt;$CN6,$I6/$CN6,$I6/$CO6),$I6/$CN6),0)</f>
        <v>3.9E-2</v>
      </c>
      <c r="BD6" s="930">
        <f ca="1">IF(BC6&gt;0,IF(CL6&lt;0.9999,BC6*CL6/((1+$CK$2*CL6)*(1-CL6)),BC6*500),0)</f>
        <v>6.5164275696838669E-3</v>
      </c>
      <c r="BE6" s="2765">
        <f ca="1">IF(SUM($C6:$D6)&gt;0,IF(CJ6&gt;0,VLOOKUP($CJ6+200,NL,6,FALSE)*S6,0),0)/1000</f>
        <v>0</v>
      </c>
      <c r="BF6" s="2765">
        <f>IF(SUM($C6:$D6)&gt;0,BQ6*$BO$2/$G$18,0)*1/VLOOKUP(B6,wfRange,Workflow!N$1,FALSE)</f>
        <v>0.32390450928381964</v>
      </c>
      <c r="BG6" s="2736">
        <f>IF($CW6="desktop",VLOOKUP($R6,DataArray,5,FALSE)* VLOOKUP($B6,wfRange,Workflow!C$1,FALSE), VLOOKUP($B6,wfRange,Workflow!C$1,FALSE))</f>
        <v>39</v>
      </c>
      <c r="BH6" s="1476">
        <f>IF(CW6="Desktop", VLOOKUP($R6,DataArray,4,FALSE)* IF(ISERROR(FIND("File",$R6)), VLOOKUP($B6,wfRange,Workflow!D$1,FALSE), VLOOKUP($B6,wfRange,Workflow!D$1,FALSE)+ VLOOKUP($B6,wfRange,Workflow!I$1,FALSE)+ VLOOKUP($B6,wfRange,Workflow!K$1,FALSE)), VLOOKUP($B6,wfRange,Workflow!D$1,FALSE))</f>
        <v>0.24025349487418457</v>
      </c>
      <c r="BI6" s="542">
        <f>IF(VLOOKUP($B6,wfRange,Workflow!E$1,FALSE)&gt;0, VLOOKUP($R6,DataArray,4,FALSE)* IF(ISERROR(FIND("File",$R6)),   VLOOKUP($B6,wfRange,Workflow!E$1,FALSE),     VLOOKUP($B6,wfRange,Workflow!E$1,FALSE)+ VLOOKUP($B6,wfRange,Workflow!I$1,FALSE)+ VLOOKUP($B6,wfRange,Workflow!K$1,FALSE)),0)</f>
        <v>0</v>
      </c>
      <c r="BJ6" s="543">
        <f>VLOOKUP($B6,wfRange,Workflow!F$1,FALSE)</f>
        <v>0</v>
      </c>
      <c r="BK6" s="543">
        <f>MAX(VLOOKUP($B6,wfRange,Workflow!G$1,FALSE),IF(W6=$BB$18,$BC$18,0))</f>
        <v>0</v>
      </c>
      <c r="BL6" s="543">
        <f>IF(VLOOKUP($B6,wfRange,Workflow!H$1,FALSE)&gt;0,VLOOKUP($R6,DataArray,4,FALSE)* IF(ISERROR(FIND("File",$R6)),VLOOKUP($B6,wfRange,Workflow!H$1,FALSE),VLOOKUP($B6,wfRange,Workflow!H$1,FALSE)+VLOOKUP($B6,wfRange,Workflow!I$1,FALSE)+VLOOKUP($B6,wfRange,Workflow!K$1,FALSE)),0)</f>
        <v>0</v>
      </c>
      <c r="BM6" s="544">
        <f>VLOOKUP($R6,DataArray,3,FALSE)* VLOOKUP($B6,wfRange,Workflow!I$1,FALSE)</f>
        <v>3.0031686859273071E-2</v>
      </c>
      <c r="BN6" s="545">
        <f>VLOOKUP($R6,DataArray,5,FALSE)* VLOOKUP($B6,wfRange,Workflow!J$1,FALSE)</f>
        <v>10</v>
      </c>
      <c r="BO6" s="544">
        <f>VLOOKUP($R6,DataArray,2,FALSE)* VLOOKUP($B6,wfRange,Workflow!K$1,FALSE)</f>
        <v>3.0031686859273071E-2</v>
      </c>
      <c r="BP6" s="753">
        <f>SUM(BH6:BM6,BO6)</f>
        <v>0.30031686859273066</v>
      </c>
      <c r="BQ6" s="1471">
        <f t="shared" ref="BQ6:CF8" si="2">IF(OR($J6=BQ$4,AND($J6=$A$163,$J$5=BQ$4)),$BH6)+IF(OR($K6=BQ$4,AND($K6=$A$163,$K$5=BQ$4)),$BI6)+IF(OR($L6=BQ$4,AND($L6=$A$163,$L$5=BQ$4)),$BJ6)+IF(OR($M6=BQ$4,AND($M6=$A$163,$M$5=BQ$4)),$BK6)+IF(OR($N6=BQ$4,AND($N6=$A$163,$N$5=BQ$4)),$BL6)+IF($P6=BQ$4,$BM6)+IF(OR($Q6=BQ$4,AND($Q6=$A$163,$Q$5=BQ$4)),$BO6)</f>
        <v>0.27028518173345761</v>
      </c>
      <c r="BR6" s="1472">
        <f t="shared" si="2"/>
        <v>0</v>
      </c>
      <c r="BS6" s="1472">
        <f t="shared" si="2"/>
        <v>0</v>
      </c>
      <c r="BT6" s="1472">
        <f t="shared" si="2"/>
        <v>0</v>
      </c>
      <c r="BU6" s="1472">
        <f t="shared" si="2"/>
        <v>0</v>
      </c>
      <c r="BV6" s="1472">
        <f t="shared" si="2"/>
        <v>0</v>
      </c>
      <c r="BW6" s="1472">
        <f t="shared" si="2"/>
        <v>0</v>
      </c>
      <c r="BX6" s="1472">
        <f t="shared" si="2"/>
        <v>0</v>
      </c>
      <c r="BY6" s="1472">
        <f t="shared" si="2"/>
        <v>0</v>
      </c>
      <c r="BZ6" s="1472">
        <f t="shared" si="2"/>
        <v>0</v>
      </c>
      <c r="CA6" s="1472">
        <f t="shared" si="2"/>
        <v>0</v>
      </c>
      <c r="CB6" s="1472">
        <f t="shared" si="2"/>
        <v>0</v>
      </c>
      <c r="CC6" s="1472">
        <f t="shared" si="2"/>
        <v>0</v>
      </c>
      <c r="CD6" s="1472">
        <f t="shared" si="2"/>
        <v>0</v>
      </c>
      <c r="CE6" s="1472">
        <f t="shared" si="2"/>
        <v>0</v>
      </c>
      <c r="CF6" s="1472">
        <f t="shared" si="2"/>
        <v>3.0031686859273071E-2</v>
      </c>
      <c r="CG6" s="541">
        <f>$BN6</f>
        <v>10</v>
      </c>
      <c r="CH6" s="951">
        <f ca="1">CJ6+100</f>
        <v>100</v>
      </c>
      <c r="CI6" s="951">
        <f ca="1">COUNTBLANK($CI$5:$CI6)</f>
        <v>1</v>
      </c>
      <c r="CJ6" s="951">
        <f ca="1">COUNTBLANK($CJ$5:$CJ6)</f>
        <v>0</v>
      </c>
      <c r="CK6" s="1477">
        <f ca="1">COUNTA($CK$5:$CK6)</f>
        <v>1</v>
      </c>
      <c r="CL6" s="547">
        <f ca="1">IF(CO6=0,VLOOKUP($CI6,NL,5,FALSE),IF(CO6&lt;CN6,VLOOKUP($CJ6+200,NL,5,FALSE),VLOOKUP($CI6,NL,5,FALSE)))</f>
        <v>0.16266666666666668</v>
      </c>
      <c r="CM6" s="1475"/>
      <c r="CN6" s="548">
        <f ca="1">VLOOKUP($CI6,NL,3,FALSE)</f>
        <v>1000</v>
      </c>
      <c r="CO6" s="549">
        <f ca="1">IF(CJ6&gt;0,VLOOKUP($CJ6+200,NL,2,FALSE),0)</f>
        <v>0</v>
      </c>
      <c r="CP6" s="570">
        <f>VLOOKUP($B6,wfRange,Workflow!L$1,FALSE)</f>
        <v>3</v>
      </c>
      <c r="CQ6" s="1473">
        <f>IF($CQ$5=1000,1000,VLOOKUP($B6,wfRange,Workflow!M$1,FALSE))</f>
        <v>10</v>
      </c>
      <c r="CR6" s="767">
        <f ca="1">IF(SUM($C6:$D6)&gt;0,IF(T6&gt;0,60/(T6+V6),60/V6),1000)</f>
        <v>17.606143325237404</v>
      </c>
      <c r="CS6" s="766">
        <f ca="1">IF(CR6&gt;E6,E6+ABS(CR6-E6)*$U$2/100,E6-ABS(CR6-E6)*$U$2/500)</f>
        <v>10.76061433252374</v>
      </c>
      <c r="CT6" s="1478" t="str">
        <f>IF(ISERROR(FIND("_",B6)),B6,LEFT(B6,FIND("_",B6)-1))</f>
        <v>S DeskEdit</v>
      </c>
      <c r="CU6" s="1478" t="str">
        <f>IF(ISERROR(FIND("_",R6)),R6,LEFT(R6,FIND("_",R6)-1))</f>
        <v>DB</v>
      </c>
      <c r="CV6" s="1479">
        <f>F6*60</f>
        <v>6000</v>
      </c>
      <c r="CW6" s="1900" t="str">
        <f>VLOOKUP($B6,wfRange,Workflow!O$1,FALSE)</f>
        <v>Desktop</v>
      </c>
      <c r="CX6" s="1478">
        <f>IF(ISERROR(IF(CW6=" Imagery",MATCH(R6,ImageryDataList,0), MATCH(R6,MapDataList,0))),1,0)</f>
        <v>0</v>
      </c>
      <c r="CY6" s="1914">
        <f>IF(CW6=" imagery",IF($O6=$A$181,0,IF($O6=$A$182,0,1)),0)</f>
        <v>0</v>
      </c>
      <c r="CZ6" s="1908">
        <f>IF(AND(O6=$A$182,R6=Calculator!$C$171),1,0)</f>
        <v>0</v>
      </c>
      <c r="DA6" s="1900" t="str">
        <f>IF(BH6&gt;0.04*$BO$2/58,DA$4,"server")</f>
        <v xml:space="preserve"> wkstn </v>
      </c>
      <c r="DB6" s="1480"/>
      <c r="DC6" s="1480"/>
      <c r="DD6" s="1480"/>
      <c r="DE6" s="1480"/>
      <c r="DF6" s="1481"/>
      <c r="DG6" s="550"/>
      <c r="DH6" s="1482">
        <f>IF($BQ6&gt;0, IF(ISTEXT(DH$3), $C6+IF($D6&lt;1000,$D6,$D6/($E6*60)),0),0)</f>
        <v>10</v>
      </c>
      <c r="DI6" s="1483">
        <f>IF(DH6&gt;0,IF(ISTEXT(DH$3),$F6),0)</f>
        <v>100</v>
      </c>
      <c r="DJ6" s="1484">
        <f>IF(DH6&gt;0,IF(ISTEXT(DH$3),$G6),0)</f>
        <v>65</v>
      </c>
      <c r="DK6" s="1485">
        <f>$BQ6*DI6</f>
        <v>27.028518173345763</v>
      </c>
      <c r="DL6" s="801" t="b">
        <f>ISERROR(MATCH(DN$3,$J6:$O6,0))</f>
        <v>1</v>
      </c>
      <c r="DM6" s="802">
        <f>IF($BR6&gt;0, IF(ISTEXT(DM$3), $C6+IF($D6&lt;1000,$D6,$D6/($E6*60)),0),0)</f>
        <v>0</v>
      </c>
      <c r="DN6" s="802">
        <f>IF(DM6&gt;0,IF(ISTEXT(DM$3),$F6),0)</f>
        <v>0</v>
      </c>
      <c r="DO6" s="539">
        <f>IF(DM6&gt;0,IF(ISTEXT(DM$3),$G6),0)</f>
        <v>0</v>
      </c>
      <c r="DP6" s="698">
        <f>IF($I6=0,0,IF(DM6&gt;0,DO6*$CG6/$I6,0))</f>
        <v>0</v>
      </c>
      <c r="DQ6" s="803">
        <f>$BR6*DN6</f>
        <v>0</v>
      </c>
      <c r="DR6" s="801" t="b">
        <f>ISERROR(MATCH(DT$3,$J6:$O6,0))</f>
        <v>1</v>
      </c>
      <c r="DS6" s="802">
        <f>IF($BS6&gt;0, IF(ISTEXT(DS$3), $C6+IF($D6&lt;1000,$D6,$D6/($E6*60)),0),0)</f>
        <v>0</v>
      </c>
      <c r="DT6" s="802">
        <f>IF(DS6&gt;0,IF(ISTEXT(DS$3),$F6),0)</f>
        <v>0</v>
      </c>
      <c r="DU6" s="539">
        <f>IF(DS6&gt;0,IF(ISTEXT(DS$3),$G6),0)</f>
        <v>0</v>
      </c>
      <c r="DV6" s="698">
        <f>IF($I6=0,0,IF(DS6&gt;0,DU6*$CG6/$I6,0))</f>
        <v>0</v>
      </c>
      <c r="DW6" s="803">
        <f>$BS6*DT6</f>
        <v>0</v>
      </c>
      <c r="DX6" s="801" t="b">
        <f>ISERROR(MATCH(DZ$3,$J6:$O6,0))</f>
        <v>1</v>
      </c>
      <c r="DY6" s="802">
        <f>IF($BT6&gt;0, IF(ISTEXT(DY$3), $C6+IF($D6&lt;1000,$D6,$D6/($E6*60)),0),0)</f>
        <v>0</v>
      </c>
      <c r="DZ6" s="802">
        <f>IF(DY6&gt;0,IF(ISTEXT(DY$3),$F6),0)</f>
        <v>0</v>
      </c>
      <c r="EA6" s="539">
        <f>IF(DY6&gt;0,IF(ISTEXT(DY$3),$G6),0)*IF($DX6=FALSE,IF($DZ$3=$D$180,1,$EA$3),1)</f>
        <v>0</v>
      </c>
      <c r="EB6" s="698">
        <f>IF($I6=0,0,IF(DY6&gt;0,EA6*$CG6/$I6,0))</f>
        <v>0</v>
      </c>
      <c r="EC6" s="803">
        <f>$BT6*DZ6</f>
        <v>0</v>
      </c>
      <c r="ED6" s="801" t="b">
        <f>ISERROR(MATCH(EF$3,$J6:$O6,0))</f>
        <v>1</v>
      </c>
      <c r="EE6" s="802">
        <f>IF($BU6&gt;0, IF(ISTEXT(EE$3), $C6+IF($D6&lt;1000,$D6,$D6/($E6*60)),0),0)</f>
        <v>0</v>
      </c>
      <c r="EF6" s="802">
        <f>IF(EE6&gt;0,IF(ISTEXT(EE$3),$F6),0)</f>
        <v>0</v>
      </c>
      <c r="EG6" s="539">
        <f>IF(EE6&gt;0,IF(ISTEXT(EE$3),$G6),0)</f>
        <v>0</v>
      </c>
      <c r="EH6" s="698">
        <f>IF($I6=0,0,IF(EE6&gt;0,EG6*$CG6/$I6,0))</f>
        <v>0</v>
      </c>
      <c r="EI6" s="803">
        <f>$BU6*EF6</f>
        <v>0</v>
      </c>
      <c r="EJ6" s="801" t="b">
        <f>ISERROR(MATCH(EL$3,$J6:$O6,0))</f>
        <v>1</v>
      </c>
      <c r="EK6" s="1483">
        <f>IF($BV6&gt;0, IF(ISTEXT(EK$3), $C6+IF($D6&lt;1000,$D6,$D6/($E6*60)),0),0)</f>
        <v>0</v>
      </c>
      <c r="EL6" s="1483">
        <f>IF(EK6&gt;0,IF(ISTEXT(EK$3),$F6),0)</f>
        <v>0</v>
      </c>
      <c r="EM6" s="1484">
        <f>IF(EK6&gt;0,IF(ISTEXT(EK$3),$G6),0)</f>
        <v>0</v>
      </c>
      <c r="EN6" s="1486">
        <f>IF($I6=0,0,IF(EK6&gt;0,EM6*$CG6/$I6,0))</f>
        <v>0</v>
      </c>
      <c r="EO6" s="1487">
        <f>$BV6*EL6</f>
        <v>0</v>
      </c>
      <c r="EP6" s="801" t="b">
        <f>ISERROR(MATCH(ER$3,$J6:$O6,0))</f>
        <v>1</v>
      </c>
      <c r="EQ6" s="1488">
        <f>IF($BW6&gt;0, IF(ISTEXT(EQ$3), $C6+IF($D6&lt;1000,$D6,$D6/($E6*60)),0),0)</f>
        <v>0</v>
      </c>
      <c r="ER6" s="1483">
        <f>IF(EQ6&gt;0,IF(ISTEXT(EQ$3),$F6),0)</f>
        <v>0</v>
      </c>
      <c r="ES6" s="1484">
        <f>IF(EQ6&gt;0,IF(ISTEXT(EQ$3),$G6),0)</f>
        <v>0</v>
      </c>
      <c r="ET6" s="1486">
        <f>IF($I6=0,0,IF(EQ6&gt;0,ES6*$CG6/$I6,0))</f>
        <v>0</v>
      </c>
      <c r="EU6" s="1487">
        <f>$BW6*ER6</f>
        <v>0</v>
      </c>
      <c r="EV6" s="801" t="b">
        <f>ISERROR(MATCH(EX$3,$J6:$O6,0))</f>
        <v>1</v>
      </c>
      <c r="EW6" s="1488">
        <f>IF($BX6&gt;0, IF(ISTEXT(EW$3), $C6+IF($D6&lt;1000,$D6,$D6/($E6*60)),0),0)</f>
        <v>0</v>
      </c>
      <c r="EX6" s="1483">
        <f>IF(EW6&gt;0,IF(ISTEXT(EW$3),$F6),0)</f>
        <v>0</v>
      </c>
      <c r="EY6" s="1484">
        <f>IF(EW6&gt;0,IF(ISTEXT(EW$3),$G6),0)</f>
        <v>0</v>
      </c>
      <c r="EZ6" s="1486">
        <f>IF($I6=0,0,IF(EW6&gt;0,EY6*$CG6/$I6,0))</f>
        <v>0</v>
      </c>
      <c r="FA6" s="1487">
        <f>$BX6*EX6</f>
        <v>0</v>
      </c>
      <c r="FB6" s="801" t="b">
        <f>ISERROR(MATCH(FD$3,$J6:$O6,0))</f>
        <v>1</v>
      </c>
      <c r="FC6" s="1488">
        <f>IF($BY6&gt;0, IF(ISTEXT(FC$3), $C6+IF($D6&lt;1000,$D6,$D6/($E6*60)),0),0)</f>
        <v>0</v>
      </c>
      <c r="FD6" s="1483">
        <f>IF(FC6&gt;0,IF(ISTEXT(FC$3),$F6),0)</f>
        <v>0</v>
      </c>
      <c r="FE6" s="1484">
        <f>IF(FC6&gt;0,IF(ISTEXT(FC$3),$G6),0)</f>
        <v>0</v>
      </c>
      <c r="FF6" s="1486">
        <f>IF($I6=0,0,IF(FC6&gt;0,FE6*$CG6/$I6,0))</f>
        <v>0</v>
      </c>
      <c r="FG6" s="1487">
        <f>$BY6*FD6</f>
        <v>0</v>
      </c>
      <c r="FH6" s="801" t="b">
        <f>ISERROR(MATCH(FJ$3,$J6:$O6,0))</f>
        <v>1</v>
      </c>
      <c r="FI6" s="1488">
        <f>IF($BZ6&gt;0, IF(ISTEXT(FI$3), $C6+IF($D6&lt;1000,$D6,$D6/($E6*60)),0),0)</f>
        <v>0</v>
      </c>
      <c r="FJ6" s="1483">
        <f>IF(FI6&gt;0,IF(ISTEXT(FI$3),$F6),0)</f>
        <v>0</v>
      </c>
      <c r="FK6" s="1484">
        <f>IF(FI6&gt;0,IF(ISTEXT(FI$3),$G6),0)</f>
        <v>0</v>
      </c>
      <c r="FL6" s="1486">
        <f>IF($I6=0,0,IF(FI6&gt;0,FK6*$CG6/$I6,0))</f>
        <v>0</v>
      </c>
      <c r="FM6" s="1487">
        <f>$BZ6*FJ6</f>
        <v>0</v>
      </c>
      <c r="FN6" s="801" t="b">
        <f>ISERROR(MATCH(FP$3,$J6:$O6,0))</f>
        <v>1</v>
      </c>
      <c r="FO6" s="1488">
        <f>IF($CA6&gt;0, IF(ISTEXT(FO$3), $C6+IF($D6&lt;1000,$D6,$D6/($E6*60)),0),0)</f>
        <v>0</v>
      </c>
      <c r="FP6" s="1483">
        <f>IF(FO6&gt;0,IF(ISTEXT(FO$3),$F6),0)</f>
        <v>0</v>
      </c>
      <c r="FQ6" s="1484">
        <f>IF(FO6&gt;0,IF(ISTEXT(FO$3),$G6),0)</f>
        <v>0</v>
      </c>
      <c r="FR6" s="1486">
        <f>IF($I6=0,0,IF(FO6&gt;0,FQ6*$CG6/$I6,0))</f>
        <v>0</v>
      </c>
      <c r="FS6" s="1487">
        <f>$CA6*FP6</f>
        <v>0</v>
      </c>
      <c r="FT6" s="801" t="b">
        <f>ISERROR(MATCH(FV$3,$J6:$O6,0))</f>
        <v>1</v>
      </c>
      <c r="FU6" s="1488">
        <f>IF($CB6&gt;0, IF(ISTEXT(FU$3), $C6+IF($D6&lt;1000,$D6,$D6/($E6*60)),0),0)</f>
        <v>0</v>
      </c>
      <c r="FV6" s="1483">
        <f>IF(FU6&gt;0,IF(ISTEXT(FU$3),$F6),0)</f>
        <v>0</v>
      </c>
      <c r="FW6" s="1484">
        <f>IF(FU6&gt;0,IF(ISTEXT(FU$3),$G6),0)</f>
        <v>0</v>
      </c>
      <c r="FX6" s="1486">
        <f>IF($I6=0,0,IF(FU6&gt;0,FW6*$CG6/$I6,0))</f>
        <v>0</v>
      </c>
      <c r="FY6" s="1487">
        <f>$CB6*FV6</f>
        <v>0</v>
      </c>
      <c r="FZ6" s="801" t="b">
        <f>ISERROR(MATCH(GB$3,$J6:$O6,0))</f>
        <v>1</v>
      </c>
      <c r="GA6" s="1488">
        <f>IF($CC6&gt;0, IF(ISTEXT(GA$3), $C6+IF($D6&lt;1000,$D6,$D6/($E6*60)),0),0)</f>
        <v>0</v>
      </c>
      <c r="GB6" s="1483">
        <f>IF(GA6&gt;0,IF(ISTEXT(GA$3),$F6),0)</f>
        <v>0</v>
      </c>
      <c r="GC6" s="1484">
        <f>IF(GA6&gt;0,IF(ISTEXT(GA$3),$G6),0)</f>
        <v>0</v>
      </c>
      <c r="GD6" s="1486">
        <f>IF($I6=0,0,IF(GA6&gt;0,GC6*$CG6/$I6,0))</f>
        <v>0</v>
      </c>
      <c r="GE6" s="1487">
        <f>$CC6*GB6</f>
        <v>0</v>
      </c>
      <c r="GF6" s="801" t="b">
        <f>ISERROR(MATCH(GH$3,$J6:$O6,0))</f>
        <v>1</v>
      </c>
      <c r="GG6" s="1488">
        <f>IF($CD6&gt;0, IF(ISTEXT(GG$3), $C6+IF($D6&lt;1000,$D6,$D6/($E6*60)),0),0)</f>
        <v>0</v>
      </c>
      <c r="GH6" s="1483">
        <f>IF(GG6&gt;0,IF(ISTEXT(GG$3),$F6),0)</f>
        <v>0</v>
      </c>
      <c r="GI6" s="1484">
        <f>IF(GG6&gt;0,IF(ISTEXT(GG$3),$G6),0)</f>
        <v>0</v>
      </c>
      <c r="GJ6" s="1486">
        <f>IF($I6=0,0,IF(GG6&gt;0,GI6*$CG6/$I6,0))</f>
        <v>0</v>
      </c>
      <c r="GK6" s="1487">
        <f>$CD6*GH6</f>
        <v>0</v>
      </c>
      <c r="GL6" s="801" t="b">
        <f>ISERROR(MATCH(GN$3,$J6:$O6,0))</f>
        <v>1</v>
      </c>
      <c r="GM6" s="1488">
        <f>IF($CE6&gt;0, IF(ISTEXT(GM$3), $C6+IF($D6&lt;1000,$D6,$D6/($E6*60)),0),0)</f>
        <v>0</v>
      </c>
      <c r="GN6" s="1483">
        <f>IF(GM6&gt;0,IF(ISTEXT(GM$3),$F6),0)</f>
        <v>0</v>
      </c>
      <c r="GO6" s="1484">
        <f>IF(GM6&gt;0,IF(ISTEXT(GM$3),$G6),0)</f>
        <v>0</v>
      </c>
      <c r="GP6" s="1486">
        <f>IF($I6=0,0,IF(GM6&gt;0,GO6*$CG6/$I6,0))</f>
        <v>0</v>
      </c>
      <c r="GQ6" s="1487">
        <f>$CE6*GN6</f>
        <v>0</v>
      </c>
      <c r="GR6" s="801" t="b">
        <f>ISERROR(MATCH(GT$3,$J6:$O6,0))</f>
        <v>1</v>
      </c>
      <c r="GS6" s="1488">
        <f>IF($CF6&gt;0, IF(ISTEXT(GS$3), $C6+IF($D6&lt;1000,$D6,$D6/($E6*60)),0),0)</f>
        <v>10</v>
      </c>
      <c r="GT6" s="1483">
        <f>IF(GS6&gt;0,IF(ISTEXT(GS$3),$F6),0)</f>
        <v>100</v>
      </c>
      <c r="GU6" s="1484">
        <f>IF(I6=0,0,IF(GS6&gt;0,IF(ISTEXT(GS$3),$G6),0)*$CG6/$I6)</f>
        <v>16.666666666666668</v>
      </c>
      <c r="GV6" s="1484"/>
      <c r="GW6" s="1487">
        <f>$CF6*GT6</f>
        <v>3.003168685927307</v>
      </c>
      <c r="GX6" s="1489">
        <f>IF(ISERROR(FIND("File",$R6)),0,F6*$BN6*VLOOKUP(R6,DataArray,4,FALSE))/60</f>
        <v>0</v>
      </c>
      <c r="GY6" s="551" t="b">
        <f>ISERROR(OR(FIND("F",$R6)))</f>
        <v>1</v>
      </c>
      <c r="GZ6" s="2471" t="b">
        <f>ISERROR(OR(FIND("Image",$R6)))</f>
        <v>1</v>
      </c>
      <c r="HA6" s="2476"/>
      <c r="HB6" s="2866"/>
    </row>
    <row r="7" spans="1:211" s="1490" customFormat="1" ht="15" customHeight="1" x14ac:dyDescent="0.2">
      <c r="A7" s="1467" t="str">
        <f>IF($A$4=$H$163,$CI7&amp;"."&amp;$CJ7&amp;"."&amp;$CK7,CT7)</f>
        <v>S DeskView</v>
      </c>
      <c r="B7" s="159" t="s">
        <v>210</v>
      </c>
      <c r="C7" s="1468">
        <v>20</v>
      </c>
      <c r="D7" s="1469"/>
      <c r="E7" s="537">
        <f>IF(D7&lt;1000,IF(SUM(C7:D7)=0,0,IF(AND(D$1=H$169,T7=0),CS7,IF(T$2=$H$174,X7,IF(T$2=$H$175,IF(T7&gt;0,  IF(CR7&gt;X7,X7,CS7),CS7),E7)))),X7)</f>
        <v>10</v>
      </c>
      <c r="F7" s="538">
        <f>IF($T$2=$H$173,0,IF($D$4=Calculator!$A$162,C7*E7+D7/60,IF(OR($D$4=Calculator!$A$163,D7&lt;1000),(C7+D7)*E7,C7*E7+D7/60)))</f>
        <v>200</v>
      </c>
      <c r="G7" s="803">
        <f>IF(SUM($C7:$D7)&gt;0,F7*$I7/60,0)</f>
        <v>86.666666666666671</v>
      </c>
      <c r="H7" s="925" t="str">
        <f>W7&amp;CU7&amp;" {"&amp;TEXT(F7*60,"###,##0")&amp;"}"</f>
        <v>DB {12,000}</v>
      </c>
      <c r="I7" s="540">
        <f>$BG7</f>
        <v>26</v>
      </c>
      <c r="J7" s="926" t="s">
        <v>382</v>
      </c>
      <c r="K7" s="926" t="s">
        <v>382</v>
      </c>
      <c r="L7" s="927" t="s">
        <v>382</v>
      </c>
      <c r="M7" s="927" t="s">
        <v>382</v>
      </c>
      <c r="N7" s="927" t="s">
        <v>382</v>
      </c>
      <c r="O7" s="927" t="s">
        <v>382</v>
      </c>
      <c r="P7" s="928" t="str">
        <f>IF(OR(AND($O7=$A$163,  $O$5=$A$163),AND($O7=$A$163,  $O$5=$A$183)), IF(BL7&gt;0,IF($N7=$A$163,$N$5,$N7), IF(BI7&gt;0,  IF($K7=$A$163,$K$5,$K7), IF($J7=$A$163,$J$5,$J7))),IF(O7=$A$163,O$5,O7))</f>
        <v>Client</v>
      </c>
      <c r="Q7" s="929" t="s">
        <v>382</v>
      </c>
      <c r="R7" s="160" t="s">
        <v>1055</v>
      </c>
      <c r="S7" s="1470">
        <f>VLOOKUP($B7,wfRange,Workflow!B$1,FALSE)</f>
        <v>200</v>
      </c>
      <c r="T7" s="1245">
        <f>CP7</f>
        <v>3</v>
      </c>
      <c r="U7" s="546">
        <f ca="1">IF(F7=0,T7,60/E7-V7)</f>
        <v>5.6072707701656928</v>
      </c>
      <c r="V7" s="759">
        <f ca="1">IF(F7=0,0,SUM(Y7:BF7))</f>
        <v>0.39272922983430686</v>
      </c>
      <c r="W7" s="2682"/>
      <c r="X7" s="2733">
        <f>CQ7</f>
        <v>10</v>
      </c>
      <c r="Y7" s="2751">
        <f>IF(SUM($C7:$D7)&gt;0,$K$81*CF7,0)*1/VLOOKUP(B7,wfRange,Workflow!N$1,FALSE)</f>
        <v>3.186157458904957E-2</v>
      </c>
      <c r="Z7" s="1474">
        <f>IF(Y7&gt;0, IF($A$79&lt;0.9999,   IF($T7=0,  MAX($CL$2*Y7*$Q$78,$CL$2*Y7*$Q$77),  MAX(Y7*$Q$78,Y7*$Q$77)),  Y7*200),0)</f>
        <v>6.6188609149817343E-3</v>
      </c>
      <c r="AA7" s="2751">
        <f>IF(SUM($C7:$D7)&gt;0,$K$77*CE7,0)*1/VLOOKUP(B7,wfRange,Workflow!N$1,FALSE)</f>
        <v>0</v>
      </c>
      <c r="AB7" s="1474">
        <f>IF(AA7&gt;0, IF($A$75&lt;0.9999,   IF($T7=0,  MAX($CL$2*AA7*$Q$74,$CL$2*AA7*$Q$73),  MAX(AA7*$Q$74,AA7*$Q$73)),  AA7*200),0)</f>
        <v>0</v>
      </c>
      <c r="AC7" s="2751">
        <f>IF(SUM($C7:$D7)&gt;0,$K$73*CD7,0)*1/VLOOKUP(B7,wfRange,Workflow!N$1,FALSE)</f>
        <v>0</v>
      </c>
      <c r="AD7" s="1474">
        <f>IF(AC7&gt;0, IF($A$71&lt;0.9999,   IF($T7=0,  MAX($CL$2*AC7*$Q$70,$CL$2*AC7*$Q$69),  MAX(AC7*$Q$70,AC7*$Q$69)),  AC7*200),0)</f>
        <v>0</v>
      </c>
      <c r="AE7" s="2751">
        <f>IF(SUM($C7:$D7)&gt;0,$K$69*CC7,0)*1/VLOOKUP(B7,wfRange,Workflow!N$1,FALSE)</f>
        <v>0</v>
      </c>
      <c r="AF7" s="1474">
        <f>IF(AE7&gt;0, IF($A$67&lt;0.9999,   IF($T7=0,  MAX($CL$2*AE7*$Q$66,$CL$2*AE7*$Q$65),  MAX(AE7*$Q$66,AE7*$Q$65)),  AE7*200),0)</f>
        <v>0</v>
      </c>
      <c r="AG7" s="2751">
        <f>IF(SUM($C7:$D7)&gt;0,$K$65*CB7,0)*1/VLOOKUP(B7,wfRange,Workflow!N$1,FALSE)</f>
        <v>0</v>
      </c>
      <c r="AH7" s="1474">
        <f>IF(AG7&gt;0, IF($A$63&lt;0.9999,   IF($T7=0,  MAX($CL$2*AG7*$Q$62,$CL$2*AG7*$Q$60),  MAX(AG7*$Q$62,AG7*$Q$60)),  AG7*200),0)</f>
        <v>0</v>
      </c>
      <c r="AI7" s="2751">
        <f>IF(SUM($C7:$D7)&gt;0,$K$60*CA7,0)*1/VLOOKUP(B7,wfRange,Workflow!N$1,FALSE)</f>
        <v>0</v>
      </c>
      <c r="AJ7" s="1474">
        <f>IF(AI7&gt;0, IF($A$58&lt;0.9999,   IF($T7=0,  MAX($CL$2*AI7*$Q$57,$CL$2*AI7*$Q$56),  MAX(AI7*$Q$57,AI7*$Q$56)),  AI7*200),0)</f>
        <v>0</v>
      </c>
      <c r="AK7" s="2751">
        <f>IF(SUM($C7:$D7)&gt;0,$K$56*BZ7,0)*1/VLOOKUP(B7,wfRange,Workflow!N$1,FALSE)</f>
        <v>0</v>
      </c>
      <c r="AL7" s="1474">
        <f>IF(AK7&gt;0, IF($A$54&lt;0.9999,   IF($T7=0,  MAX($CL$2*AK7*$Q$53,$CL$2*AK7*$Q$52),  MAX(AK7*$Q$53,AK7*$Q$52)),  AK7*200),0)</f>
        <v>0</v>
      </c>
      <c r="AM7" s="2751">
        <f>IF(SUM($C7:$D7)&gt;0,$K$52*BY7,0)*1/VLOOKUP(B7,wfRange,Workflow!N$1,FALSE)</f>
        <v>0</v>
      </c>
      <c r="AN7" s="1474">
        <f>IF(AM7&gt;0, IF($A$50&lt;0.9999,   IF($T7=0,  MAX($CL$2*AM7*$Q$49,$CL$2*AM7*$Q$48),  MAX(AM7*$Q$49,AM7*$Q$48)),  AM7*200),0)</f>
        <v>0</v>
      </c>
      <c r="AO7" s="2751">
        <f>IF(SUM($C7:$D7)&gt;0,$K$48*BX7,0)*1/VLOOKUP(B7,wfRange,Workflow!N$1,FALSE)</f>
        <v>0</v>
      </c>
      <c r="AP7" s="1474">
        <f>IF(AO7&gt;0, IF($A$46&lt;0.9999,   IF($T7=0,  MAX($CL$2*AO7*$Q$45,$CL$2*AO7*$Q$44),  MAX(AO7*$Q$45,AO7*$Q$44)),  AO7*200),0)</f>
        <v>0</v>
      </c>
      <c r="AQ7" s="2751">
        <f>IF(SUM($C7:$D7)&gt;0,$K$44*BW7,0)*1/VLOOKUP(B7,wfRange,Workflow!N$1,FALSE)</f>
        <v>0</v>
      </c>
      <c r="AR7" s="1474">
        <f>IF(AQ7&gt;0, IF($A$42&lt;0.9999,   IF($T7=0,  MAX($CL$2*AQ7*$Q$41,$CL$2*AQ7*$Q$39),  MAX(AQ7*$Q$41,AQ7*$Q$39)),  AQ7*200),0)</f>
        <v>0</v>
      </c>
      <c r="AS7" s="2751">
        <f>IF(SUM($C7:$D7)&gt;0,$K$39*BV7,0)*1/VLOOKUP(B7,wfRange,Workflow!N$1,FALSE)</f>
        <v>0</v>
      </c>
      <c r="AT7" s="1474">
        <f>IF(AS7&gt;0, IF($A$37&lt;0.9999,   IF($T7=0,  MAX($CL$2*AS7*$Q$36,$CL$2*AS7*$Q$35),  MAX(AS7*$Q$36,AS7*$Q$35)),  AS7*200),0)</f>
        <v>0</v>
      </c>
      <c r="AU7" s="2751">
        <f>IF(SUM($C7:$D7)&gt;0,$K$35*BU7,0)*1/VLOOKUP(B7,wfRange,Workflow!N$1,FALSE)</f>
        <v>0</v>
      </c>
      <c r="AV7" s="1474">
        <f>IF(AU7&gt;0, IF($A$33&lt;0.9999,   IF($T7=0,  MAX($CL$2*AU7*$Q$32,$CL$2*AU7*$Q$31),  MAX(AU7*$Q$32,AU7*$Q$31)),  AU7*200),0)</f>
        <v>0</v>
      </c>
      <c r="AW7" s="2751">
        <f>IF(SUM($C7:$D7)&gt;0,$K$31*BT7,0)*1/VLOOKUP(B7,wfRange,Workflow!N$1,FALSE)</f>
        <v>0</v>
      </c>
      <c r="AX7" s="1474">
        <f>IF(AW7&gt;0, IF($A$29&lt;0.9999,   IF($T7=0,  MAX($CL$2*AW7*$Q$28,$CL$2*AW7*$Q$27),  MAX(AW7*$Q$28,AW7*$Q$27)),  AW7*200),0)</f>
        <v>0</v>
      </c>
      <c r="AY7" s="2751">
        <f>IF(SUM($C7:$D7)&gt;0,$K$27*BS7,0)*1/VLOOKUP(B7,wfRange,Workflow!N$1,FALSE)</f>
        <v>0</v>
      </c>
      <c r="AZ7" s="1474">
        <f>IF(AY7&gt;0, IF($A$25&lt;0.9999,   IF($T7=0,  MAX($CL$2*AY7*$Q$24,$CL$2*AY7*$Q$23),  MAX(AY7*$Q$24,AY7*$Q$23)),  AY7*200),0)</f>
        <v>0</v>
      </c>
      <c r="BA7" s="2751">
        <f>IF(SUM($C7:$D7)&gt;0,$K$23*BR7,0)*1/VLOOKUP(B7,wfRange,Workflow!N$1,FALSE)</f>
        <v>0</v>
      </c>
      <c r="BB7" s="1474">
        <f>IF(BA7&gt;0, IF($A$21&lt;0.9999,   IF($T7=0,  MAX($CL$2*BA7*$Q$20,$CL$2*BA7*$Q$19),  MAX(BA7*$Q$20,BA7*$Q$19)),  BA7*200),0)</f>
        <v>0</v>
      </c>
      <c r="BC7" s="2751">
        <f ca="1">IF(SUM($C7:$D7)&gt;0,IF($CJ7&gt;0,IF($CO7&gt;$CN7,$I7/$CN7,$I7/$CO7),$I7/$CN7),0)</f>
        <v>2.5999999999999999E-2</v>
      </c>
      <c r="BD7" s="930">
        <f ca="1">IF(BC7&gt;0,IF(CL7&lt;0.9999,BC7*CL7/((1+$CK$2*CL7)*(1-CL7)),BC7*500),0)</f>
        <v>4.344285046455911E-3</v>
      </c>
      <c r="BE7" s="2765">
        <f ca="1">IF(SUM($C7:$D7)&gt;0,IF(CJ7&gt;0,VLOOKUP($CJ7+200,NL,6,FALSE)*S7,0),0)/1000</f>
        <v>0</v>
      </c>
      <c r="BF7" s="2765">
        <f>IF(SUM($C7:$D7)&gt;0,BQ7*$BO$2/$G$18,0)*1/VLOOKUP(B7,wfRange,Workflow!N$1,FALSE)</f>
        <v>0.32390450928381964</v>
      </c>
      <c r="BG7" s="2736">
        <f>IF($CW7="desktop",VLOOKUP($R7,DataArray,5,FALSE)* VLOOKUP($B7,wfRange,Workflow!C$1,FALSE), VLOOKUP($B7,wfRange,Workflow!C$1,FALSE))</f>
        <v>26</v>
      </c>
      <c r="BH7" s="1476">
        <f>IF(CW7="Desktop", VLOOKUP($R7,DataArray,4,FALSE)* IF(ISERROR(FIND("File",$R7)), VLOOKUP($B7,wfRange,Workflow!D$1,FALSE), VLOOKUP($B7,wfRange,Workflow!D$1,FALSE)+ VLOOKUP($B7,wfRange,Workflow!I$1,FALSE)+ VLOOKUP($B7,wfRange,Workflow!K$1,FALSE)), VLOOKUP($B7,wfRange,Workflow!D$1,FALSE))</f>
        <v>0.24025349487418457</v>
      </c>
      <c r="BI7" s="542">
        <f>IF(VLOOKUP($B7,wfRange,Workflow!E$1,FALSE)&gt;0, VLOOKUP($R7,DataArray,4,FALSE)* IF(ISERROR(FIND("File",$R7)),   VLOOKUP($B7,wfRange,Workflow!E$1,FALSE),     VLOOKUP($B7,wfRange,Workflow!E$1,FALSE)+ VLOOKUP($B7,wfRange,Workflow!I$1,FALSE)+ VLOOKUP($B7,wfRange,Workflow!K$1,FALSE)),0)</f>
        <v>0</v>
      </c>
      <c r="BJ7" s="543">
        <f>VLOOKUP($B7,wfRange,Workflow!F$1,FALSE)</f>
        <v>0</v>
      </c>
      <c r="BK7" s="543">
        <f>MAX(VLOOKUP($B7,wfRange,Workflow!G$1,FALSE),IF(W7=$BB$18,$BC$18,0))</f>
        <v>0</v>
      </c>
      <c r="BL7" s="543">
        <f>IF(VLOOKUP($B7,wfRange,Workflow!H$1,FALSE)&gt;0,VLOOKUP($R7,DataArray,4,FALSE)* IF(ISERROR(FIND("File",$R7)),VLOOKUP($B7,wfRange,Workflow!H$1,FALSE),VLOOKUP($B7,wfRange,Workflow!H$1,FALSE)+VLOOKUP($B7,wfRange,Workflow!I$1,FALSE)+VLOOKUP($B7,wfRange,Workflow!K$1,FALSE)),0)</f>
        <v>0</v>
      </c>
      <c r="BM7" s="544">
        <f>VLOOKUP($R7,DataArray,3,FALSE)* VLOOKUP($B7,wfRange,Workflow!I$1,FALSE)</f>
        <v>3.0031686859273071E-2</v>
      </c>
      <c r="BN7" s="545">
        <f>VLOOKUP($R7,DataArray,5,FALSE)* VLOOKUP($B7,wfRange,Workflow!J$1,FALSE)</f>
        <v>10</v>
      </c>
      <c r="BO7" s="544">
        <f>VLOOKUP($R7,DataArray,2,FALSE)* VLOOKUP($B7,wfRange,Workflow!K$1,FALSE)</f>
        <v>3.0031686859273071E-2</v>
      </c>
      <c r="BP7" s="753">
        <f>SUM(BH7:BM7,BO7)</f>
        <v>0.30031686859273066</v>
      </c>
      <c r="BQ7" s="1471">
        <f t="shared" si="2"/>
        <v>0.27028518173345761</v>
      </c>
      <c r="BR7" s="1472">
        <f t="shared" si="2"/>
        <v>0</v>
      </c>
      <c r="BS7" s="1472">
        <f t="shared" si="2"/>
        <v>0</v>
      </c>
      <c r="BT7" s="1472">
        <f t="shared" si="2"/>
        <v>0</v>
      </c>
      <c r="BU7" s="1472">
        <f t="shared" si="2"/>
        <v>0</v>
      </c>
      <c r="BV7" s="1472">
        <f t="shared" si="2"/>
        <v>0</v>
      </c>
      <c r="BW7" s="1472">
        <f t="shared" si="2"/>
        <v>0</v>
      </c>
      <c r="BX7" s="1472">
        <f t="shared" si="2"/>
        <v>0</v>
      </c>
      <c r="BY7" s="1472">
        <f t="shared" si="2"/>
        <v>0</v>
      </c>
      <c r="BZ7" s="1472">
        <f t="shared" si="2"/>
        <v>0</v>
      </c>
      <c r="CA7" s="1472">
        <f t="shared" si="2"/>
        <v>0</v>
      </c>
      <c r="CB7" s="1472">
        <f t="shared" si="2"/>
        <v>0</v>
      </c>
      <c r="CC7" s="1472">
        <f t="shared" si="2"/>
        <v>0</v>
      </c>
      <c r="CD7" s="1472">
        <f t="shared" si="2"/>
        <v>0</v>
      </c>
      <c r="CE7" s="1472">
        <f t="shared" si="2"/>
        <v>0</v>
      </c>
      <c r="CF7" s="1472">
        <f t="shared" si="2"/>
        <v>3.0031686859273071E-2</v>
      </c>
      <c r="CG7" s="541">
        <f>$BN7</f>
        <v>10</v>
      </c>
      <c r="CH7" s="951">
        <f ca="1">CJ7+100</f>
        <v>100</v>
      </c>
      <c r="CI7" s="951">
        <f ca="1">COUNTBLANK($CI$5:$CI7)</f>
        <v>1</v>
      </c>
      <c r="CJ7" s="951">
        <f ca="1">COUNTBLANK($CJ$5:$CJ7)</f>
        <v>0</v>
      </c>
      <c r="CK7" s="1477">
        <f ca="1">COUNTA($CK$5:$CK7)</f>
        <v>2</v>
      </c>
      <c r="CL7" s="547">
        <f ca="1">IF(CO7=0,VLOOKUP($CI7,NL,5,FALSE),IF(CO7&lt;CN7,VLOOKUP($CJ7+200,NL,5,FALSE),VLOOKUP($CI7,NL,5,FALSE)))</f>
        <v>0.16266666666666668</v>
      </c>
      <c r="CM7" s="1475"/>
      <c r="CN7" s="548">
        <f ca="1">VLOOKUP($CI7,NL,3,FALSE)</f>
        <v>1000</v>
      </c>
      <c r="CO7" s="549">
        <f ca="1">IF(CJ7&gt;0,VLOOKUP($CJ7+200,NL,2,FALSE),0)</f>
        <v>0</v>
      </c>
      <c r="CP7" s="570">
        <f>VLOOKUP($B7,wfRange,Workflow!L$1,FALSE)</f>
        <v>3</v>
      </c>
      <c r="CQ7" s="1473">
        <f>IF($CQ$5=1000,1000,VLOOKUP($B7,wfRange,Workflow!M$1,FALSE))</f>
        <v>10</v>
      </c>
      <c r="CR7" s="767">
        <f ca="1">IF(SUM($C7:$D7)&gt;0,IF(T7&gt;0,60/(T7+V7),60/V7),1000)</f>
        <v>17.684877258221476</v>
      </c>
      <c r="CS7" s="766">
        <f ca="1">IF(CR7&gt;E7,E7+ABS(CR7-E7)*$U$2/100,E7-ABS(CR7-E7)*$U$2/500)</f>
        <v>10.768487725822148</v>
      </c>
      <c r="CT7" s="1478" t="str">
        <f>IF(ISERROR(FIND("_",B7)),B7,LEFT(B7,FIND("_",B7)-1))</f>
        <v>S DeskView</v>
      </c>
      <c r="CU7" s="1478" t="str">
        <f>IF(ISERROR(FIND("_",R7)),R7,LEFT(R7,FIND("_",R7)-1))</f>
        <v>DB</v>
      </c>
      <c r="CV7" s="1479">
        <f>F7*60</f>
        <v>12000</v>
      </c>
      <c r="CW7" s="1900" t="str">
        <f>VLOOKUP($B7,wfRange,Workflow!O$1,FALSE)</f>
        <v>Desktop</v>
      </c>
      <c r="CX7" s="1478">
        <f>IF(ISERROR(IF(CW7=" Imagery",MATCH(R7,ImageryDataList,0), MATCH(R7,MapDataList,0))),1,0)</f>
        <v>0</v>
      </c>
      <c r="CY7" s="1914">
        <f>IF(CW7=" imagery",IF($O7=$A$181,0,IF($O7=$A$182,0,1)),0)</f>
        <v>0</v>
      </c>
      <c r="CZ7" s="1908">
        <f>IF(AND(O7=$A$182,R7=Calculator!$C$171),1,0)</f>
        <v>0</v>
      </c>
      <c r="DA7" s="1900" t="str">
        <f>IF(BH7&gt;0.04*$BO$2/58,DA$4,"server")</f>
        <v xml:space="preserve"> wkstn </v>
      </c>
      <c r="DB7" s="1480"/>
      <c r="DC7" s="1480"/>
      <c r="DD7" s="1480"/>
      <c r="DE7" s="1480"/>
      <c r="DF7" s="1481"/>
      <c r="DG7" s="550"/>
      <c r="DH7" s="1482">
        <f>IF($BQ7&gt;0, IF(ISTEXT(DH$3), $C7+IF($D7&lt;1000,$D7,$D7/($E7*60)),0),0)</f>
        <v>20</v>
      </c>
      <c r="DI7" s="1483">
        <f>IF(DH7&gt;0,IF(ISTEXT(DH$3),$F7),0)</f>
        <v>200</v>
      </c>
      <c r="DJ7" s="1484">
        <f>IF(DH7&gt;0,IF(ISTEXT(DH$3),$G7),0)</f>
        <v>86.666666666666671</v>
      </c>
      <c r="DK7" s="1485">
        <f>$BQ7*DI7</f>
        <v>54.057036346691525</v>
      </c>
      <c r="DL7" s="801" t="b">
        <f>ISERROR(MATCH(DN$3,$J7:$O7,0))</f>
        <v>1</v>
      </c>
      <c r="DM7" s="802">
        <f>IF($BR7&gt;0, IF(ISTEXT(DM$3), $C7+IF($D7&lt;1000,$D7,$D7/($E7*60)),0),0)</f>
        <v>0</v>
      </c>
      <c r="DN7" s="802">
        <f>IF(DM7&gt;0,IF(ISTEXT(DM$3),$F7),0)</f>
        <v>0</v>
      </c>
      <c r="DO7" s="539">
        <f>IF(DM7&gt;0,IF(ISTEXT(DM$3),$G7),0)</f>
        <v>0</v>
      </c>
      <c r="DP7" s="698">
        <f>IF($I7=0,0,IF(DM7&gt;0,DO7*$CG7/$I7,0))</f>
        <v>0</v>
      </c>
      <c r="DQ7" s="803">
        <f>$BR7*DN7</f>
        <v>0</v>
      </c>
      <c r="DR7" s="801" t="b">
        <f>ISERROR(MATCH(DT$3,$J7:$O7,0))</f>
        <v>1</v>
      </c>
      <c r="DS7" s="802">
        <f>IF($BS7&gt;0, IF(ISTEXT(DS$3), $C7+IF($D7&lt;1000,$D7,$D7/($E7*60)),0),0)</f>
        <v>0</v>
      </c>
      <c r="DT7" s="802">
        <f>IF(DS7&gt;0,IF(ISTEXT(DS$3),$F7),0)</f>
        <v>0</v>
      </c>
      <c r="DU7" s="539">
        <f>IF(DS7&gt;0,IF(ISTEXT(DS$3),$G7),0)</f>
        <v>0</v>
      </c>
      <c r="DV7" s="698">
        <f>IF($I7=0,0,IF(DS7&gt;0,DU7*$CG7/$I7,0))</f>
        <v>0</v>
      </c>
      <c r="DW7" s="803">
        <f>$BS7*DT7</f>
        <v>0</v>
      </c>
      <c r="DX7" s="801" t="b">
        <f>ISERROR(MATCH(DZ$3,$J7:$O7,0))</f>
        <v>1</v>
      </c>
      <c r="DY7" s="802">
        <f>IF($BT7&gt;0, IF(ISTEXT(DY$3), $C7+IF($D7&lt;1000,$D7,$D7/($E7*60)),0),0)</f>
        <v>0</v>
      </c>
      <c r="DZ7" s="802">
        <f>IF(DY7&gt;0,IF(ISTEXT(DY$3),$F7),0)</f>
        <v>0</v>
      </c>
      <c r="EA7" s="539">
        <f>IF(DY7&gt;0,IF(ISTEXT(DY$3),$G7),0)*IF($DX7=FALSE,IF($DZ$3=$D$180,1,$EA$3),1)</f>
        <v>0</v>
      </c>
      <c r="EB7" s="698">
        <f>IF($I7=0,0,IF(DY7&gt;0,EA7*$CG7/$I7,0))</f>
        <v>0</v>
      </c>
      <c r="EC7" s="803">
        <f>$BT7*DZ7</f>
        <v>0</v>
      </c>
      <c r="ED7" s="801" t="b">
        <f>ISERROR(MATCH(EF$3,$J7:$O7,0))</f>
        <v>1</v>
      </c>
      <c r="EE7" s="802">
        <f>IF($BU7&gt;0, IF(ISTEXT(EE$3), $C7+IF($D7&lt;1000,$D7,$D7/($E7*60)),0),0)</f>
        <v>0</v>
      </c>
      <c r="EF7" s="802">
        <f>IF(EE7&gt;0,IF(ISTEXT(EE$3),$F7),0)</f>
        <v>0</v>
      </c>
      <c r="EG7" s="539">
        <f>IF(EE7&gt;0,IF(ISTEXT(EE$3),$G7),0)</f>
        <v>0</v>
      </c>
      <c r="EH7" s="698">
        <f>IF($I7=0,0,IF(EE7&gt;0,EG7*$CG7/$I7,0))</f>
        <v>0</v>
      </c>
      <c r="EI7" s="803">
        <f>$BU7*EF7</f>
        <v>0</v>
      </c>
      <c r="EJ7" s="801" t="b">
        <f>ISERROR(MATCH(EL$3,$J7:$O7,0))</f>
        <v>1</v>
      </c>
      <c r="EK7" s="1483">
        <f>IF($BV7&gt;0, IF(ISTEXT(EK$3), $C7+IF($D7&lt;1000,$D7,$D7/($E7*60)),0),0)</f>
        <v>0</v>
      </c>
      <c r="EL7" s="1483">
        <f>IF(EK7&gt;0,IF(ISTEXT(EK$3),$F7),0)</f>
        <v>0</v>
      </c>
      <c r="EM7" s="1484">
        <f>IF(EK7&gt;0,IF(ISTEXT(EK$3),$G7),0)</f>
        <v>0</v>
      </c>
      <c r="EN7" s="1486">
        <f>IF($I7=0,0,IF(EK7&gt;0,EM7*$CG7/$I7,0))</f>
        <v>0</v>
      </c>
      <c r="EO7" s="1487">
        <f>$BV7*EL7</f>
        <v>0</v>
      </c>
      <c r="EP7" s="801" t="b">
        <f>ISERROR(MATCH(ER$3,$J7:$O7,0))</f>
        <v>1</v>
      </c>
      <c r="EQ7" s="1488">
        <f>IF($BW7&gt;0, IF(ISTEXT(EQ$3), $C7+IF($D7&lt;1000,$D7,$D7/($E7*60)),0),0)</f>
        <v>0</v>
      </c>
      <c r="ER7" s="1483">
        <f>IF(EQ7&gt;0,IF(ISTEXT(EQ$3),$F7),0)</f>
        <v>0</v>
      </c>
      <c r="ES7" s="1484">
        <f>IF(EQ7&gt;0,IF(ISTEXT(EQ$3),$G7),0)</f>
        <v>0</v>
      </c>
      <c r="ET7" s="1486">
        <f>IF($I7=0,0,IF(EQ7&gt;0,ES7*$CG7/$I7,0))</f>
        <v>0</v>
      </c>
      <c r="EU7" s="1487">
        <f>$BW7*ER7</f>
        <v>0</v>
      </c>
      <c r="EV7" s="801" t="b">
        <f>ISERROR(MATCH(EX$3,$J7:$O7,0))</f>
        <v>1</v>
      </c>
      <c r="EW7" s="1488">
        <f>IF($BX7&gt;0, IF(ISTEXT(EW$3), $C7+IF($D7&lt;1000,$D7,$D7/($E7*60)),0),0)</f>
        <v>0</v>
      </c>
      <c r="EX7" s="1483">
        <f>IF(EW7&gt;0,IF(ISTEXT(EW$3),$F7),0)</f>
        <v>0</v>
      </c>
      <c r="EY7" s="1484">
        <f>IF(EW7&gt;0,IF(ISTEXT(EW$3),$G7),0)</f>
        <v>0</v>
      </c>
      <c r="EZ7" s="1486">
        <f>IF($I7=0,0,IF(EW7&gt;0,EY7*$CG7/$I7,0))</f>
        <v>0</v>
      </c>
      <c r="FA7" s="1487">
        <f>$BX7*EX7</f>
        <v>0</v>
      </c>
      <c r="FB7" s="801" t="b">
        <f>ISERROR(MATCH(FD$3,$J7:$O7,0))</f>
        <v>1</v>
      </c>
      <c r="FC7" s="1488">
        <f>IF($BY7&gt;0, IF(ISTEXT(FC$3), $C7+IF($D7&lt;1000,$D7,$D7/($E7*60)),0),0)</f>
        <v>0</v>
      </c>
      <c r="FD7" s="1483">
        <f>IF(FC7&gt;0,IF(ISTEXT(FC$3),$F7),0)</f>
        <v>0</v>
      </c>
      <c r="FE7" s="1484">
        <f>IF(FC7&gt;0,IF(ISTEXT(FC$3),$G7),0)</f>
        <v>0</v>
      </c>
      <c r="FF7" s="1486">
        <f>IF($I7=0,0,IF(FC7&gt;0,FE7*$CG7/$I7,0))</f>
        <v>0</v>
      </c>
      <c r="FG7" s="1487">
        <f>$BY7*FD7</f>
        <v>0</v>
      </c>
      <c r="FH7" s="801" t="b">
        <f>ISERROR(MATCH(FJ$3,$J7:$O7,0))</f>
        <v>1</v>
      </c>
      <c r="FI7" s="1488">
        <f>IF($BZ7&gt;0, IF(ISTEXT(FI$3), $C7+IF($D7&lt;1000,$D7,$D7/($E7*60)),0),0)</f>
        <v>0</v>
      </c>
      <c r="FJ7" s="1483">
        <f>IF(FI7&gt;0,IF(ISTEXT(FI$3),$F7),0)</f>
        <v>0</v>
      </c>
      <c r="FK7" s="1484">
        <f>IF(FI7&gt;0,IF(ISTEXT(FI$3),$G7),0)</f>
        <v>0</v>
      </c>
      <c r="FL7" s="1486">
        <f>IF($I7=0,0,IF(FI7&gt;0,FK7*$CG7/$I7,0))</f>
        <v>0</v>
      </c>
      <c r="FM7" s="1487">
        <f>$BZ7*FJ7</f>
        <v>0</v>
      </c>
      <c r="FN7" s="801" t="b">
        <f>ISERROR(MATCH(FP$3,$J7:$O7,0))</f>
        <v>1</v>
      </c>
      <c r="FO7" s="1488">
        <f>IF($CA7&gt;0, IF(ISTEXT(FO$3), $C7+IF($D7&lt;1000,$D7,$D7/($E7*60)),0),0)</f>
        <v>0</v>
      </c>
      <c r="FP7" s="1483">
        <f>IF(FO7&gt;0,IF(ISTEXT(FO$3),$F7),0)</f>
        <v>0</v>
      </c>
      <c r="FQ7" s="1484">
        <f>IF(FO7&gt;0,IF(ISTEXT(FO$3),$G7),0)</f>
        <v>0</v>
      </c>
      <c r="FR7" s="1486">
        <f>IF($I7=0,0,IF(FO7&gt;0,FQ7*$CG7/$I7,0))</f>
        <v>0</v>
      </c>
      <c r="FS7" s="1487">
        <f>$CA7*FP7</f>
        <v>0</v>
      </c>
      <c r="FT7" s="801" t="b">
        <f>ISERROR(MATCH(FV$3,$J7:$O7,0))</f>
        <v>1</v>
      </c>
      <c r="FU7" s="1488">
        <f>IF($CB7&gt;0, IF(ISTEXT(FU$3), $C7+IF($D7&lt;1000,$D7,$D7/($E7*60)),0),0)</f>
        <v>0</v>
      </c>
      <c r="FV7" s="1483">
        <f>IF(FU7&gt;0,IF(ISTEXT(FU$3),$F7),0)</f>
        <v>0</v>
      </c>
      <c r="FW7" s="1484">
        <f>IF(FU7&gt;0,IF(ISTEXT(FU$3),$G7),0)</f>
        <v>0</v>
      </c>
      <c r="FX7" s="1486">
        <f>IF($I7=0,0,IF(FU7&gt;0,FW7*$CG7/$I7,0))</f>
        <v>0</v>
      </c>
      <c r="FY7" s="1487">
        <f>$CB7*FV7</f>
        <v>0</v>
      </c>
      <c r="FZ7" s="801" t="b">
        <f>ISERROR(MATCH(GB$3,$J7:$O7,0))</f>
        <v>1</v>
      </c>
      <c r="GA7" s="1488">
        <f>IF($CC7&gt;0, IF(ISTEXT(GA$3), $C7+IF($D7&lt;1000,$D7,$D7/($E7*60)),0),0)</f>
        <v>0</v>
      </c>
      <c r="GB7" s="1483">
        <f>IF(GA7&gt;0,IF(ISTEXT(GA$3),$F7),0)</f>
        <v>0</v>
      </c>
      <c r="GC7" s="1484">
        <f>IF(GA7&gt;0,IF(ISTEXT(GA$3),$G7),0)</f>
        <v>0</v>
      </c>
      <c r="GD7" s="1486">
        <f>IF($I7=0,0,IF(GA7&gt;0,GC7*$CG7/$I7,0))</f>
        <v>0</v>
      </c>
      <c r="GE7" s="1487">
        <f>$CC7*GB7</f>
        <v>0</v>
      </c>
      <c r="GF7" s="801" t="b">
        <f>ISERROR(MATCH(GH$3,$J7:$O7,0))</f>
        <v>1</v>
      </c>
      <c r="GG7" s="1488">
        <f>IF($CD7&gt;0, IF(ISTEXT(GG$3), $C7+IF($D7&lt;1000,$D7,$D7/($E7*60)),0),0)</f>
        <v>0</v>
      </c>
      <c r="GH7" s="1483">
        <f>IF(GG7&gt;0,IF(ISTEXT(GG$3),$F7),0)</f>
        <v>0</v>
      </c>
      <c r="GI7" s="1484">
        <f>IF(GG7&gt;0,IF(ISTEXT(GG$3),$G7),0)</f>
        <v>0</v>
      </c>
      <c r="GJ7" s="1486">
        <f>IF($I7=0,0,IF(GG7&gt;0,GI7*$CG7/$I7,0))</f>
        <v>0</v>
      </c>
      <c r="GK7" s="1487">
        <f>$CD7*GH7</f>
        <v>0</v>
      </c>
      <c r="GL7" s="801" t="b">
        <f>ISERROR(MATCH(GN$3,$J7:$O7,0))</f>
        <v>1</v>
      </c>
      <c r="GM7" s="1488">
        <f>IF($CE7&gt;0, IF(ISTEXT(GM$3), $C7+IF($D7&lt;1000,$D7,$D7/($E7*60)),0),0)</f>
        <v>0</v>
      </c>
      <c r="GN7" s="1483">
        <f>IF(GM7&gt;0,IF(ISTEXT(GM$3),$F7),0)</f>
        <v>0</v>
      </c>
      <c r="GO7" s="1484">
        <f>IF(GM7&gt;0,IF(ISTEXT(GM$3),$G7),0)</f>
        <v>0</v>
      </c>
      <c r="GP7" s="1486">
        <f>IF($I7=0,0,IF(GM7&gt;0,GO7*$CG7/$I7,0))</f>
        <v>0</v>
      </c>
      <c r="GQ7" s="1487">
        <f>$CE7*GN7</f>
        <v>0</v>
      </c>
      <c r="GR7" s="801" t="b">
        <f>ISERROR(MATCH(GT$3,$J7:$O7,0))</f>
        <v>1</v>
      </c>
      <c r="GS7" s="1488">
        <f>IF($CF7&gt;0, IF(ISTEXT(GS$3), $C7+IF($D7&lt;1000,$D7,$D7/($E7*60)),0),0)</f>
        <v>20</v>
      </c>
      <c r="GT7" s="1483">
        <f>IF(GS7&gt;0,IF(ISTEXT(GS$3),$F7),0)</f>
        <v>200</v>
      </c>
      <c r="GU7" s="1484">
        <f>IF(I7=0,0,IF(GS7&gt;0,IF(ISTEXT(GS$3),$G7),0)*$CG7/$I7)</f>
        <v>33.333333333333336</v>
      </c>
      <c r="GV7" s="1484"/>
      <c r="GW7" s="1487">
        <f>$CF7*GT7</f>
        <v>6.006337371854614</v>
      </c>
      <c r="GX7" s="1489">
        <f>IF(ISERROR(FIND("File",$R7)),0,F7*$BN7*VLOOKUP(R7,DataArray,4,FALSE))/60</f>
        <v>0</v>
      </c>
      <c r="GY7" s="551" t="b">
        <f>ISERROR(OR(FIND("F",$R7)))</f>
        <v>1</v>
      </c>
      <c r="GZ7" s="2471" t="b">
        <f>ISERROR(OR(FIND("Image",$R7)))</f>
        <v>1</v>
      </c>
      <c r="HA7" s="2476"/>
      <c r="HB7" s="2866"/>
    </row>
    <row r="8" spans="1:211" s="1490" customFormat="1" ht="15" customHeight="1" x14ac:dyDescent="0.2">
      <c r="A8" s="1467" t="str">
        <f>IF($A$4=$H$163,$CI8&amp;"."&amp;$CJ8&amp;"."&amp;$CK8,CT8)</f>
        <v>S WebMap</v>
      </c>
      <c r="B8" s="159" t="s">
        <v>213</v>
      </c>
      <c r="C8" s="1468">
        <v>55</v>
      </c>
      <c r="D8" s="1469"/>
      <c r="E8" s="537">
        <f>IF(D8&lt;1000,IF(SUM(C8:D8)=0,0,IF(AND(D$1=H$169,T8=0),CS8,IF(T$2=$H$174,X8,IF(T$2=$H$175,IF(T8&gt;0,  IF(CR8&gt;X8,X8,CS8),CS8),E8)))),X8)</f>
        <v>6</v>
      </c>
      <c r="F8" s="538">
        <f>IF($T$2=$H$173,0,IF($D$4=Calculator!$A$162,C8*E8+D8/60,IF(OR($D$4=Calculator!$A$163,D8&lt;1000),(C8+D8)*E8,C8*E8+D8/60)))</f>
        <v>330</v>
      </c>
      <c r="G8" s="803">
        <f>IF(SUM($C8:$D8)&gt;0,F8*$I8/60,0)</f>
        <v>11</v>
      </c>
      <c r="H8" s="925" t="str">
        <f>W8&amp;CU8&amp;" {"&amp;TEXT(F8*60,"###,##0")&amp;"}"</f>
        <v>DB {19,800}</v>
      </c>
      <c r="I8" s="540">
        <f>$BG8</f>
        <v>2</v>
      </c>
      <c r="J8" s="926" t="s">
        <v>382</v>
      </c>
      <c r="K8" s="926" t="s">
        <v>382</v>
      </c>
      <c r="L8" s="927" t="s">
        <v>382</v>
      </c>
      <c r="M8" s="927" t="s">
        <v>382</v>
      </c>
      <c r="N8" s="927" t="s">
        <v>382</v>
      </c>
      <c r="O8" s="927" t="s">
        <v>382</v>
      </c>
      <c r="P8" s="928" t="str">
        <f>IF(OR(AND($O8=$A$163,  $O$5=$A$163),AND($O8=$A$163,  $O$5=$A$183)), IF(BL8&gt;0,IF($N8=$A$163,$N$5,$N8), IF(BI8&gt;0,  IF($K8=$A$163,$K$5,$K8), IF($J8=$A$163,$J$5,$J8))),IF(O8=$A$163,O$5,O8))</f>
        <v>GIS</v>
      </c>
      <c r="Q8" s="929" t="s">
        <v>382</v>
      </c>
      <c r="R8" s="160" t="s">
        <v>1055</v>
      </c>
      <c r="S8" s="1470">
        <f>VLOOKUP($B8,wfRange,Workflow!B$1,FALSE)</f>
        <v>10</v>
      </c>
      <c r="T8" s="1245">
        <f>CP8</f>
        <v>3</v>
      </c>
      <c r="U8" s="546">
        <f ca="1">IF(F8=0,T8,60/E8-V8)</f>
        <v>9.5978664440301671</v>
      </c>
      <c r="V8" s="759">
        <f ca="1">IF(F8=0,0,SUM(Y8:BF8))</f>
        <v>0.40213355596983347</v>
      </c>
      <c r="W8" s="2682"/>
      <c r="X8" s="2733">
        <f>CQ8</f>
        <v>6</v>
      </c>
      <c r="Y8" s="2751">
        <f>IF(SUM($C8:$D8)&gt;0,$K$81*CF8,0)*1/VLOOKUP(B8,wfRange,Workflow!N$1,FALSE)</f>
        <v>2.1800024718823387E-2</v>
      </c>
      <c r="Z8" s="1474">
        <f>IF(Y8&gt;0, IF($A$79&lt;0.9999,   IF($T8=0,  MAX($CL$2*Y8*$Q$78,$CL$2*Y8*$Q$77),  MAX(Y8*$Q$78,Y8*$Q$77)),  Y8*200),0)</f>
        <v>4.52869431025066E-3</v>
      </c>
      <c r="AA8" s="2751">
        <f>IF(SUM($C8:$D8)&gt;0,$K$77*CE8,0)*1/VLOOKUP(B8,wfRange,Workflow!N$1,FALSE)</f>
        <v>0.19620022246941049</v>
      </c>
      <c r="AB8" s="1474">
        <f>IF(AA8&gt;0, IF($A$75&lt;0.9999,   IF($T8=0,  MAX($CL$2*AA8*$Q$74,$CL$2*AA8*$Q$73),  MAX(AA8*$Q$74,AA8*$Q$73)),  AA8*200),0)</f>
        <v>0.13776790461258562</v>
      </c>
      <c r="AC8" s="2751">
        <f>IF(SUM($C8:$D8)&gt;0,$K$73*CD8,0)*1/VLOOKUP(B8,wfRange,Workflow!N$1,FALSE)</f>
        <v>8.7200098875293546E-3</v>
      </c>
      <c r="AD8" s="1474">
        <f>IF(AC8&gt;0, IF($A$71&lt;0.9999,   IF($T8=0,  MAX($CL$2*AC8*$Q$70,$CL$2*AC8*$Q$69),  MAX(AC8*$Q$70,AC8*$Q$69)),  AC8*200),0)</f>
        <v>4.7566952859854917E-4</v>
      </c>
      <c r="AE8" s="2751">
        <f>IF(SUM($C8:$D8)&gt;0,$K$69*CC8,0)*1/VLOOKUP(B8,wfRange,Workflow!N$1,FALSE)</f>
        <v>0</v>
      </c>
      <c r="AF8" s="1474">
        <f>IF(AE8&gt;0, IF($A$67&lt;0.9999,   IF($T8=0,  MAX($CL$2*AE8*$Q$66,$CL$2*AE8*$Q$65),  MAX(AE8*$Q$66,AE8*$Q$65)),  AE8*200),0)</f>
        <v>0</v>
      </c>
      <c r="AG8" s="2751">
        <f>IF(SUM($C8:$D8)&gt;0,$K$65*CB8,0)*1/VLOOKUP(B8,wfRange,Workflow!N$1,FALSE)</f>
        <v>0</v>
      </c>
      <c r="AH8" s="1474">
        <f>IF(AG8&gt;0, IF($A$63&lt;0.9999,   IF($T8=0,  MAX($CL$2*AG8*$Q$62,$CL$2*AG8*$Q$60),  MAX(AG8*$Q$62,AG8*$Q$60)),  AG8*200),0)</f>
        <v>0</v>
      </c>
      <c r="AI8" s="2751">
        <f>IF(SUM($C8:$D8)&gt;0,$K$60*CA8,0)*1/VLOOKUP(B8,wfRange,Workflow!N$1,FALSE)</f>
        <v>0</v>
      </c>
      <c r="AJ8" s="1474">
        <f>IF(AI8&gt;0, IF($A$58&lt;0.9999,   IF($T8=0,  MAX($CL$2*AI8*$Q$57,$CL$2*AI8*$Q$56),  MAX(AI8*$Q$57,AI8*$Q$56)),  AI8*200),0)</f>
        <v>0</v>
      </c>
      <c r="AK8" s="2751">
        <f>IF(SUM($C8:$D8)&gt;0,$K$56*BZ8,0)*1/VLOOKUP(B8,wfRange,Workflow!N$1,FALSE)</f>
        <v>0</v>
      </c>
      <c r="AL8" s="1474">
        <f>IF(AK8&gt;0, IF($A$54&lt;0.9999,   IF($T8=0,  MAX($CL$2*AK8*$Q$53,$CL$2*AK8*$Q$52),  MAX(AK8*$Q$53,AK8*$Q$52)),  AK8*200),0)</f>
        <v>0</v>
      </c>
      <c r="AM8" s="2751">
        <f>IF(SUM($C8:$D8)&gt;0,$K$52*BY8,0)*1/VLOOKUP(B8,wfRange,Workflow!N$1,FALSE)</f>
        <v>0</v>
      </c>
      <c r="AN8" s="1474">
        <f>IF(AM8&gt;0, IF($A$50&lt;0.9999,   IF($T8=0,  MAX($CL$2*AM8*$Q$49,$CL$2*AM8*$Q$48),  MAX(AM8*$Q$49,AM8*$Q$48)),  AM8*200),0)</f>
        <v>0</v>
      </c>
      <c r="AO8" s="2751">
        <f>IF(SUM($C8:$D8)&gt;0,$K$48*BX8,0)*1/VLOOKUP(B8,wfRange,Workflow!N$1,FALSE)</f>
        <v>0</v>
      </c>
      <c r="AP8" s="1474">
        <f>IF(AO8&gt;0, IF($A$46&lt;0.9999,   IF($T8=0,  MAX($CL$2*AO8*$Q$45,$CL$2*AO8*$Q$44),  MAX(AO8*$Q$45,AO8*$Q$44)),  AO8*200),0)</f>
        <v>0</v>
      </c>
      <c r="AQ8" s="2751">
        <f>IF(SUM($C8:$D8)&gt;0,$K$44*BW8,0)*1/VLOOKUP(B8,wfRange,Workflow!N$1,FALSE)</f>
        <v>0</v>
      </c>
      <c r="AR8" s="1474">
        <f>IF(AQ8&gt;0, IF($A$42&lt;0.9999,   IF($T8=0,  MAX($CL$2*AQ8*$Q$41,$CL$2*AQ8*$Q$39),  MAX(AQ8*$Q$41,AQ8*$Q$39)),  AQ8*200),0)</f>
        <v>0</v>
      </c>
      <c r="AS8" s="2751">
        <f>IF(SUM($C8:$D8)&gt;0,$K$39*BV8,0)*1/VLOOKUP(B8,wfRange,Workflow!N$1,FALSE)</f>
        <v>0</v>
      </c>
      <c r="AT8" s="1474">
        <f>IF(AS8&gt;0, IF($A$37&lt;0.9999,   IF($T8=0,  MAX($CL$2*AS8*$Q$36,$CL$2*AS8*$Q$35),  MAX(AS8*$Q$36,AS8*$Q$35)),  AS8*200),0)</f>
        <v>0</v>
      </c>
      <c r="AU8" s="2751">
        <f>IF(SUM($C8:$D8)&gt;0,$K$35*BU8,0)*1/VLOOKUP(B8,wfRange,Workflow!N$1,FALSE)</f>
        <v>0</v>
      </c>
      <c r="AV8" s="1474">
        <f>IF(AU8&gt;0, IF($A$33&lt;0.9999,   IF($T8=0,  MAX($CL$2*AU8*$Q$32,$CL$2*AU8*$Q$31),  MAX(AU8*$Q$32,AU8*$Q$31)),  AU8*200),0)</f>
        <v>0</v>
      </c>
      <c r="AW8" s="2751">
        <f>IF(SUM($C8:$D8)&gt;0,$K$31*BT8,0)*1/VLOOKUP(B8,wfRange,Workflow!N$1,FALSE)</f>
        <v>0</v>
      </c>
      <c r="AX8" s="1474">
        <f>IF(AW8&gt;0, IF($A$29&lt;0.9999,   IF($T8=0,  MAX($CL$2*AW8*$Q$28,$CL$2*AW8*$Q$27),  MAX(AW8*$Q$28,AW8*$Q$27)),  AW8*200),0)</f>
        <v>0</v>
      </c>
      <c r="AY8" s="2751">
        <f>IF(SUM($C8:$D8)&gt;0,$K$27*BS8,0)*1/VLOOKUP(B8,wfRange,Workflow!N$1,FALSE)</f>
        <v>0</v>
      </c>
      <c r="AZ8" s="1474">
        <f>IF(AY8&gt;0, IF($A$25&lt;0.9999,   IF($T8=0,  MAX($CL$2*AY8*$Q$24,$CL$2*AY8*$Q$23),  MAX(AY8*$Q$24,AY8*$Q$23)),  AY8*200),0)</f>
        <v>0</v>
      </c>
      <c r="BA8" s="2751">
        <f>IF(SUM($C8:$D8)&gt;0,$K$23*BR8,0)*1/VLOOKUP(B8,wfRange,Workflow!N$1,FALSE)</f>
        <v>0</v>
      </c>
      <c r="BB8" s="1474">
        <f>IF(BA8&gt;0, IF($A$21&lt;0.9999,   IF($T8=0,  MAX($CL$2*BA8*$Q$20,$CL$2*BA8*$Q$19),  MAX(BA8*$Q$20,BA8*$Q$19)),  BA8*200),0)</f>
        <v>0</v>
      </c>
      <c r="BC8" s="2751">
        <f ca="1">IF(SUM($C8:$D8)&gt;0,IF($CJ8&gt;0,IF($CO8&gt;$CN8,$I8/$CN8,$I8/$CO8),$I8/$CN8),0)</f>
        <v>2E-3</v>
      </c>
      <c r="BD8" s="930">
        <f ca="1">IF(BC8&gt;0,IF(CL8&lt;0.9999,BC8*CL8/((1+$CK$2*CL8)*(1-CL8)),BC8*500),0)</f>
        <v>3.3417577280430084E-4</v>
      </c>
      <c r="BE8" s="2765">
        <f ca="1">IF(SUM($C8:$D8)&gt;0,IF(CJ8&gt;0,VLOOKUP($CJ8+200,NL,6,FALSE)*S8,0),0)/1000</f>
        <v>0</v>
      </c>
      <c r="BF8" s="2765">
        <f>IF(SUM($C8:$D8)&gt;0,BQ8*$BO$2/$G$18,0)*1/VLOOKUP(B8,wfRange,Workflow!N$1,FALSE)</f>
        <v>3.0306854669831077E-2</v>
      </c>
      <c r="BG8" s="2736">
        <f>IF($CW8="desktop",VLOOKUP($R8,DataArray,5,FALSE)* VLOOKUP($B8,wfRange,Workflow!C$1,FALSE), VLOOKUP($B8,wfRange,Workflow!C$1,FALSE))</f>
        <v>2</v>
      </c>
      <c r="BH8" s="1476">
        <f>IF(CW8="Desktop", VLOOKUP($R8,DataArray,4,FALSE)* IF(ISERROR(FIND("File",$R8)), VLOOKUP($B8,wfRange,Workflow!D$1,FALSE), VLOOKUP($B8,wfRange,Workflow!D$1,FALSE)+ VLOOKUP($B8,wfRange,Workflow!I$1,FALSE)+ VLOOKUP($B8,wfRange,Workflow!K$1,FALSE)), VLOOKUP($B8,wfRange,Workflow!D$1,FALSE))</f>
        <v>2.5289841565703634E-2</v>
      </c>
      <c r="BI8" s="542">
        <f>IF(VLOOKUP($B8,wfRange,Workflow!E$1,FALSE)&gt;0, VLOOKUP($R8,DataArray,4,FALSE)* IF(ISERROR(FIND("File",$R8)),   VLOOKUP($B8,wfRange,Workflow!E$1,FALSE),     VLOOKUP($B8,wfRange,Workflow!E$1,FALSE)+ VLOOKUP($B8,wfRange,Workflow!I$1,FALSE)+ VLOOKUP($B8,wfRange,Workflow!K$1,FALSE)),0)</f>
        <v>0</v>
      </c>
      <c r="BJ8" s="543">
        <f>VLOOKUP($B8,wfRange,Workflow!F$1,FALSE)</f>
        <v>8.2191985088536819E-3</v>
      </c>
      <c r="BK8" s="543">
        <f>MAX(VLOOKUP($B8,wfRange,Workflow!G$1,FALSE),IF(W8=$BB$18,$BC$18,0))</f>
        <v>0</v>
      </c>
      <c r="BL8" s="543">
        <f>IF(VLOOKUP($B8,wfRange,Workflow!H$1,FALSE)&gt;0,VLOOKUP($R8,DataArray,4,FALSE)* IF(ISERROR(FIND("File",$R8)),VLOOKUP($B8,wfRange,Workflow!H$1,FALSE),VLOOKUP($B8,wfRange,Workflow!H$1,FALSE)+VLOOKUP($B8,wfRange,Workflow!I$1,FALSE)+VLOOKUP($B8,wfRange,Workflow!K$1,FALSE)),0)</f>
        <v>0.16438397017707365</v>
      </c>
      <c r="BM8" s="544">
        <f>VLOOKUP($R8,DataArray,3,FALSE)* VLOOKUP($B8,wfRange,Workflow!I$1,FALSE)</f>
        <v>2.0547996272134206E-2</v>
      </c>
      <c r="BN8" s="545">
        <f>VLOOKUP($R8,DataArray,5,FALSE)* VLOOKUP($B8,wfRange,Workflow!J$1,FALSE)</f>
        <v>10</v>
      </c>
      <c r="BO8" s="544">
        <f>VLOOKUP($R8,DataArray,2,FALSE)* VLOOKUP($B8,wfRange,Workflow!K$1,FALSE)</f>
        <v>2.0547996272134206E-2</v>
      </c>
      <c r="BP8" s="753">
        <f>SUM(BH8:BM8,BO8)</f>
        <v>0.23898900279589941</v>
      </c>
      <c r="BQ8" s="1471">
        <f t="shared" si="2"/>
        <v>2.5289841565703634E-2</v>
      </c>
      <c r="BR8" s="1472">
        <f t="shared" si="2"/>
        <v>0</v>
      </c>
      <c r="BS8" s="1472">
        <f t="shared" si="2"/>
        <v>0</v>
      </c>
      <c r="BT8" s="1472">
        <f t="shared" si="2"/>
        <v>0</v>
      </c>
      <c r="BU8" s="1472">
        <f t="shared" si="2"/>
        <v>0</v>
      </c>
      <c r="BV8" s="1472">
        <f t="shared" si="2"/>
        <v>0</v>
      </c>
      <c r="BW8" s="1472">
        <f t="shared" si="2"/>
        <v>0</v>
      </c>
      <c r="BX8" s="1472">
        <f t="shared" si="2"/>
        <v>0</v>
      </c>
      <c r="BY8" s="1472">
        <f t="shared" si="2"/>
        <v>0</v>
      </c>
      <c r="BZ8" s="1472">
        <f t="shared" si="2"/>
        <v>0</v>
      </c>
      <c r="CA8" s="1472">
        <f t="shared" si="2"/>
        <v>0</v>
      </c>
      <c r="CB8" s="1472">
        <f t="shared" si="2"/>
        <v>0</v>
      </c>
      <c r="CC8" s="1472">
        <f t="shared" si="2"/>
        <v>0</v>
      </c>
      <c r="CD8" s="1472">
        <f t="shared" si="2"/>
        <v>8.2191985088536819E-3</v>
      </c>
      <c r="CE8" s="1472">
        <f t="shared" si="2"/>
        <v>0.18493196644920787</v>
      </c>
      <c r="CF8" s="1472">
        <f t="shared" si="2"/>
        <v>2.0547996272134206E-2</v>
      </c>
      <c r="CG8" s="541">
        <f>$BN8</f>
        <v>10</v>
      </c>
      <c r="CH8" s="951">
        <f ca="1">CJ8+100</f>
        <v>100</v>
      </c>
      <c r="CI8" s="951">
        <f ca="1">COUNTBLANK($CI$5:$CI8)</f>
        <v>1</v>
      </c>
      <c r="CJ8" s="951">
        <f ca="1">COUNTBLANK($CJ$5:$CJ8)</f>
        <v>0</v>
      </c>
      <c r="CK8" s="1477">
        <f ca="1">COUNTA($CK$5:$CK8)</f>
        <v>3</v>
      </c>
      <c r="CL8" s="547">
        <f ca="1">IF(CO8=0,VLOOKUP($CI8,NL,5,FALSE),IF(CO8&lt;CN8,VLOOKUP($CJ8+200,NL,5,FALSE),VLOOKUP($CI8,NL,5,FALSE)))</f>
        <v>0.16266666666666668</v>
      </c>
      <c r="CM8" s="1475"/>
      <c r="CN8" s="548">
        <f ca="1">VLOOKUP($CI8,NL,3,FALSE)</f>
        <v>1000</v>
      </c>
      <c r="CO8" s="549">
        <f ca="1">IF(CJ8&gt;0,VLOOKUP($CJ8+200,NL,2,FALSE),0)</f>
        <v>0</v>
      </c>
      <c r="CP8" s="570">
        <f>VLOOKUP($B8,wfRange,Workflow!L$1,FALSE)</f>
        <v>3</v>
      </c>
      <c r="CQ8" s="1473">
        <f>IF($CQ$5=1000,1000,VLOOKUP($B8,wfRange,Workflow!M$1,FALSE))</f>
        <v>6</v>
      </c>
      <c r="CR8" s="767">
        <f ca="1">IF(SUM($C8:$D8)&gt;0,IF(T8&gt;0,60/(T8+V8),60/V8),1000)</f>
        <v>17.635991948263189</v>
      </c>
      <c r="CS8" s="766">
        <f ca="1">IF(CR8&gt;E8,E8+ABS(CR8-E8)*$U$2/100,E8-ABS(CR8-E8)*$U$2/500)</f>
        <v>7.1635991948263191</v>
      </c>
      <c r="CT8" s="1478" t="str">
        <f t="shared" si="1"/>
        <v>S WebMap</v>
      </c>
      <c r="CU8" s="1478" t="str">
        <f>IF(ISERROR(FIND("_",R8)),R8,LEFT(R8,FIND("_",R8)-1))</f>
        <v>DB</v>
      </c>
      <c r="CV8" s="1479">
        <f>F8*60</f>
        <v>19800</v>
      </c>
      <c r="CW8" s="1900" t="str">
        <f>VLOOKUP($B8,wfRange,Workflow!O$1,FALSE)</f>
        <v>Server</v>
      </c>
      <c r="CX8" s="1478">
        <f>IF(ISERROR(IF(CW8=" Imagery",MATCH(R8,ImageryDataList,0), MATCH(R8,MapDataList,0))),1,0)</f>
        <v>0</v>
      </c>
      <c r="CY8" s="1914">
        <f>IF(CW8=" imagery",IF($O8=$A$181,0,IF($O8=$A$182,0,1)),0)</f>
        <v>0</v>
      </c>
      <c r="CZ8" s="1908">
        <f>IF(AND(O8=$A$182,R8=Calculator!$C$171),1,0)</f>
        <v>0</v>
      </c>
      <c r="DA8" s="1900" t="str">
        <f>IF(BH8&gt;0.04*$BO$2/58,DA$4,"server")</f>
        <v>server</v>
      </c>
      <c r="DB8" s="1480"/>
      <c r="DC8" s="1480"/>
      <c r="DD8" s="1480"/>
      <c r="DE8" s="1480"/>
      <c r="DF8" s="1481"/>
      <c r="DG8" s="550"/>
      <c r="DH8" s="1482">
        <f>IF($BQ8&gt;0, IF(ISTEXT(DH$3), $C8+IF($D8&lt;1000,$D8,$D8/($E8*60)),0),0)</f>
        <v>55</v>
      </c>
      <c r="DI8" s="1483">
        <f>IF(DH8&gt;0,IF(ISTEXT(DH$3),$F8),0)</f>
        <v>330</v>
      </c>
      <c r="DJ8" s="1484">
        <f>IF(DH8&gt;0,IF(ISTEXT(DH$3),$G8),0)</f>
        <v>11</v>
      </c>
      <c r="DK8" s="1485">
        <f>$BQ8*DI8</f>
        <v>8.3456477166821994</v>
      </c>
      <c r="DL8" s="801" t="b">
        <f>ISERROR(MATCH(DN$3,$J8:$O8,0))</f>
        <v>1</v>
      </c>
      <c r="DM8" s="802">
        <f>IF($BR8&gt;0, IF(ISTEXT(DM$3), $C8+IF($D8&lt;1000,$D8,$D8/($E8*60)),0),0)</f>
        <v>0</v>
      </c>
      <c r="DN8" s="802">
        <f>IF(DM8&gt;0,IF(ISTEXT(DM$3),$F8),0)</f>
        <v>0</v>
      </c>
      <c r="DO8" s="539">
        <f>IF(DM8&gt;0,IF(ISTEXT(DM$3),$G8),0)</f>
        <v>0</v>
      </c>
      <c r="DP8" s="698">
        <f>IF($I8=0,0,IF(DM8&gt;0,DO8*$CG8/$I8,0))</f>
        <v>0</v>
      </c>
      <c r="DQ8" s="803">
        <f>$BR8*DN8</f>
        <v>0</v>
      </c>
      <c r="DR8" s="801" t="b">
        <f>ISERROR(MATCH(DT$3,$J8:$O8,0))</f>
        <v>1</v>
      </c>
      <c r="DS8" s="802">
        <f>IF($BS8&gt;0, IF(ISTEXT(DS$3), $C8+IF($D8&lt;1000,$D8,$D8/($E8*60)),0),0)</f>
        <v>0</v>
      </c>
      <c r="DT8" s="802">
        <f>IF(DS8&gt;0,IF(ISTEXT(DS$3),$F8),0)</f>
        <v>0</v>
      </c>
      <c r="DU8" s="539">
        <f>IF(DS8&gt;0,IF(ISTEXT(DS$3),$G8),0)</f>
        <v>0</v>
      </c>
      <c r="DV8" s="698">
        <f>IF($I8=0,0,IF(DS8&gt;0,DU8*$CG8/$I8,0))</f>
        <v>0</v>
      </c>
      <c r="DW8" s="803">
        <f>$BS8*DT8</f>
        <v>0</v>
      </c>
      <c r="DX8" s="801" t="b">
        <f>ISERROR(MATCH(DZ$3,$J8:$O8,0))</f>
        <v>1</v>
      </c>
      <c r="DY8" s="802">
        <f>IF($BT8&gt;0, IF(ISTEXT(DY$3), $C8+IF($D8&lt;1000,$D8,$D8/($E8*60)),0),0)</f>
        <v>0</v>
      </c>
      <c r="DZ8" s="802">
        <f>IF(DY8&gt;0,IF(ISTEXT(DY$3),$F8),0)</f>
        <v>0</v>
      </c>
      <c r="EA8" s="539">
        <f>IF(DY8&gt;0,IF(ISTEXT(DY$3),$G8),0)*IF($DX8=FALSE,IF($DZ$3=$D$180,1,$EA$3),1)</f>
        <v>0</v>
      </c>
      <c r="EB8" s="698">
        <f>IF($I8=0,0,IF(DY8&gt;0,EA8*$CG8/$I8,0))</f>
        <v>0</v>
      </c>
      <c r="EC8" s="803">
        <f>$BT8*DZ8</f>
        <v>0</v>
      </c>
      <c r="ED8" s="801" t="b">
        <f>ISERROR(MATCH(EF$3,$J8:$O8,0))</f>
        <v>1</v>
      </c>
      <c r="EE8" s="802">
        <f>IF($BU8&gt;0, IF(ISTEXT(EE$3), $C8+IF($D8&lt;1000,$D8,$D8/($E8*60)),0),0)</f>
        <v>0</v>
      </c>
      <c r="EF8" s="802">
        <f>IF(EE8&gt;0,IF(ISTEXT(EE$3),$F8),0)</f>
        <v>0</v>
      </c>
      <c r="EG8" s="539">
        <f>IF(EE8&gt;0,IF(ISTEXT(EE$3),$G8),0)</f>
        <v>0</v>
      </c>
      <c r="EH8" s="698">
        <f>IF($I8=0,0,IF(EE8&gt;0,EG8*$CG8/$I8,0))</f>
        <v>0</v>
      </c>
      <c r="EI8" s="803">
        <f>$BU8*EF8</f>
        <v>0</v>
      </c>
      <c r="EJ8" s="801" t="b">
        <f>ISERROR(MATCH(EL$3,$J8:$O8,0))</f>
        <v>1</v>
      </c>
      <c r="EK8" s="1483">
        <f>IF($BV8&gt;0, IF(ISTEXT(EK$3), $C8+IF($D8&lt;1000,$D8,$D8/($E8*60)),0),0)</f>
        <v>0</v>
      </c>
      <c r="EL8" s="1483">
        <f>IF(EK8&gt;0,IF(ISTEXT(EK$3),$F8),0)</f>
        <v>0</v>
      </c>
      <c r="EM8" s="1484">
        <f>IF(EK8&gt;0,IF(ISTEXT(EK$3),$G8),0)</f>
        <v>0</v>
      </c>
      <c r="EN8" s="1486">
        <f>IF($I8=0,0,IF(EK8&gt;0,EM8*$CG8/$I8,0))</f>
        <v>0</v>
      </c>
      <c r="EO8" s="1487">
        <f>$BV8*EL8</f>
        <v>0</v>
      </c>
      <c r="EP8" s="801" t="b">
        <f>ISERROR(MATCH(ER$3,$J8:$O8,0))</f>
        <v>1</v>
      </c>
      <c r="EQ8" s="1488">
        <f>IF($BW8&gt;0, IF(ISTEXT(EQ$3), $C8+IF($D8&lt;1000,$D8,$D8/($E8*60)),0),0)</f>
        <v>0</v>
      </c>
      <c r="ER8" s="1483">
        <f>IF(EQ8&gt;0,IF(ISTEXT(EQ$3),$F8),0)</f>
        <v>0</v>
      </c>
      <c r="ES8" s="1484">
        <f>IF(EQ8&gt;0,IF(ISTEXT(EQ$3),$G8),0)</f>
        <v>0</v>
      </c>
      <c r="ET8" s="1486">
        <f>IF($I8=0,0,IF(EQ8&gt;0,ES8*$CG8/$I8,0))</f>
        <v>0</v>
      </c>
      <c r="EU8" s="1487">
        <f>$BW8*ER8</f>
        <v>0</v>
      </c>
      <c r="EV8" s="801" t="b">
        <f>ISERROR(MATCH(EX$3,$J8:$O8,0))</f>
        <v>1</v>
      </c>
      <c r="EW8" s="1488">
        <f>IF($BX8&gt;0, IF(ISTEXT(EW$3), $C8+IF($D8&lt;1000,$D8,$D8/($E8*60)),0),0)</f>
        <v>0</v>
      </c>
      <c r="EX8" s="1483">
        <f>IF(EW8&gt;0,IF(ISTEXT(EW$3),$F8),0)</f>
        <v>0</v>
      </c>
      <c r="EY8" s="1484">
        <f>IF(EW8&gt;0,IF(ISTEXT(EW$3),$G8),0)</f>
        <v>0</v>
      </c>
      <c r="EZ8" s="1486">
        <f>IF($I8=0,0,IF(EW8&gt;0,EY8*$CG8/$I8,0))</f>
        <v>0</v>
      </c>
      <c r="FA8" s="1487">
        <f>$BX8*EX8</f>
        <v>0</v>
      </c>
      <c r="FB8" s="801" t="b">
        <f>ISERROR(MATCH(FD$3,$J8:$O8,0))</f>
        <v>1</v>
      </c>
      <c r="FC8" s="1488">
        <f>IF($BY8&gt;0, IF(ISTEXT(FC$3), $C8+IF($D8&lt;1000,$D8,$D8/($E8*60)),0),0)</f>
        <v>0</v>
      </c>
      <c r="FD8" s="1483">
        <f>IF(FC8&gt;0,IF(ISTEXT(FC$3),$F8),0)</f>
        <v>0</v>
      </c>
      <c r="FE8" s="1484">
        <f>IF(FC8&gt;0,IF(ISTEXT(FC$3),$G8),0)</f>
        <v>0</v>
      </c>
      <c r="FF8" s="1486">
        <f>IF($I8=0,0,IF(FC8&gt;0,FE8*$CG8/$I8,0))</f>
        <v>0</v>
      </c>
      <c r="FG8" s="1487">
        <f>$BY8*FD8</f>
        <v>0</v>
      </c>
      <c r="FH8" s="801" t="b">
        <f>ISERROR(MATCH(FJ$3,$J8:$O8,0))</f>
        <v>1</v>
      </c>
      <c r="FI8" s="1488">
        <f>IF($BZ8&gt;0, IF(ISTEXT(FI$3), $C8+IF($D8&lt;1000,$D8,$D8/($E8*60)),0),0)</f>
        <v>0</v>
      </c>
      <c r="FJ8" s="1483">
        <f>IF(FI8&gt;0,IF(ISTEXT(FI$3),$F8),0)</f>
        <v>0</v>
      </c>
      <c r="FK8" s="1484">
        <f>IF(FI8&gt;0,IF(ISTEXT(FI$3),$G8),0)</f>
        <v>0</v>
      </c>
      <c r="FL8" s="1486">
        <f>IF($I8=0,0,IF(FI8&gt;0,FK8*$CG8/$I8,0))</f>
        <v>0</v>
      </c>
      <c r="FM8" s="1487">
        <f>$BZ8*FJ8</f>
        <v>0</v>
      </c>
      <c r="FN8" s="801" t="b">
        <f>ISERROR(MATCH(FP$3,$J8:$O8,0))</f>
        <v>1</v>
      </c>
      <c r="FO8" s="1488">
        <f>IF($CA8&gt;0, IF(ISTEXT(FO$3), $C8+IF($D8&lt;1000,$D8,$D8/($E8*60)),0),0)</f>
        <v>0</v>
      </c>
      <c r="FP8" s="1483">
        <f>IF(FO8&gt;0,IF(ISTEXT(FO$3),$F8),0)</f>
        <v>0</v>
      </c>
      <c r="FQ8" s="1484">
        <f>IF(FO8&gt;0,IF(ISTEXT(FO$3),$G8),0)</f>
        <v>0</v>
      </c>
      <c r="FR8" s="1486">
        <f>IF($I8=0,0,IF(FO8&gt;0,FQ8*$CG8/$I8,0))</f>
        <v>0</v>
      </c>
      <c r="FS8" s="1487">
        <f>$CA8*FP8</f>
        <v>0</v>
      </c>
      <c r="FT8" s="801" t="b">
        <f>ISERROR(MATCH(FV$3,$J8:$O8,0))</f>
        <v>1</v>
      </c>
      <c r="FU8" s="1488">
        <f>IF($CB8&gt;0, IF(ISTEXT(FU$3), $C8+IF($D8&lt;1000,$D8,$D8/($E8*60)),0),0)</f>
        <v>0</v>
      </c>
      <c r="FV8" s="1483">
        <f>IF(FU8&gt;0,IF(ISTEXT(FU$3),$F8),0)</f>
        <v>0</v>
      </c>
      <c r="FW8" s="1484">
        <f>IF(FU8&gt;0,IF(ISTEXT(FU$3),$G8),0)</f>
        <v>0</v>
      </c>
      <c r="FX8" s="1486">
        <f>IF($I8=0,0,IF(FU8&gt;0,FW8*$CG8/$I8,0))</f>
        <v>0</v>
      </c>
      <c r="FY8" s="1487">
        <f>$CB8*FV8</f>
        <v>0</v>
      </c>
      <c r="FZ8" s="801" t="b">
        <f>ISERROR(MATCH(GB$3,$J8:$O8,0))</f>
        <v>1</v>
      </c>
      <c r="GA8" s="1488">
        <f>IF($CC8&gt;0, IF(ISTEXT(GA$3), $C8+IF($D8&lt;1000,$D8,$D8/($E8*60)),0),0)</f>
        <v>0</v>
      </c>
      <c r="GB8" s="1483">
        <f>IF(GA8&gt;0,IF(ISTEXT(GA$3),$F8),0)</f>
        <v>0</v>
      </c>
      <c r="GC8" s="1484">
        <f>IF(GA8&gt;0,IF(ISTEXT(GA$3),$G8),0)</f>
        <v>0</v>
      </c>
      <c r="GD8" s="1486">
        <f>IF($I8=0,0,IF(GA8&gt;0,GC8*$CG8/$I8,0))</f>
        <v>0</v>
      </c>
      <c r="GE8" s="1487">
        <f>$CC8*GB8</f>
        <v>0</v>
      </c>
      <c r="GF8" s="801" t="b">
        <f>ISERROR(MATCH(GH$3,$J8:$O8,0))</f>
        <v>1</v>
      </c>
      <c r="GG8" s="1488">
        <f>IF($CD8&gt;0, IF(ISTEXT(GG$3), $C8+IF($D8&lt;1000,$D8,$D8/($E8*60)),0),0)</f>
        <v>55</v>
      </c>
      <c r="GH8" s="1483">
        <f>IF(GG8&gt;0,IF(ISTEXT(GG$3),$F8),0)</f>
        <v>330</v>
      </c>
      <c r="GI8" s="1484">
        <f>IF(GG8&gt;0,IF(ISTEXT(GG$3),$G8),0)</f>
        <v>11</v>
      </c>
      <c r="GJ8" s="1486">
        <f>IF($I8=0,0,IF(GG8&gt;0,GI8*$CG8/$I8,0))</f>
        <v>55</v>
      </c>
      <c r="GK8" s="1487">
        <f>$CD8*GH8</f>
        <v>2.7123355079217148</v>
      </c>
      <c r="GL8" s="801" t="b">
        <f>ISERROR(MATCH(GN$3,$J8:$O8,0))</f>
        <v>1</v>
      </c>
      <c r="GM8" s="1488">
        <f>IF($CE8&gt;0, IF(ISTEXT(GM$3), $C8+IF($D8&lt;1000,$D8,$D8/($E8*60)),0),0)</f>
        <v>55</v>
      </c>
      <c r="GN8" s="1483">
        <f>IF(GM8&gt;0,IF(ISTEXT(GM$3),$F8),0)</f>
        <v>330</v>
      </c>
      <c r="GO8" s="1484">
        <f>IF(GM8&gt;0,IF(ISTEXT(GM$3),$G8),0)</f>
        <v>11</v>
      </c>
      <c r="GP8" s="1486">
        <f>IF($I8=0,0,IF(GM8&gt;0,GO8*$CG8/$I8,0))</f>
        <v>55</v>
      </c>
      <c r="GQ8" s="1487">
        <f>$CE8*GN8</f>
        <v>61.027548928238595</v>
      </c>
      <c r="GR8" s="801" t="b">
        <f>ISERROR(MATCH(GT$3,$J8:$O8,0))</f>
        <v>1</v>
      </c>
      <c r="GS8" s="1488">
        <f>IF($CF8&gt;0, IF(ISTEXT(GS$3), $C8+IF($D8&lt;1000,$D8,$D8/($E8*60)),0),0)</f>
        <v>55</v>
      </c>
      <c r="GT8" s="1483">
        <f>IF(GS8&gt;0,IF(ISTEXT(GS$3),$F8),0)</f>
        <v>330</v>
      </c>
      <c r="GU8" s="1484">
        <f>IF(I8=0,0,IF(GS8&gt;0,IF(ISTEXT(GS$3),$G8),0)*$CG8/$I8)</f>
        <v>55</v>
      </c>
      <c r="GV8" s="1484"/>
      <c r="GW8" s="1487">
        <f>$CF8*GT8</f>
        <v>6.780838769804288</v>
      </c>
      <c r="GX8" s="1489">
        <f>IF(ISERROR(FIND("File",$R8)),0,F8*$BN8*VLOOKUP(R8,DataArray,4,FALSE))/60</f>
        <v>0</v>
      </c>
      <c r="GY8" s="551" t="b">
        <f>ISERROR(OR(FIND("F",$R8)))</f>
        <v>1</v>
      </c>
      <c r="GZ8" s="2471" t="b">
        <f>ISERROR(OR(FIND("Image",$R8)))</f>
        <v>1</v>
      </c>
      <c r="HA8" s="2476"/>
      <c r="HB8" s="2866"/>
    </row>
    <row r="9" spans="1:211" ht="15" customHeight="1" x14ac:dyDescent="0.15">
      <c r="A9" s="1450" t="str">
        <f>CT9</f>
        <v>WAN</v>
      </c>
      <c r="B9" s="1093" t="s">
        <v>393</v>
      </c>
      <c r="C9" s="1451"/>
      <c r="D9" s="1451"/>
      <c r="E9" s="1090">
        <f ca="1">SUM(C9:OFFSET(C9,MATCH(BG9,OFFSET(BG9,1,0):BG$16,0)-1,0))</f>
        <v>83</v>
      </c>
      <c r="F9" s="1094">
        <f ca="1">SUM(G9:OFFSET(G9,MATCH(BG9,OFFSET(BG9,1,0):BG$16,0)-1,0))</f>
        <v>61.666666666666664</v>
      </c>
      <c r="G9" s="1092"/>
      <c r="H9" s="2479">
        <v>90</v>
      </c>
      <c r="I9" s="1096">
        <f ca="1">F9/H9</f>
        <v>0.68518518518518512</v>
      </c>
      <c r="J9" s="1097"/>
      <c r="K9" s="1098"/>
      <c r="L9" s="1098"/>
      <c r="M9" s="1098"/>
      <c r="N9" s="1098"/>
      <c r="O9" s="1098"/>
      <c r="P9" s="1098"/>
      <c r="Q9" s="1098"/>
      <c r="R9" s="1491"/>
      <c r="S9" s="1492"/>
      <c r="T9" s="1101"/>
      <c r="U9" s="1102"/>
      <c r="V9" s="1103"/>
      <c r="W9" s="2678"/>
      <c r="X9" s="1107"/>
      <c r="Y9" s="2750"/>
      <c r="Z9" s="1455"/>
      <c r="AA9" s="1456"/>
      <c r="AB9" s="1455"/>
      <c r="AC9" s="1456"/>
      <c r="AD9" s="1455"/>
      <c r="AE9" s="1456"/>
      <c r="AF9" s="1455"/>
      <c r="AG9" s="2750"/>
      <c r="AH9" s="1455"/>
      <c r="AI9" s="2750"/>
      <c r="AJ9" s="1455"/>
      <c r="AK9" s="2750"/>
      <c r="AL9" s="1455"/>
      <c r="AM9" s="2750"/>
      <c r="AN9" s="1455"/>
      <c r="AO9" s="2750"/>
      <c r="AP9" s="1455"/>
      <c r="AQ9" s="2750"/>
      <c r="AR9" s="1455"/>
      <c r="AS9" s="2750"/>
      <c r="AT9" s="1455"/>
      <c r="AU9" s="2750"/>
      <c r="AV9" s="1455"/>
      <c r="AW9" s="2750"/>
      <c r="AX9" s="1455"/>
      <c r="AY9" s="2750"/>
      <c r="AZ9" s="1455"/>
      <c r="BA9" s="2750"/>
      <c r="BB9" s="1455"/>
      <c r="BC9" s="2758"/>
      <c r="BD9" s="2759"/>
      <c r="BE9" s="2764"/>
      <c r="BF9" s="2764"/>
      <c r="BG9" s="1099" t="s">
        <v>308</v>
      </c>
      <c r="BH9" s="1494"/>
      <c r="BI9" s="1494"/>
      <c r="BJ9" s="1494"/>
      <c r="BK9" s="1494"/>
      <c r="BL9" s="1494"/>
      <c r="BM9" s="1494"/>
      <c r="BN9" s="1494"/>
      <c r="BO9" s="1494"/>
      <c r="BP9" s="1491"/>
      <c r="BQ9" s="1099"/>
      <c r="BR9" s="1099"/>
      <c r="BS9" s="1099"/>
      <c r="BT9" s="1099"/>
      <c r="BU9" s="1099"/>
      <c r="BV9" s="1099"/>
      <c r="BW9" s="1099"/>
      <c r="BX9" s="1099"/>
      <c r="BY9" s="1099"/>
      <c r="BZ9" s="1099"/>
      <c r="CA9" s="1099"/>
      <c r="CB9" s="1099"/>
      <c r="CC9" s="1099"/>
      <c r="CD9" s="1099"/>
      <c r="CE9" s="1099"/>
      <c r="CF9" s="1099"/>
      <c r="CG9" s="1100"/>
      <c r="CH9" s="1457">
        <f ca="1">COUNTBLANK($CI$5:$CI9)</f>
        <v>2</v>
      </c>
      <c r="CI9" s="1458"/>
      <c r="CJ9" s="1459">
        <f>H9</f>
        <v>90</v>
      </c>
      <c r="CK9" s="1458"/>
      <c r="CL9" s="1106">
        <f ca="1">I9</f>
        <v>0.68518518518518512</v>
      </c>
      <c r="CM9" s="1493"/>
      <c r="CN9" s="1107"/>
      <c r="CO9" s="1107"/>
      <c r="CP9" s="1108" t="s">
        <v>117</v>
      </c>
      <c r="CQ9" s="1104"/>
      <c r="CR9" s="1109">
        <f ca="1">F9/H9</f>
        <v>0.68518518518518512</v>
      </c>
      <c r="CS9" s="1461"/>
      <c r="CT9" s="1462" t="str">
        <f t="shared" si="1"/>
        <v>WAN</v>
      </c>
      <c r="CU9" s="1462">
        <f>IF(ISERROR(FIND("_",CW9)),CW9,LEFT(CW9,FIND("_",CW9)-1))</f>
        <v>0</v>
      </c>
      <c r="CV9" s="1463">
        <f>H9</f>
        <v>90</v>
      </c>
      <c r="CW9" s="1901"/>
      <c r="CX9" s="1462"/>
      <c r="CY9" s="1915"/>
      <c r="CZ9" s="1909"/>
      <c r="DA9" s="1901"/>
      <c r="DB9" s="1464"/>
      <c r="DC9" s="1464"/>
      <c r="DD9" s="1464"/>
      <c r="DE9" s="1464"/>
      <c r="DF9" s="1465"/>
      <c r="DG9" s="1117"/>
      <c r="DH9" s="1495"/>
      <c r="DI9" s="1460"/>
      <c r="DJ9" s="1496"/>
      <c r="DK9" s="1497"/>
      <c r="DL9" s="1124"/>
      <c r="DM9" s="1125"/>
      <c r="DN9" s="1125"/>
      <c r="DO9" s="1126"/>
      <c r="DP9" s="1126"/>
      <c r="DQ9" s="1127"/>
      <c r="DR9" s="1124"/>
      <c r="DS9" s="1125"/>
      <c r="DT9" s="1125"/>
      <c r="DU9" s="1126"/>
      <c r="DV9" s="1126"/>
      <c r="DW9" s="1127"/>
      <c r="DX9" s="1124"/>
      <c r="DY9" s="1125"/>
      <c r="DZ9" s="1125"/>
      <c r="EA9" s="1126"/>
      <c r="EB9" s="1126"/>
      <c r="EC9" s="1127"/>
      <c r="ED9" s="1124"/>
      <c r="EE9" s="1125"/>
      <c r="EF9" s="1125"/>
      <c r="EG9" s="1126"/>
      <c r="EH9" s="1126"/>
      <c r="EI9" s="1127"/>
      <c r="EJ9" s="1124"/>
      <c r="EK9" s="1460"/>
      <c r="EL9" s="1460"/>
      <c r="EM9" s="1496"/>
      <c r="EN9" s="1496"/>
      <c r="EO9" s="1498"/>
      <c r="EP9" s="1124"/>
      <c r="EQ9" s="1499"/>
      <c r="ER9" s="1460"/>
      <c r="ES9" s="1496"/>
      <c r="ET9" s="1496"/>
      <c r="EU9" s="1498"/>
      <c r="EV9" s="1124"/>
      <c r="EW9" s="1499"/>
      <c r="EX9" s="1460"/>
      <c r="EY9" s="1496"/>
      <c r="EZ9" s="1496"/>
      <c r="FA9" s="1498"/>
      <c r="FB9" s="1124"/>
      <c r="FC9" s="1499"/>
      <c r="FD9" s="1460"/>
      <c r="FE9" s="1496"/>
      <c r="FF9" s="1496"/>
      <c r="FG9" s="1498"/>
      <c r="FH9" s="1124"/>
      <c r="FI9" s="1499"/>
      <c r="FJ9" s="1460"/>
      <c r="FK9" s="1496"/>
      <c r="FL9" s="1496"/>
      <c r="FM9" s="1498"/>
      <c r="FN9" s="1124"/>
      <c r="FO9" s="1499"/>
      <c r="FP9" s="1460"/>
      <c r="FQ9" s="1496"/>
      <c r="FR9" s="1496"/>
      <c r="FS9" s="1498"/>
      <c r="FT9" s="1124"/>
      <c r="FU9" s="1499"/>
      <c r="FV9" s="1460"/>
      <c r="FW9" s="1496"/>
      <c r="FX9" s="1496"/>
      <c r="FY9" s="1498"/>
      <c r="FZ9" s="1124"/>
      <c r="GA9" s="1499"/>
      <c r="GB9" s="1460"/>
      <c r="GC9" s="1496"/>
      <c r="GD9" s="1496"/>
      <c r="GE9" s="1498"/>
      <c r="GF9" s="1124"/>
      <c r="GG9" s="1499"/>
      <c r="GH9" s="1460"/>
      <c r="GI9" s="1496"/>
      <c r="GJ9" s="1496"/>
      <c r="GK9" s="1498"/>
      <c r="GL9" s="1124"/>
      <c r="GM9" s="1499"/>
      <c r="GN9" s="1460"/>
      <c r="GO9" s="1496"/>
      <c r="GP9" s="1496"/>
      <c r="GQ9" s="1498"/>
      <c r="GR9" s="1124"/>
      <c r="GS9" s="1499"/>
      <c r="GT9" s="1460"/>
      <c r="GU9" s="1496"/>
      <c r="GV9" s="1496"/>
      <c r="GW9" s="1498"/>
      <c r="GX9" s="1500"/>
      <c r="GY9" s="1466"/>
      <c r="GZ9" s="2470"/>
      <c r="HA9" s="1493">
        <f>H9</f>
        <v>90</v>
      </c>
      <c r="HB9" s="2867">
        <f>12*LN(H9)^2+20</f>
        <v>262.97944483037321</v>
      </c>
      <c r="HC9" s="2868"/>
    </row>
    <row r="10" spans="1:211" s="1490" customFormat="1" ht="15" customHeight="1" x14ac:dyDescent="0.2">
      <c r="A10" s="1467" t="str">
        <f>IF($A$4=$H$163,$CI10&amp;"."&amp;$CJ10&amp;"."&amp;$CK10,CT10)</f>
        <v>S CitrixEdit</v>
      </c>
      <c r="B10" s="159" t="s">
        <v>211</v>
      </c>
      <c r="C10" s="1468">
        <v>8</v>
      </c>
      <c r="D10" s="1469"/>
      <c r="E10" s="537">
        <f>IF(D10&lt;1000,IF(SUM(C10:D10)=0,0,IF(AND(D$1=H$169,T10=0),CS10,IF(T$2=$H$174,X10,IF(T$2=$H$175,IF(T10&gt;0,  IF(CR10&gt;X10,X10,CS10),CS10),E10)))),X10)</f>
        <v>10</v>
      </c>
      <c r="F10" s="538">
        <f>IF($T$2=$H$173,0,IF($D$4=Calculator!$A$162,C10*E10+D10/60,IF(OR($D$4=Calculator!$A$163,D10&lt;1000),(C10+D10)*E10,C10*E10+D10/60)))</f>
        <v>80</v>
      </c>
      <c r="G10" s="803">
        <f>IF(SUM($C10:$D10)&gt;0,F10*$I10/60,0)</f>
        <v>10</v>
      </c>
      <c r="H10" s="925" t="str">
        <f>W10&amp;CU10&amp;" {"&amp;TEXT(F10*60,"###,##0")&amp;"}"</f>
        <v>DB {4,800}</v>
      </c>
      <c r="I10" s="540">
        <f>$BG10</f>
        <v>7.5</v>
      </c>
      <c r="J10" s="926" t="s">
        <v>382</v>
      </c>
      <c r="K10" s="926" t="s">
        <v>382</v>
      </c>
      <c r="L10" s="927" t="s">
        <v>382</v>
      </c>
      <c r="M10" s="927" t="s">
        <v>382</v>
      </c>
      <c r="N10" s="927" t="s">
        <v>382</v>
      </c>
      <c r="O10" s="927" t="s">
        <v>382</v>
      </c>
      <c r="P10" s="928" t="str">
        <f>IF(OR(AND($O10=$A$163,  $O$5=$A$163),AND($O10=$A$163,  $O$5=$A$183)), IF(BL10&gt;0,IF($N10=$A$163,$N$5,$N10), IF(BI10&gt;0,  IF($K10=$A$163,$K$5,$K10), IF($J10=$A$163,$J$5,$J10))),IF(O10=$A$163,O$5,O10))</f>
        <v>WTS</v>
      </c>
      <c r="Q10" s="929" t="s">
        <v>382</v>
      </c>
      <c r="R10" s="160" t="s">
        <v>1055</v>
      </c>
      <c r="S10" s="1470">
        <f>VLOOKUP($B10,wfRange,Workflow!B$1,FALSE)</f>
        <v>10</v>
      </c>
      <c r="T10" s="1245">
        <f>CP10</f>
        <v>3</v>
      </c>
      <c r="U10" s="546">
        <f ca="1">IF(F10=0,T10,60/E10-V10)</f>
        <v>5.1855803648894412</v>
      </c>
      <c r="V10" s="759">
        <f ca="1">IF(F10=0,0,SUM(Y10:BF10))</f>
        <v>0.81441963511055926</v>
      </c>
      <c r="W10" s="2682"/>
      <c r="X10" s="2733">
        <f>CQ10</f>
        <v>10</v>
      </c>
      <c r="Y10" s="2751">
        <f>IF(SUM($C10:$D10)&gt;0,$K$81*CF10,0)*1/VLOOKUP(B10,wfRange,Workflow!N$1,FALSE)</f>
        <v>3.186157458904957E-2</v>
      </c>
      <c r="Z10" s="1474">
        <f>IF(Y10&gt;0, IF($A$79&lt;0.9999,   IF($T10=0,  MAX($CL$2*Y10*$Q$78,$CL$2*Y10*$Q$77),  MAX(Y10*$Q$78,Y10*$Q$77)),  Y10*200),0)</f>
        <v>6.6188609149817343E-3</v>
      </c>
      <c r="AA10" s="2751">
        <f>IF(SUM($C10:$D10)&gt;0,$K$77*CE10,0)*1/VLOOKUP(B10,wfRange,Workflow!N$1,FALSE)</f>
        <v>0</v>
      </c>
      <c r="AB10" s="1474">
        <f>IF(AA10&gt;0, IF($A$75&lt;0.9999,   IF($T10=0,  MAX($CL$2*AA10*$Q$74,$CL$2*AA10*$Q$73),  MAX(AA10*$Q$74,AA10*$Q$73)),  AA10*200),0)</f>
        <v>0</v>
      </c>
      <c r="AC10" s="2751">
        <f>IF(SUM($C10:$D10)&gt;0,$K$73*CD10,0)*1/VLOOKUP(B10,wfRange,Workflow!N$1,FALSE)</f>
        <v>0</v>
      </c>
      <c r="AD10" s="1474">
        <f>IF(AC10&gt;0, IF($A$71&lt;0.9999,   IF($T10=0,  MAX($CL$2*AC10*$Q$70,$CL$2*AC10*$Q$69),  MAX(AC10*$Q$70,AC10*$Q$69)),  AC10*200),0)</f>
        <v>0</v>
      </c>
      <c r="AE10" s="2751">
        <f>IF(SUM($C10:$D10)&gt;0,$K$69*CC10,0)*1/VLOOKUP(B10,wfRange,Workflow!N$1,FALSE)</f>
        <v>0</v>
      </c>
      <c r="AF10" s="1474">
        <f>IF(AE10&gt;0, IF($A$67&lt;0.9999,   IF($T10=0,  MAX($CL$2*AE10*$Q$66,$CL$2*AE10*$Q$65),  MAX(AE10*$Q$66,AE10*$Q$65)),  AE10*200),0)</f>
        <v>0</v>
      </c>
      <c r="AG10" s="2751">
        <f>IF(SUM($C10:$D10)&gt;0,$K$65*CB10,0)*1/VLOOKUP(B10,wfRange,Workflow!N$1,FALSE)</f>
        <v>0.28675417130144609</v>
      </c>
      <c r="AH10" s="1474">
        <f>IF(AG10&gt;0, IF($A$63&lt;0.9999,   IF($T10=0,  MAX($CL$2*AG10*$Q$62,$CL$2*AG10*$Q$60),  MAX(AG10*$Q$62,AG10*$Q$60)),  AG10*200),0)</f>
        <v>0.26791717385072161</v>
      </c>
      <c r="AI10" s="2751">
        <f>IF(SUM($C10:$D10)&gt;0,$K$60*CA10,0)*1/VLOOKUP(B10,wfRange,Workflow!N$1,FALSE)</f>
        <v>0</v>
      </c>
      <c r="AJ10" s="1474">
        <f>IF(AI10&gt;0, IF($A$58&lt;0.9999,   IF($T10=0,  MAX($CL$2*AI10*$Q$57,$CL$2*AI10*$Q$56),  MAX(AI10*$Q$57,AI10*$Q$56)),  AI10*200),0)</f>
        <v>0</v>
      </c>
      <c r="AK10" s="2751">
        <f>IF(SUM($C10:$D10)&gt;0,$K$56*BZ10,0)*1/VLOOKUP(B10,wfRange,Workflow!N$1,FALSE)</f>
        <v>0</v>
      </c>
      <c r="AL10" s="1474">
        <f>IF(AK10&gt;0, IF($A$54&lt;0.9999,   IF($T10=0,  MAX($CL$2*AK10*$Q$53,$CL$2*AK10*$Q$52),  MAX(AK10*$Q$53,AK10*$Q$52)),  AK10*200),0)</f>
        <v>0</v>
      </c>
      <c r="AM10" s="2751">
        <f>IF(SUM($C10:$D10)&gt;0,$K$52*BY10,0)*1/VLOOKUP(B10,wfRange,Workflow!N$1,FALSE)</f>
        <v>0</v>
      </c>
      <c r="AN10" s="1474">
        <f>IF(AM10&gt;0, IF($A$50&lt;0.9999,   IF($T10=0,  MAX($CL$2*AM10*$Q$49,$CL$2*AM10*$Q$48),  MAX(AM10*$Q$49,AM10*$Q$48)),  AM10*200),0)</f>
        <v>0</v>
      </c>
      <c r="AO10" s="2751">
        <f>IF(SUM($C10:$D10)&gt;0,$K$48*BX10,0)*1/VLOOKUP(B10,wfRange,Workflow!N$1,FALSE)</f>
        <v>0</v>
      </c>
      <c r="AP10" s="1474">
        <f>IF(AO10&gt;0, IF($A$46&lt;0.9999,   IF($T10=0,  MAX($CL$2*AO10*$Q$45,$CL$2*AO10*$Q$44),  MAX(AO10*$Q$45,AO10*$Q$44)),  AO10*200),0)</f>
        <v>0</v>
      </c>
      <c r="AQ10" s="2751">
        <f>IF(SUM($C10:$D10)&gt;0,$K$44*BW10,0)*1/VLOOKUP(B10,wfRange,Workflow!N$1,FALSE)</f>
        <v>0</v>
      </c>
      <c r="AR10" s="1474">
        <f>IF(AQ10&gt;0, IF($A$42&lt;0.9999,   IF($T10=0,  MAX($CL$2*AQ10*$Q$41,$CL$2*AQ10*$Q$39),  MAX(AQ10*$Q$41,AQ10*$Q$39)),  AQ10*200),0)</f>
        <v>0</v>
      </c>
      <c r="AS10" s="2751">
        <f>IF(SUM($C10:$D10)&gt;0,$K$39*BV10,0)*1/VLOOKUP(B10,wfRange,Workflow!N$1,FALSE)</f>
        <v>0</v>
      </c>
      <c r="AT10" s="1474">
        <f>IF(AS10&gt;0, IF($A$37&lt;0.9999,   IF($T10=0,  MAX($CL$2*AS10*$Q$36,$CL$2*AS10*$Q$35),  MAX(AS10*$Q$36,AS10*$Q$35)),  AS10*200),0)</f>
        <v>0</v>
      </c>
      <c r="AU10" s="2751">
        <f>IF(SUM($C10:$D10)&gt;0,$K$35*BU10,0)*1/VLOOKUP(B10,wfRange,Workflow!N$1,FALSE)</f>
        <v>0</v>
      </c>
      <c r="AV10" s="1474">
        <f>IF(AU10&gt;0, IF($A$33&lt;0.9999,   IF($T10=0,  MAX($CL$2*AU10*$Q$32,$CL$2*AU10*$Q$31),  MAX(AU10*$Q$32,AU10*$Q$31)),  AU10*200),0)</f>
        <v>0</v>
      </c>
      <c r="AW10" s="2751">
        <f>IF(SUM($C10:$D10)&gt;0,$K$31*BT10,0)*1/VLOOKUP(B10,wfRange,Workflow!N$1,FALSE)</f>
        <v>0</v>
      </c>
      <c r="AX10" s="1474">
        <f>IF(AW10&gt;0, IF($A$29&lt;0.9999,   IF($T10=0,  MAX($CL$2*AW10*$Q$28,$CL$2*AW10*$Q$27),  MAX(AW10*$Q$28,AW10*$Q$27)),  AW10*200),0)</f>
        <v>0</v>
      </c>
      <c r="AY10" s="2751">
        <f>IF(SUM($C10:$D10)&gt;0,$K$27*BS10,0)*1/VLOOKUP(B10,wfRange,Workflow!N$1,FALSE)</f>
        <v>0</v>
      </c>
      <c r="AZ10" s="1474">
        <f>IF(AY10&gt;0, IF($A$25&lt;0.9999,   IF($T10=0,  MAX($CL$2*AY10*$Q$24,$CL$2*AY10*$Q$23),  MAX(AY10*$Q$24,AY10*$Q$23)),  AY10*200),0)</f>
        <v>0</v>
      </c>
      <c r="BA10" s="2751">
        <f>IF(SUM($C10:$D10)&gt;0,$K$23*BR10,0)*1/VLOOKUP(B10,wfRange,Workflow!N$1,FALSE)</f>
        <v>0</v>
      </c>
      <c r="BB10" s="1474">
        <f>IF(BA10&gt;0, IF($A$21&lt;0.9999,   IF($T10=0,  MAX($CL$2*BA10*$Q$20,$CL$2*BA10*$Q$19),  MAX(BA10*$Q$20,BA10*$Q$19)),  BA10*200),0)</f>
        <v>0</v>
      </c>
      <c r="BC10" s="2751">
        <f ca="1">IF(SUM($C10:$D10)&gt;0,IF($CJ10&gt;0,IF($CO10&gt;$CN10,$I10/$CN10,$I10/$CO10),$I10/$CN10),0)</f>
        <v>8.3333333333333329E-2</v>
      </c>
      <c r="BD10" s="930">
        <f ca="1">IF(BC10&gt;0,IF(CL10&lt;0.9999,BC10*CL10/((1+$CK$2*CL10)*(1-CL10)),BC10*500),0)</f>
        <v>0.10762766645119584</v>
      </c>
      <c r="BE10" s="2765">
        <f ca="1">IF(SUM($C10:$D10)&gt;0,IF(CJ10&gt;0,VLOOKUP($CJ10+200,NL,6,FALSE)*S10,0),0)/1000</f>
        <v>0</v>
      </c>
      <c r="BF10" s="2765">
        <f>IF(SUM($C10:$D10)&gt;0,BQ10*$BO$2/$G$18,0)*1/VLOOKUP(B10,wfRange,Workflow!N$1,FALSE)</f>
        <v>3.0306854669831077E-2</v>
      </c>
      <c r="BG10" s="2736">
        <f>IF($CW10="desktop",VLOOKUP($R10,DataArray,5,FALSE)* VLOOKUP($B10,wfRange,Workflow!C$1,FALSE), VLOOKUP($B10,wfRange,Workflow!C$1,FALSE))</f>
        <v>7.5</v>
      </c>
      <c r="BH10" s="1476">
        <f>IF(CW10="Desktop", VLOOKUP($R10,DataArray,4,FALSE)* IF(ISERROR(FIND("File",$R10)), VLOOKUP($B10,wfRange,Workflow!D$1,FALSE), VLOOKUP($B10,wfRange,Workflow!D$1,FALSE)+ VLOOKUP($B10,wfRange,Workflow!I$1,FALSE)+ VLOOKUP($B10,wfRange,Workflow!K$1,FALSE)), VLOOKUP($B10,wfRange,Workflow!D$1,FALSE))</f>
        <v>2.5289841565703634E-2</v>
      </c>
      <c r="BI10" s="542">
        <f>IF(VLOOKUP($B10,wfRange,Workflow!E$1,FALSE)&gt;0, VLOOKUP($R10,DataArray,4,FALSE)* IF(ISERROR(FIND("File",$R10)),   VLOOKUP($B10,wfRange,Workflow!E$1,FALSE),     VLOOKUP($B10,wfRange,Workflow!E$1,FALSE)+ VLOOKUP($B10,wfRange,Workflow!I$1,FALSE)+ VLOOKUP($B10,wfRange,Workflow!K$1,FALSE)),0)</f>
        <v>0.24025349487418457</v>
      </c>
      <c r="BJ10" s="543">
        <f>VLOOKUP($B10,wfRange,Workflow!F$1,FALSE)</f>
        <v>0</v>
      </c>
      <c r="BK10" s="543">
        <f>MAX(VLOOKUP($B10,wfRange,Workflow!G$1,FALSE),IF(W10=$BB$18,$BC$18,0))</f>
        <v>0</v>
      </c>
      <c r="BL10" s="543">
        <f>IF(VLOOKUP($B10,wfRange,Workflow!H$1,FALSE)&gt;0,VLOOKUP($R10,DataArray,4,FALSE)* IF(ISERROR(FIND("File",$R10)),VLOOKUP($B10,wfRange,Workflow!H$1,FALSE),VLOOKUP($B10,wfRange,Workflow!H$1,FALSE)+VLOOKUP($B10,wfRange,Workflow!I$1,FALSE)+VLOOKUP($B10,wfRange,Workflow!K$1,FALSE)),0)</f>
        <v>0</v>
      </c>
      <c r="BM10" s="544">
        <f>VLOOKUP($R10,DataArray,3,FALSE)* VLOOKUP($B10,wfRange,Workflow!I$1,FALSE)</f>
        <v>3.0031686859273071E-2</v>
      </c>
      <c r="BN10" s="545">
        <f>VLOOKUP($R10,DataArray,5,FALSE)* VLOOKUP($B10,wfRange,Workflow!J$1,FALSE)</f>
        <v>10</v>
      </c>
      <c r="BO10" s="544">
        <f>VLOOKUP($R10,DataArray,2,FALSE)* VLOOKUP($B10,wfRange,Workflow!K$1,FALSE)</f>
        <v>3.0031686859273071E-2</v>
      </c>
      <c r="BP10" s="753">
        <f>SUM(BH10:BM10,BO10)</f>
        <v>0.32560671015843434</v>
      </c>
      <c r="BQ10" s="1471">
        <f t="shared" ref="BQ10:CF12" si="3">IF(OR($J10=BQ$4,AND($J10=$A$163,$J$5=BQ$4)),$BH10)+IF(OR($K10=BQ$4,AND($K10=$A$163,$K$5=BQ$4)),$BI10)+IF(OR($L10=BQ$4,AND($L10=$A$163,$L$5=BQ$4)),$BJ10)+IF(OR($M10=BQ$4,AND($M10=$A$163,$M$5=BQ$4)),$BK10)+IF(OR($N10=BQ$4,AND($N10=$A$163,$N$5=BQ$4)),$BL10)+IF($P10=BQ$4,$BM10)+IF(OR($Q10=BQ$4,AND($Q10=$A$163,$Q$5=BQ$4)),$BO10)</f>
        <v>2.5289841565703634E-2</v>
      </c>
      <c r="BR10" s="1472">
        <f t="shared" si="3"/>
        <v>0</v>
      </c>
      <c r="BS10" s="1472">
        <f t="shared" si="3"/>
        <v>0</v>
      </c>
      <c r="BT10" s="1472">
        <f t="shared" si="3"/>
        <v>0</v>
      </c>
      <c r="BU10" s="1472">
        <f t="shared" si="3"/>
        <v>0</v>
      </c>
      <c r="BV10" s="1472">
        <f t="shared" si="3"/>
        <v>0</v>
      </c>
      <c r="BW10" s="1472">
        <f t="shared" si="3"/>
        <v>0</v>
      </c>
      <c r="BX10" s="1472">
        <f t="shared" si="3"/>
        <v>0</v>
      </c>
      <c r="BY10" s="1472">
        <f t="shared" si="3"/>
        <v>0</v>
      </c>
      <c r="BZ10" s="1472">
        <f t="shared" si="3"/>
        <v>0</v>
      </c>
      <c r="CA10" s="1472">
        <f t="shared" si="3"/>
        <v>0</v>
      </c>
      <c r="CB10" s="1472">
        <f t="shared" si="3"/>
        <v>0.27028518173345761</v>
      </c>
      <c r="CC10" s="1472">
        <f t="shared" si="3"/>
        <v>0</v>
      </c>
      <c r="CD10" s="1472">
        <f t="shared" si="3"/>
        <v>0</v>
      </c>
      <c r="CE10" s="1472">
        <f t="shared" si="3"/>
        <v>0</v>
      </c>
      <c r="CF10" s="1472">
        <f t="shared" si="3"/>
        <v>3.0031686859273071E-2</v>
      </c>
      <c r="CG10" s="541">
        <f>$BN10</f>
        <v>10</v>
      </c>
      <c r="CH10" s="951">
        <f ca="1">CJ10+100</f>
        <v>100</v>
      </c>
      <c r="CI10" s="951">
        <f ca="1">COUNTBLANK($CI$5:$CI10)</f>
        <v>2</v>
      </c>
      <c r="CJ10" s="951">
        <f ca="1">COUNTBLANK($CJ$5:$CJ10)</f>
        <v>0</v>
      </c>
      <c r="CK10" s="1477">
        <f ca="1">COUNTA($CK$5:$CK10)</f>
        <v>4</v>
      </c>
      <c r="CL10" s="547">
        <f ca="1">IF(CO10=0,VLOOKUP($CI10,NL,5,FALSE),IF(CO10&lt;CN10,VLOOKUP($CJ10+200,NL,5,FALSE),VLOOKUP($CI10,NL,5,FALSE)))</f>
        <v>0.68518518518518512</v>
      </c>
      <c r="CM10" s="1475"/>
      <c r="CN10" s="548">
        <f ca="1">VLOOKUP($CI10,NL,3,FALSE)</f>
        <v>90</v>
      </c>
      <c r="CO10" s="549">
        <f ca="1">IF(CJ10&gt;0,VLOOKUP($CJ10+200,NL,2,FALSE),0)</f>
        <v>0</v>
      </c>
      <c r="CP10" s="570">
        <f>VLOOKUP($B10,wfRange,Workflow!L$1,FALSE)</f>
        <v>3</v>
      </c>
      <c r="CQ10" s="1473">
        <f>IF($CQ$5=1000,1000,VLOOKUP($B10,wfRange,Workflow!M$1,FALSE))</f>
        <v>10</v>
      </c>
      <c r="CR10" s="767">
        <f ca="1">IF(SUM($C10:$D10)&gt;0,IF(T10&gt;0,60/(T10+V10),60/V10),1000)</f>
        <v>15.729784800738351</v>
      </c>
      <c r="CS10" s="766">
        <f ca="1">IF(CR10&gt;E10,E10+ABS(CR10-E10)*$U$2/100,E10-ABS(CR10-E10)*$U$2/500)</f>
        <v>10.572978480073836</v>
      </c>
      <c r="CT10" s="1478" t="str">
        <f t="shared" si="1"/>
        <v>S CitrixEdit</v>
      </c>
      <c r="CU10" s="1478" t="str">
        <f>IF(ISERROR(FIND("_",R10)),R10,LEFT(R10,FIND("_",R10)-1))</f>
        <v>DB</v>
      </c>
      <c r="CV10" s="1479">
        <f>F10*60</f>
        <v>4800</v>
      </c>
      <c r="CW10" s="1900" t="str">
        <f>VLOOKUP($B10,wfRange,Workflow!O$1,FALSE)</f>
        <v>Desktop</v>
      </c>
      <c r="CX10" s="1478">
        <f>IF(ISERROR(IF(CW10=" Imagery",MATCH(R10,ImageryDataList,0), MATCH(R10,MapDataList,0))),1,0)</f>
        <v>0</v>
      </c>
      <c r="CY10" s="1914">
        <f>IF(CW10=" imagery",IF($O10=$A$181,0,IF($O10=$A$182,0,1)),0)</f>
        <v>0</v>
      </c>
      <c r="CZ10" s="1908">
        <f>IF(AND(O10=$A$182,R10=Calculator!$C$171),1,0)</f>
        <v>0</v>
      </c>
      <c r="DA10" s="1900" t="str">
        <f>IF(BH10&gt;0.04*$BO$2/58,DA$4,"server")</f>
        <v>server</v>
      </c>
      <c r="DB10" s="1480"/>
      <c r="DC10" s="1480"/>
      <c r="DD10" s="1480"/>
      <c r="DE10" s="1480"/>
      <c r="DF10" s="1481"/>
      <c r="DG10" s="550"/>
      <c r="DH10" s="1482">
        <f>IF($BQ10&gt;0, IF(ISTEXT(DH$3), $C10+IF($D10&lt;1000,$D10,$D10/($E10*60)),0),0)</f>
        <v>8</v>
      </c>
      <c r="DI10" s="1483">
        <f>IF(DH10&gt;0,IF(ISTEXT(DH$3),$F10),0)</f>
        <v>80</v>
      </c>
      <c r="DJ10" s="1484">
        <f>IF(DH10&gt;0,IF(ISTEXT(DH$3),$G10),0)</f>
        <v>10</v>
      </c>
      <c r="DK10" s="1485">
        <f>$BQ10*DI10</f>
        <v>2.0231873252562909</v>
      </c>
      <c r="DL10" s="801" t="b">
        <f>ISERROR(MATCH(DN$3,$J10:$O10,0))</f>
        <v>1</v>
      </c>
      <c r="DM10" s="802">
        <f>IF($BR10&gt;0, IF(ISTEXT(DM$3), $C10+IF($D10&lt;1000,$D10,$D10/($E10*60)),0),0)</f>
        <v>0</v>
      </c>
      <c r="DN10" s="802">
        <f>IF(DM10&gt;0,IF(ISTEXT(DM$3),$F10),0)</f>
        <v>0</v>
      </c>
      <c r="DO10" s="539">
        <f>IF(DM10&gt;0,IF(ISTEXT(DM$3),$G10),0)</f>
        <v>0</v>
      </c>
      <c r="DP10" s="698">
        <f>IF($I10=0,0,IF(DM10&gt;0,DO10*$CG10/$I10,0))</f>
        <v>0</v>
      </c>
      <c r="DQ10" s="803">
        <f>$BR10*DN10</f>
        <v>0</v>
      </c>
      <c r="DR10" s="801" t="b">
        <f>ISERROR(MATCH(DT$3,$J10:$O10,0))</f>
        <v>1</v>
      </c>
      <c r="DS10" s="802">
        <f>IF($BS10&gt;0, IF(ISTEXT(DS$3), $C10+IF($D10&lt;1000,$D10,$D10/($E10*60)),0),0)</f>
        <v>0</v>
      </c>
      <c r="DT10" s="802">
        <f>IF(DS10&gt;0,IF(ISTEXT(DS$3),$F10),0)</f>
        <v>0</v>
      </c>
      <c r="DU10" s="539">
        <f>IF(DS10&gt;0,IF(ISTEXT(DS$3),$G10),0)</f>
        <v>0</v>
      </c>
      <c r="DV10" s="698">
        <f>IF($I10=0,0,IF(DS10&gt;0,DU10*$CG10/$I10,0))</f>
        <v>0</v>
      </c>
      <c r="DW10" s="803">
        <f>$BS10*DT10</f>
        <v>0</v>
      </c>
      <c r="DX10" s="801" t="b">
        <f>ISERROR(MATCH(DZ$3,$J10:$O10,0))</f>
        <v>1</v>
      </c>
      <c r="DY10" s="802">
        <f>IF($BT10&gt;0, IF(ISTEXT(DY$3), $C10+IF($D10&lt;1000,$D10,$D10/($E10*60)),0),0)</f>
        <v>0</v>
      </c>
      <c r="DZ10" s="802">
        <f>IF(DY10&gt;0,IF(ISTEXT(DY$3),$F10),0)</f>
        <v>0</v>
      </c>
      <c r="EA10" s="539">
        <f>IF(DY10&gt;0,IF(ISTEXT(DY$3),$G10),0)*IF($DX10=FALSE,IF($DZ$3=$D$180,1,$EA$3),1)</f>
        <v>0</v>
      </c>
      <c r="EB10" s="698">
        <f>IF($I10=0,0,IF(DY10&gt;0,EA10*$CG10/$I10,0))</f>
        <v>0</v>
      </c>
      <c r="EC10" s="803">
        <f>$BT10*DZ10</f>
        <v>0</v>
      </c>
      <c r="ED10" s="801" t="b">
        <f>ISERROR(MATCH(EF$3,$J10:$O10,0))</f>
        <v>1</v>
      </c>
      <c r="EE10" s="802">
        <f>IF($BU10&gt;0, IF(ISTEXT(EE$3), $C10+IF($D10&lt;1000,$D10,$D10/($E10*60)),0),0)</f>
        <v>0</v>
      </c>
      <c r="EF10" s="802">
        <f>IF(EE10&gt;0,IF(ISTEXT(EE$3),$F10),0)</f>
        <v>0</v>
      </c>
      <c r="EG10" s="539">
        <f>IF(EE10&gt;0,IF(ISTEXT(EE$3),$G10),0)</f>
        <v>0</v>
      </c>
      <c r="EH10" s="698">
        <f>IF($I10=0,0,IF(EE10&gt;0,EG10*$CG10/$I10,0))</f>
        <v>0</v>
      </c>
      <c r="EI10" s="803">
        <f>$BU10*EF10</f>
        <v>0</v>
      </c>
      <c r="EJ10" s="801" t="b">
        <f>ISERROR(MATCH(EL$3,$J10:$O10,0))</f>
        <v>1</v>
      </c>
      <c r="EK10" s="1483">
        <f>IF($BV10&gt;0, IF(ISTEXT(EK$3), $C10+IF($D10&lt;1000,$D10,$D10/($E10*60)),0),0)</f>
        <v>0</v>
      </c>
      <c r="EL10" s="1483">
        <f>IF(EK10&gt;0,IF(ISTEXT(EK$3),$F10),0)</f>
        <v>0</v>
      </c>
      <c r="EM10" s="1484">
        <f>IF(EK10&gt;0,IF(ISTEXT(EK$3),$G10),0)</f>
        <v>0</v>
      </c>
      <c r="EN10" s="1486">
        <f>IF($I10=0,0,IF(EK10&gt;0,EM10*$CG10/$I10,0))</f>
        <v>0</v>
      </c>
      <c r="EO10" s="1487">
        <f>$BV10*EL10</f>
        <v>0</v>
      </c>
      <c r="EP10" s="801" t="b">
        <f>ISERROR(MATCH(ER$3,$J10:$O10,0))</f>
        <v>1</v>
      </c>
      <c r="EQ10" s="1488">
        <f>IF($BW10&gt;0, IF(ISTEXT(EQ$3), $C10+IF($D10&lt;1000,$D10,$D10/($E10*60)),0),0)</f>
        <v>0</v>
      </c>
      <c r="ER10" s="1483">
        <f>IF(EQ10&gt;0,IF(ISTEXT(EQ$3),$F10),0)</f>
        <v>0</v>
      </c>
      <c r="ES10" s="1484">
        <f>IF(EQ10&gt;0,IF(ISTEXT(EQ$3),$G10),0)</f>
        <v>0</v>
      </c>
      <c r="ET10" s="1486">
        <f>IF($I10=0,0,IF(EQ10&gt;0,ES10*$CG10/$I10,0))</f>
        <v>0</v>
      </c>
      <c r="EU10" s="1487">
        <f>$BW10*ER10</f>
        <v>0</v>
      </c>
      <c r="EV10" s="801" t="b">
        <f>ISERROR(MATCH(EX$3,$J10:$O10,0))</f>
        <v>1</v>
      </c>
      <c r="EW10" s="1488">
        <f>IF($BX10&gt;0, IF(ISTEXT(EW$3), $C10+IF($D10&lt;1000,$D10,$D10/($E10*60)),0),0)</f>
        <v>0</v>
      </c>
      <c r="EX10" s="1483">
        <f>IF(EW10&gt;0,IF(ISTEXT(EW$3),$F10),0)</f>
        <v>0</v>
      </c>
      <c r="EY10" s="1484">
        <f>IF(EW10&gt;0,IF(ISTEXT(EW$3),$G10),0)</f>
        <v>0</v>
      </c>
      <c r="EZ10" s="1486">
        <f>IF($I10=0,0,IF(EW10&gt;0,EY10*$CG10/$I10,0))</f>
        <v>0</v>
      </c>
      <c r="FA10" s="1487">
        <f>$BX10*EX10</f>
        <v>0</v>
      </c>
      <c r="FB10" s="801" t="b">
        <f>ISERROR(MATCH(FD$3,$J10:$O10,0))</f>
        <v>1</v>
      </c>
      <c r="FC10" s="1488">
        <f>IF($BY10&gt;0, IF(ISTEXT(FC$3), $C10+IF($D10&lt;1000,$D10,$D10/($E10*60)),0),0)</f>
        <v>0</v>
      </c>
      <c r="FD10" s="1483">
        <f>IF(FC10&gt;0,IF(ISTEXT(FC$3),$F10),0)</f>
        <v>0</v>
      </c>
      <c r="FE10" s="1484">
        <f>IF(FC10&gt;0,IF(ISTEXT(FC$3),$G10),0)</f>
        <v>0</v>
      </c>
      <c r="FF10" s="1486">
        <f>IF($I10=0,0,IF(FC10&gt;0,FE10*$CG10/$I10,0))</f>
        <v>0</v>
      </c>
      <c r="FG10" s="1487">
        <f>$BY10*FD10</f>
        <v>0</v>
      </c>
      <c r="FH10" s="801" t="b">
        <f>ISERROR(MATCH(FJ$3,$J10:$O10,0))</f>
        <v>1</v>
      </c>
      <c r="FI10" s="1488">
        <f>IF($BZ10&gt;0, IF(ISTEXT(FI$3), $C10+IF($D10&lt;1000,$D10,$D10/($E10*60)),0),0)</f>
        <v>0</v>
      </c>
      <c r="FJ10" s="1483">
        <f>IF(FI10&gt;0,IF(ISTEXT(FI$3),$F10),0)</f>
        <v>0</v>
      </c>
      <c r="FK10" s="1484">
        <f>IF(FI10&gt;0,IF(ISTEXT(FI$3),$G10),0)</f>
        <v>0</v>
      </c>
      <c r="FL10" s="1486">
        <f>IF($I10=0,0,IF(FI10&gt;0,FK10*$CG10/$I10,0))</f>
        <v>0</v>
      </c>
      <c r="FM10" s="1487">
        <f>$BZ10*FJ10</f>
        <v>0</v>
      </c>
      <c r="FN10" s="801" t="b">
        <f>ISERROR(MATCH(FP$3,$J10:$O10,0))</f>
        <v>1</v>
      </c>
      <c r="FO10" s="1488">
        <f>IF($CA10&gt;0, IF(ISTEXT(FO$3), $C10+IF($D10&lt;1000,$D10,$D10/($E10*60)),0),0)</f>
        <v>0</v>
      </c>
      <c r="FP10" s="1483">
        <f>IF(FO10&gt;0,IF(ISTEXT(FO$3),$F10),0)</f>
        <v>0</v>
      </c>
      <c r="FQ10" s="1484">
        <f>IF(FO10&gt;0,IF(ISTEXT(FO$3),$G10),0)</f>
        <v>0</v>
      </c>
      <c r="FR10" s="1486">
        <f>IF($I10=0,0,IF(FO10&gt;0,FQ10*$CG10/$I10,0))</f>
        <v>0</v>
      </c>
      <c r="FS10" s="1487">
        <f>$CA10*FP10</f>
        <v>0</v>
      </c>
      <c r="FT10" s="801" t="b">
        <f>ISERROR(MATCH(FV$3,$J10:$O10,0))</f>
        <v>1</v>
      </c>
      <c r="FU10" s="1488">
        <f>IF($CB10&gt;0, IF(ISTEXT(FU$3), $C10+IF($D10&lt;1000,$D10,$D10/($E10*60)),0),0)</f>
        <v>8</v>
      </c>
      <c r="FV10" s="1483">
        <f>IF(FU10&gt;0,IF(ISTEXT(FU$3),$F10),0)</f>
        <v>80</v>
      </c>
      <c r="FW10" s="1484">
        <f>IF(FU10&gt;0,IF(ISTEXT(FU$3),$G10),0)</f>
        <v>10</v>
      </c>
      <c r="FX10" s="1486">
        <f>IF($I10=0,0,IF(FU10&gt;0,FW10*$CG10/$I10,0))</f>
        <v>13.333333333333334</v>
      </c>
      <c r="FY10" s="1487">
        <f>$CB10*FV10</f>
        <v>21.622814538676607</v>
      </c>
      <c r="FZ10" s="801" t="b">
        <f>ISERROR(MATCH(GB$3,$J10:$O10,0))</f>
        <v>1</v>
      </c>
      <c r="GA10" s="1488">
        <f>IF($CC10&gt;0, IF(ISTEXT(GA$3), $C10+IF($D10&lt;1000,$D10,$D10/($E10*60)),0),0)</f>
        <v>0</v>
      </c>
      <c r="GB10" s="1483">
        <f>IF(GA10&gt;0,IF(ISTEXT(GA$3),$F10),0)</f>
        <v>0</v>
      </c>
      <c r="GC10" s="1484">
        <f>IF(GA10&gt;0,IF(ISTEXT(GA$3),$G10),0)</f>
        <v>0</v>
      </c>
      <c r="GD10" s="1486">
        <f>IF($I10=0,0,IF(GA10&gt;0,GC10*$CG10/$I10,0))</f>
        <v>0</v>
      </c>
      <c r="GE10" s="1487">
        <f>$CC10*GB10</f>
        <v>0</v>
      </c>
      <c r="GF10" s="801" t="b">
        <f>ISERROR(MATCH(GH$3,$J10:$O10,0))</f>
        <v>1</v>
      </c>
      <c r="GG10" s="1488">
        <f>IF($CD10&gt;0, IF(ISTEXT(GG$3), $C10+IF($D10&lt;1000,$D10,$D10/($E10*60)),0),0)</f>
        <v>0</v>
      </c>
      <c r="GH10" s="1483">
        <f>IF(GG10&gt;0,IF(ISTEXT(GG$3),$F10),0)</f>
        <v>0</v>
      </c>
      <c r="GI10" s="1484">
        <f>IF(GG10&gt;0,IF(ISTEXT(GG$3),$G10),0)</f>
        <v>0</v>
      </c>
      <c r="GJ10" s="1486">
        <f>IF($I10=0,0,IF(GG10&gt;0,GI10*$CG10/$I10,0))</f>
        <v>0</v>
      </c>
      <c r="GK10" s="1487">
        <f>$CD10*GH10</f>
        <v>0</v>
      </c>
      <c r="GL10" s="801" t="b">
        <f>ISERROR(MATCH(GN$3,$J10:$O10,0))</f>
        <v>1</v>
      </c>
      <c r="GM10" s="1488">
        <f>IF($CE10&gt;0, IF(ISTEXT(GM$3), $C10+IF($D10&lt;1000,$D10,$D10/($E10*60)),0),0)</f>
        <v>0</v>
      </c>
      <c r="GN10" s="1483">
        <f>IF(GM10&gt;0,IF(ISTEXT(GM$3),$F10),0)</f>
        <v>0</v>
      </c>
      <c r="GO10" s="1484">
        <f>IF(GM10&gt;0,IF(ISTEXT(GM$3),$G10),0)</f>
        <v>0</v>
      </c>
      <c r="GP10" s="1486">
        <f>IF($I10=0,0,IF(GM10&gt;0,GO10*$CG10/$I10,0))</f>
        <v>0</v>
      </c>
      <c r="GQ10" s="1487">
        <f>$CE10*GN10</f>
        <v>0</v>
      </c>
      <c r="GR10" s="801" t="b">
        <f>ISERROR(MATCH(GT$3,$J10:$O10,0))</f>
        <v>1</v>
      </c>
      <c r="GS10" s="1488">
        <f>IF($CF10&gt;0, IF(ISTEXT(GS$3), $C10+IF($D10&lt;1000,$D10,$D10/($E10*60)),0),0)</f>
        <v>8</v>
      </c>
      <c r="GT10" s="1483">
        <f>IF(GS10&gt;0,IF(ISTEXT(GS$3),$F10),0)</f>
        <v>80</v>
      </c>
      <c r="GU10" s="1484">
        <f>IF(I10=0,0,IF(GS10&gt;0,IF(ISTEXT(GS$3),$G10),0)*$CG10/$I10)</f>
        <v>13.333333333333334</v>
      </c>
      <c r="GV10" s="1484"/>
      <c r="GW10" s="1487">
        <f>$CF10*GT10</f>
        <v>2.4025349487418457</v>
      </c>
      <c r="GX10" s="1489">
        <f>IF(ISERROR(FIND("File",$R10)),0,F10*$BN10*VLOOKUP(R10,DataArray,4,FALSE))/60</f>
        <v>0</v>
      </c>
      <c r="GY10" s="551" t="b">
        <f>ISERROR(OR(FIND("F",$R10)))</f>
        <v>1</v>
      </c>
      <c r="GZ10" s="2471" t="b">
        <f>ISERROR(OR(FIND("Image",$R10)))</f>
        <v>1</v>
      </c>
      <c r="HA10" s="2476"/>
      <c r="HB10" s="2866"/>
      <c r="HC10" s="2866"/>
    </row>
    <row r="11" spans="1:211" s="1490" customFormat="1" ht="15" customHeight="1" x14ac:dyDescent="0.2">
      <c r="A11" s="1467" t="str">
        <f>IF($A$4=$H$163,$CI11&amp;"."&amp;$CJ11&amp;"."&amp;$CK11,CT11)</f>
        <v>S CitrixView</v>
      </c>
      <c r="B11" s="159" t="s">
        <v>212</v>
      </c>
      <c r="C11" s="1468">
        <v>55</v>
      </c>
      <c r="D11" s="1469"/>
      <c r="E11" s="537">
        <f>IF(D11&lt;1000,IF(SUM(C11:D11)=0,0,IF(AND(D$1=H$169,T11=0),CS11,IF(T$2=$H$174,X11,IF(T$2=$H$175,IF(T11&gt;0,  IF(CR11&gt;X11,X11,CS11),CS11),E11)))),X11)</f>
        <v>10</v>
      </c>
      <c r="F11" s="538">
        <f>IF($T$2=$H$173,0,IF($D$4=Calculator!$A$162,C11*E11+D11/60,IF(OR($D$4=Calculator!$A$163,D11&lt;1000),(C11+D11)*E11,C11*E11+D11/60)))</f>
        <v>550</v>
      </c>
      <c r="G11" s="803">
        <f>IF(SUM($C11:$D11)&gt;0,F11*$I11/60,0)</f>
        <v>47.666666666666664</v>
      </c>
      <c r="H11" s="925" t="str">
        <f>W11&amp;CU11&amp;" {"&amp;TEXT(F11*60,"###,##0")&amp;"}"</f>
        <v>DB {33,000}</v>
      </c>
      <c r="I11" s="540">
        <f>$BG11</f>
        <v>5.2</v>
      </c>
      <c r="J11" s="926" t="s">
        <v>382</v>
      </c>
      <c r="K11" s="926" t="s">
        <v>382</v>
      </c>
      <c r="L11" s="927" t="s">
        <v>382</v>
      </c>
      <c r="M11" s="927" t="s">
        <v>382</v>
      </c>
      <c r="N11" s="927" t="s">
        <v>382</v>
      </c>
      <c r="O11" s="927" t="s">
        <v>382</v>
      </c>
      <c r="P11" s="928" t="str">
        <f>IF(OR(AND($O11=$A$163,  $O$5=$A$163),AND($O11=$A$163,  $O$5=$A$183)), IF(BL11&gt;0,IF($N11=$A$163,$N$5,$N11), IF(BI11&gt;0,  IF($K11=$A$163,$K$5,$K11), IF($J11=$A$163,$J$5,$J11))),IF(O11=$A$163,O$5,O11))</f>
        <v>WTS</v>
      </c>
      <c r="Q11" s="929" t="s">
        <v>382</v>
      </c>
      <c r="R11" s="160" t="s">
        <v>1055</v>
      </c>
      <c r="S11" s="1470">
        <f>VLOOKUP($B11,wfRange,Workflow!B$1,FALSE)</f>
        <v>10</v>
      </c>
      <c r="T11" s="1245">
        <f>CP11</f>
        <v>3</v>
      </c>
      <c r="U11" s="546">
        <f ca="1">IF(F11=0,T11,60/E11-V11)</f>
        <v>5.2441417381566966</v>
      </c>
      <c r="V11" s="759">
        <f ca="1">IF(F11=0,0,SUM(Y11:BF11))</f>
        <v>0.75585826184330362</v>
      </c>
      <c r="W11" s="2682"/>
      <c r="X11" s="2733">
        <f>CQ11</f>
        <v>10</v>
      </c>
      <c r="Y11" s="2751">
        <f>IF(SUM($C11:$D11)&gt;0,$K$81*CF11,0)*1/VLOOKUP(B11,wfRange,Workflow!N$1,FALSE)</f>
        <v>3.186157458904957E-2</v>
      </c>
      <c r="Z11" s="1474">
        <f>IF(Y11&gt;0, IF($A$79&lt;0.9999,   IF($T11=0,  MAX($CL$2*Y11*$Q$78,$CL$2*Y11*$Q$77),  MAX(Y11*$Q$78,Y11*$Q$77)),  Y11*200),0)</f>
        <v>6.6188609149817343E-3</v>
      </c>
      <c r="AA11" s="2751">
        <f>IF(SUM($C11:$D11)&gt;0,$K$77*CE11,0)*1/VLOOKUP(B11,wfRange,Workflow!N$1,FALSE)</f>
        <v>0</v>
      </c>
      <c r="AB11" s="1474">
        <f>IF(AA11&gt;0, IF($A$75&lt;0.9999,   IF($T11=0,  MAX($CL$2*AA11*$Q$74,$CL$2*AA11*$Q$73),  MAX(AA11*$Q$74,AA11*$Q$73)),  AA11*200),0)</f>
        <v>0</v>
      </c>
      <c r="AC11" s="2751">
        <f>IF(SUM($C11:$D11)&gt;0,$K$73*CD11,0)*1/VLOOKUP(B11,wfRange,Workflow!N$1,FALSE)</f>
        <v>0</v>
      </c>
      <c r="AD11" s="1474">
        <f>IF(AC11&gt;0, IF($A$71&lt;0.9999,   IF($T11=0,  MAX($CL$2*AC11*$Q$70,$CL$2*AC11*$Q$69),  MAX(AC11*$Q$70,AC11*$Q$69)),  AC11*200),0)</f>
        <v>0</v>
      </c>
      <c r="AE11" s="2751">
        <f>IF(SUM($C11:$D11)&gt;0,$K$69*CC11,0)*1/VLOOKUP(B11,wfRange,Workflow!N$1,FALSE)</f>
        <v>0</v>
      </c>
      <c r="AF11" s="1474">
        <f>IF(AE11&gt;0, IF($A$67&lt;0.9999,   IF($T11=0,  MAX($CL$2*AE11*$Q$66,$CL$2*AE11*$Q$65),  MAX(AE11*$Q$66,AE11*$Q$65)),  AE11*200),0)</f>
        <v>0</v>
      </c>
      <c r="AG11" s="2751">
        <f>IF(SUM($C11:$D11)&gt;0,$K$65*CB11,0)*1/VLOOKUP(B11,wfRange,Workflow!N$1,FALSE)</f>
        <v>0.28675417130144609</v>
      </c>
      <c r="AH11" s="1474">
        <f>IF(AG11&gt;0, IF($A$63&lt;0.9999,   IF($T11=0,  MAX($CL$2*AG11*$Q$62,$CL$2*AG11*$Q$60),  MAX(AG11*$Q$62,AG11*$Q$60)),  AG11*200),0)</f>
        <v>0.26791717385072161</v>
      </c>
      <c r="AI11" s="2751">
        <f>IF(SUM($C11:$D11)&gt;0,$K$60*CA11,0)*1/VLOOKUP(B11,wfRange,Workflow!N$1,FALSE)</f>
        <v>0</v>
      </c>
      <c r="AJ11" s="1474">
        <f>IF(AI11&gt;0, IF($A$58&lt;0.9999,   IF($T11=0,  MAX($CL$2*AI11*$Q$57,$CL$2*AI11*$Q$56),  MAX(AI11*$Q$57,AI11*$Q$56)),  AI11*200),0)</f>
        <v>0</v>
      </c>
      <c r="AK11" s="2751">
        <f>IF(SUM($C11:$D11)&gt;0,$K$56*BZ11,0)*1/VLOOKUP(B11,wfRange,Workflow!N$1,FALSE)</f>
        <v>0</v>
      </c>
      <c r="AL11" s="1474">
        <f>IF(AK11&gt;0, IF($A$54&lt;0.9999,   IF($T11=0,  MAX($CL$2*AK11*$Q$53,$CL$2*AK11*$Q$52),  MAX(AK11*$Q$53,AK11*$Q$52)),  AK11*200),0)</f>
        <v>0</v>
      </c>
      <c r="AM11" s="2751">
        <f>IF(SUM($C11:$D11)&gt;0,$K$52*BY11,0)*1/VLOOKUP(B11,wfRange,Workflow!N$1,FALSE)</f>
        <v>0</v>
      </c>
      <c r="AN11" s="1474">
        <f>IF(AM11&gt;0, IF($A$50&lt;0.9999,   IF($T11=0,  MAX($CL$2*AM11*$Q$49,$CL$2*AM11*$Q$48),  MAX(AM11*$Q$49,AM11*$Q$48)),  AM11*200),0)</f>
        <v>0</v>
      </c>
      <c r="AO11" s="2751">
        <f>IF(SUM($C11:$D11)&gt;0,$K$48*BX11,0)*1/VLOOKUP(B11,wfRange,Workflow!N$1,FALSE)</f>
        <v>0</v>
      </c>
      <c r="AP11" s="1474">
        <f>IF(AO11&gt;0, IF($A$46&lt;0.9999,   IF($T11=0,  MAX($CL$2*AO11*$Q$45,$CL$2*AO11*$Q$44),  MAX(AO11*$Q$45,AO11*$Q$44)),  AO11*200),0)</f>
        <v>0</v>
      </c>
      <c r="AQ11" s="2751">
        <f>IF(SUM($C11:$D11)&gt;0,$K$44*BW11,0)*1/VLOOKUP(B11,wfRange,Workflow!N$1,FALSE)</f>
        <v>0</v>
      </c>
      <c r="AR11" s="1474">
        <f>IF(AQ11&gt;0, IF($A$42&lt;0.9999,   IF($T11=0,  MAX($CL$2*AQ11*$Q$41,$CL$2*AQ11*$Q$39),  MAX(AQ11*$Q$41,AQ11*$Q$39)),  AQ11*200),0)</f>
        <v>0</v>
      </c>
      <c r="AS11" s="2751">
        <f>IF(SUM($C11:$D11)&gt;0,$K$39*BV11,0)*1/VLOOKUP(B11,wfRange,Workflow!N$1,FALSE)</f>
        <v>0</v>
      </c>
      <c r="AT11" s="1474">
        <f>IF(AS11&gt;0, IF($A$37&lt;0.9999,   IF($T11=0,  MAX($CL$2*AS11*$Q$36,$CL$2*AS11*$Q$35),  MAX(AS11*$Q$36,AS11*$Q$35)),  AS11*200),0)</f>
        <v>0</v>
      </c>
      <c r="AU11" s="2751">
        <f>IF(SUM($C11:$D11)&gt;0,$K$35*BU11,0)*1/VLOOKUP(B11,wfRange,Workflow!N$1,FALSE)</f>
        <v>0</v>
      </c>
      <c r="AV11" s="1474">
        <f>IF(AU11&gt;0, IF($A$33&lt;0.9999,   IF($T11=0,  MAX($CL$2*AU11*$Q$32,$CL$2*AU11*$Q$31),  MAX(AU11*$Q$32,AU11*$Q$31)),  AU11*200),0)</f>
        <v>0</v>
      </c>
      <c r="AW11" s="2751">
        <f>IF(SUM($C11:$D11)&gt;0,$K$31*BT11,0)*1/VLOOKUP(B11,wfRange,Workflow!N$1,FALSE)</f>
        <v>0</v>
      </c>
      <c r="AX11" s="1474">
        <f>IF(AW11&gt;0, IF($A$29&lt;0.9999,   IF($T11=0,  MAX($CL$2*AW11*$Q$28,$CL$2*AW11*$Q$27),  MAX(AW11*$Q$28,AW11*$Q$27)),  AW11*200),0)</f>
        <v>0</v>
      </c>
      <c r="AY11" s="2751">
        <f>IF(SUM($C11:$D11)&gt;0,$K$27*BS11,0)*1/VLOOKUP(B11,wfRange,Workflow!N$1,FALSE)</f>
        <v>0</v>
      </c>
      <c r="AZ11" s="1474">
        <f>IF(AY11&gt;0, IF($A$25&lt;0.9999,   IF($T11=0,  MAX($CL$2*AY11*$Q$24,$CL$2*AY11*$Q$23),  MAX(AY11*$Q$24,AY11*$Q$23)),  AY11*200),0)</f>
        <v>0</v>
      </c>
      <c r="BA11" s="2751">
        <f>IF(SUM($C11:$D11)&gt;0,$K$23*BR11,0)*1/VLOOKUP(B11,wfRange,Workflow!N$1,FALSE)</f>
        <v>0</v>
      </c>
      <c r="BB11" s="1474">
        <f>IF(BA11&gt;0, IF($A$21&lt;0.9999,   IF($T11=0,  MAX($CL$2*BA11*$Q$20,$CL$2*BA11*$Q$19),  MAX(BA11*$Q$20,BA11*$Q$19)),  BA11*200),0)</f>
        <v>0</v>
      </c>
      <c r="BC11" s="2751">
        <f ca="1">IF(SUM($C11:$D11)&gt;0,IF($CJ11&gt;0,IF($CO11&gt;$CN11,$I11/$CN11,$I11/$CO11),$I11/$CN11),0)</f>
        <v>5.7777777777777782E-2</v>
      </c>
      <c r="BD11" s="930">
        <f ca="1">IF(BC11&gt;0,IF(CL11&lt;0.9999,BC11*CL11/((1+$CK$2*CL11)*(1-CL11)),BC11*500),0)</f>
        <v>7.4621848739495789E-2</v>
      </c>
      <c r="BE11" s="2765">
        <f ca="1">IF(SUM($C11:$D11)&gt;0,IF(CJ11&gt;0,VLOOKUP($CJ11+200,NL,6,FALSE)*S11,0),0)/1000</f>
        <v>0</v>
      </c>
      <c r="BF11" s="2765">
        <f>IF(SUM($C11:$D11)&gt;0,BQ11*$BO$2/$G$18,0)*1/VLOOKUP(B11,wfRange,Workflow!N$1,FALSE)</f>
        <v>3.0306854669831077E-2</v>
      </c>
      <c r="BG11" s="2736">
        <f>IF($CW11="desktop",VLOOKUP($R11,DataArray,5,FALSE)* VLOOKUP($B11,wfRange,Workflow!C$1,FALSE), VLOOKUP($B11,wfRange,Workflow!C$1,FALSE))</f>
        <v>5.2</v>
      </c>
      <c r="BH11" s="1476">
        <f>IF(CW11="Desktop", VLOOKUP($R11,DataArray,4,FALSE)* IF(ISERROR(FIND("File",$R11)), VLOOKUP($B11,wfRange,Workflow!D$1,FALSE), VLOOKUP($B11,wfRange,Workflow!D$1,FALSE)+ VLOOKUP($B11,wfRange,Workflow!I$1,FALSE)+ VLOOKUP($B11,wfRange,Workflow!K$1,FALSE)), VLOOKUP($B11,wfRange,Workflow!D$1,FALSE))</f>
        <v>2.5289841565703634E-2</v>
      </c>
      <c r="BI11" s="542">
        <f>IF(VLOOKUP($B11,wfRange,Workflow!E$1,FALSE)&gt;0, VLOOKUP($R11,DataArray,4,FALSE)* IF(ISERROR(FIND("File",$R11)),   VLOOKUP($B11,wfRange,Workflow!E$1,FALSE),     VLOOKUP($B11,wfRange,Workflow!E$1,FALSE)+ VLOOKUP($B11,wfRange,Workflow!I$1,FALSE)+ VLOOKUP($B11,wfRange,Workflow!K$1,FALSE)),0)</f>
        <v>0.24025349487418457</v>
      </c>
      <c r="BJ11" s="543">
        <f>VLOOKUP($B11,wfRange,Workflow!F$1,FALSE)</f>
        <v>0</v>
      </c>
      <c r="BK11" s="543">
        <f>MAX(VLOOKUP($B11,wfRange,Workflow!G$1,FALSE),IF(W11=$BB$18,$BC$18,0))</f>
        <v>0</v>
      </c>
      <c r="BL11" s="543">
        <f>IF(VLOOKUP($B11,wfRange,Workflow!H$1,FALSE)&gt;0,VLOOKUP($R11,DataArray,4,FALSE)* IF(ISERROR(FIND("File",$R11)),VLOOKUP($B11,wfRange,Workflow!H$1,FALSE),VLOOKUP($B11,wfRange,Workflow!H$1,FALSE)+VLOOKUP($B11,wfRange,Workflow!I$1,FALSE)+VLOOKUP($B11,wfRange,Workflow!K$1,FALSE)),0)</f>
        <v>0</v>
      </c>
      <c r="BM11" s="544">
        <f>VLOOKUP($R11,DataArray,3,FALSE)* VLOOKUP($B11,wfRange,Workflow!I$1,FALSE)</f>
        <v>3.0031686859273071E-2</v>
      </c>
      <c r="BN11" s="545">
        <f>VLOOKUP($R11,DataArray,5,FALSE)* VLOOKUP($B11,wfRange,Workflow!J$1,FALSE)</f>
        <v>10</v>
      </c>
      <c r="BO11" s="544">
        <f>VLOOKUP($R11,DataArray,2,FALSE)* VLOOKUP($B11,wfRange,Workflow!K$1,FALSE)</f>
        <v>3.0031686859273071E-2</v>
      </c>
      <c r="BP11" s="753">
        <f>SUM(BH11:BM11,BO11)</f>
        <v>0.32560671015843434</v>
      </c>
      <c r="BQ11" s="1471">
        <f t="shared" si="3"/>
        <v>2.5289841565703634E-2</v>
      </c>
      <c r="BR11" s="1472">
        <f t="shared" si="3"/>
        <v>0</v>
      </c>
      <c r="BS11" s="1472">
        <f t="shared" si="3"/>
        <v>0</v>
      </c>
      <c r="BT11" s="1472">
        <f t="shared" si="3"/>
        <v>0</v>
      </c>
      <c r="BU11" s="1472">
        <f t="shared" si="3"/>
        <v>0</v>
      </c>
      <c r="BV11" s="1472">
        <f t="shared" si="3"/>
        <v>0</v>
      </c>
      <c r="BW11" s="1472">
        <f t="shared" si="3"/>
        <v>0</v>
      </c>
      <c r="BX11" s="1472">
        <f t="shared" si="3"/>
        <v>0</v>
      </c>
      <c r="BY11" s="1472">
        <f t="shared" si="3"/>
        <v>0</v>
      </c>
      <c r="BZ11" s="1472">
        <f t="shared" si="3"/>
        <v>0</v>
      </c>
      <c r="CA11" s="1472">
        <f t="shared" si="3"/>
        <v>0</v>
      </c>
      <c r="CB11" s="1472">
        <f t="shared" si="3"/>
        <v>0.27028518173345761</v>
      </c>
      <c r="CC11" s="1472">
        <f t="shared" si="3"/>
        <v>0</v>
      </c>
      <c r="CD11" s="1472">
        <f t="shared" si="3"/>
        <v>0</v>
      </c>
      <c r="CE11" s="1472">
        <f t="shared" si="3"/>
        <v>0</v>
      </c>
      <c r="CF11" s="1472">
        <f t="shared" si="3"/>
        <v>3.0031686859273071E-2</v>
      </c>
      <c r="CG11" s="541">
        <f>$BN11</f>
        <v>10</v>
      </c>
      <c r="CH11" s="951">
        <f ca="1">CJ11+100</f>
        <v>100</v>
      </c>
      <c r="CI11" s="951">
        <f ca="1">COUNTBLANK($CI$5:$CI11)</f>
        <v>2</v>
      </c>
      <c r="CJ11" s="951">
        <f ca="1">COUNTBLANK($CJ$5:$CJ11)</f>
        <v>0</v>
      </c>
      <c r="CK11" s="1477">
        <f ca="1">COUNTA($CK$5:$CK11)</f>
        <v>5</v>
      </c>
      <c r="CL11" s="547">
        <f ca="1">IF(CO11=0,VLOOKUP($CI11,NL,5,FALSE),IF(CO11&lt;CN11,VLOOKUP($CJ11+200,NL,5,FALSE),VLOOKUP($CI11,NL,5,FALSE)))</f>
        <v>0.68518518518518512</v>
      </c>
      <c r="CM11" s="1475"/>
      <c r="CN11" s="548">
        <f ca="1">VLOOKUP($CI11,NL,3,FALSE)</f>
        <v>90</v>
      </c>
      <c r="CO11" s="549">
        <f ca="1">IF(CJ11&gt;0,VLOOKUP($CJ11+200,NL,2,FALSE),0)</f>
        <v>0</v>
      </c>
      <c r="CP11" s="570">
        <f>VLOOKUP($B11,wfRange,Workflow!L$1,FALSE)</f>
        <v>3</v>
      </c>
      <c r="CQ11" s="1473">
        <f>IF($CQ$5=1000,1000,VLOOKUP($B11,wfRange,Workflow!M$1,FALSE))</f>
        <v>10</v>
      </c>
      <c r="CR11" s="767">
        <f ca="1">IF(SUM($C11:$D11)&gt;0,IF(T11&gt;0,60/(T11+V11),60/V11),1000)</f>
        <v>15.975043736222663</v>
      </c>
      <c r="CS11" s="766">
        <f ca="1">IF(CR11&gt;E11,E11+ABS(CR11-E11)*$U$2/100,E11-ABS(CR11-E11)*$U$2/500)</f>
        <v>10.597504373622266</v>
      </c>
      <c r="CT11" s="1478" t="str">
        <f t="shared" si="1"/>
        <v>S CitrixView</v>
      </c>
      <c r="CU11" s="1478" t="str">
        <f>IF(ISERROR(FIND("_",R11)),R11,LEFT(R11,FIND("_",R11)-1))</f>
        <v>DB</v>
      </c>
      <c r="CV11" s="1479">
        <f>F11*60</f>
        <v>33000</v>
      </c>
      <c r="CW11" s="1900" t="str">
        <f>VLOOKUP($B11,wfRange,Workflow!O$1,FALSE)</f>
        <v>Desktop</v>
      </c>
      <c r="CX11" s="1478">
        <f>IF(ISERROR(IF(CW11=" Imagery",MATCH(R11,ImageryDataList,0), MATCH(R11,MapDataList,0))),1,0)</f>
        <v>0</v>
      </c>
      <c r="CY11" s="1914">
        <f>IF(CW11=" imagery",IF($O11=$A$181,0,IF($O11=$A$182,0,1)),0)</f>
        <v>0</v>
      </c>
      <c r="CZ11" s="1908">
        <f>IF(AND(O11=$A$182,R11=Calculator!$C$171),1,0)</f>
        <v>0</v>
      </c>
      <c r="DA11" s="1900" t="str">
        <f>IF(BH11&gt;0.04*$BO$2/58,DA$4,"server")</f>
        <v>server</v>
      </c>
      <c r="DB11" s="1480"/>
      <c r="DC11" s="1480"/>
      <c r="DD11" s="1480"/>
      <c r="DE11" s="1480"/>
      <c r="DF11" s="1481"/>
      <c r="DG11" s="550"/>
      <c r="DH11" s="1482">
        <f>IF($BQ11&gt;0, IF(ISTEXT(DH$3), $C11+IF($D11&lt;1000,$D11,$D11/($E11*60)),0),0)</f>
        <v>55</v>
      </c>
      <c r="DI11" s="1483">
        <f>IF(DH11&gt;0,IF(ISTEXT(DH$3),$F11),0)</f>
        <v>550</v>
      </c>
      <c r="DJ11" s="1484">
        <f>IF(DH11&gt;0,IF(ISTEXT(DH$3),$G11),0)</f>
        <v>47.666666666666664</v>
      </c>
      <c r="DK11" s="1485">
        <f>$BQ11*DI11</f>
        <v>13.909412861136998</v>
      </c>
      <c r="DL11" s="801" t="b">
        <f>ISERROR(MATCH(DN$3,$J11:$O11,0))</f>
        <v>1</v>
      </c>
      <c r="DM11" s="802">
        <f>IF($BR11&gt;0, IF(ISTEXT(DM$3), $C11+IF($D11&lt;1000,$D11,$D11/($E11*60)),0),0)</f>
        <v>0</v>
      </c>
      <c r="DN11" s="802">
        <f>IF(DM11&gt;0,IF(ISTEXT(DM$3),$F11),0)</f>
        <v>0</v>
      </c>
      <c r="DO11" s="539">
        <f>IF(DM11&gt;0,IF(ISTEXT(DM$3),$G11),0)</f>
        <v>0</v>
      </c>
      <c r="DP11" s="698">
        <f>IF($I11=0,0,IF(DM11&gt;0,DO11*$CG11/$I11,0))</f>
        <v>0</v>
      </c>
      <c r="DQ11" s="803">
        <f>$BR11*DN11</f>
        <v>0</v>
      </c>
      <c r="DR11" s="801" t="b">
        <f>ISERROR(MATCH(DT$3,$J11:$O11,0))</f>
        <v>1</v>
      </c>
      <c r="DS11" s="802">
        <f>IF($BS11&gt;0, IF(ISTEXT(DS$3), $C11+IF($D11&lt;1000,$D11,$D11/($E11*60)),0),0)</f>
        <v>0</v>
      </c>
      <c r="DT11" s="802">
        <f>IF(DS11&gt;0,IF(ISTEXT(DS$3),$F11),0)</f>
        <v>0</v>
      </c>
      <c r="DU11" s="539">
        <f>IF(DS11&gt;0,IF(ISTEXT(DS$3),$G11),0)</f>
        <v>0</v>
      </c>
      <c r="DV11" s="698">
        <f>IF($I11=0,0,IF(DS11&gt;0,DU11*$CG11/$I11,0))</f>
        <v>0</v>
      </c>
      <c r="DW11" s="803">
        <f>$BS11*DT11</f>
        <v>0</v>
      </c>
      <c r="DX11" s="801" t="b">
        <f>ISERROR(MATCH(DZ$3,$J11:$O11,0))</f>
        <v>1</v>
      </c>
      <c r="DY11" s="802">
        <f>IF($BT11&gt;0, IF(ISTEXT(DY$3), $C11+IF($D11&lt;1000,$D11,$D11/($E11*60)),0),0)</f>
        <v>0</v>
      </c>
      <c r="DZ11" s="802">
        <f>IF(DY11&gt;0,IF(ISTEXT(DY$3),$F11),0)</f>
        <v>0</v>
      </c>
      <c r="EA11" s="539">
        <f>IF(DY11&gt;0,IF(ISTEXT(DY$3),$G11),0)*IF($DX11=FALSE,IF($DZ$3=$D$180,1,$EA$3),1)</f>
        <v>0</v>
      </c>
      <c r="EB11" s="698">
        <f>IF($I11=0,0,IF(DY11&gt;0,EA11*$CG11/$I11,0))</f>
        <v>0</v>
      </c>
      <c r="EC11" s="803">
        <f>$BT11*DZ11</f>
        <v>0</v>
      </c>
      <c r="ED11" s="801" t="b">
        <f>ISERROR(MATCH(EF$3,$J11:$O11,0))</f>
        <v>1</v>
      </c>
      <c r="EE11" s="802">
        <f>IF($BU11&gt;0, IF(ISTEXT(EE$3), $C11+IF($D11&lt;1000,$D11,$D11/($E11*60)),0),0)</f>
        <v>0</v>
      </c>
      <c r="EF11" s="802">
        <f>IF(EE11&gt;0,IF(ISTEXT(EE$3),$F11),0)</f>
        <v>0</v>
      </c>
      <c r="EG11" s="539">
        <f>IF(EE11&gt;0,IF(ISTEXT(EE$3),$G11),0)</f>
        <v>0</v>
      </c>
      <c r="EH11" s="698">
        <f>IF($I11=0,0,IF(EE11&gt;0,EG11*$CG11/$I11,0))</f>
        <v>0</v>
      </c>
      <c r="EI11" s="803">
        <f>$BU11*EF11</f>
        <v>0</v>
      </c>
      <c r="EJ11" s="801" t="b">
        <f>ISERROR(MATCH(EL$3,$J11:$O11,0))</f>
        <v>1</v>
      </c>
      <c r="EK11" s="1483">
        <f>IF($BV11&gt;0, IF(ISTEXT(EK$3), $C11+IF($D11&lt;1000,$D11,$D11/($E11*60)),0),0)</f>
        <v>0</v>
      </c>
      <c r="EL11" s="1483">
        <f>IF(EK11&gt;0,IF(ISTEXT(EK$3),$F11),0)</f>
        <v>0</v>
      </c>
      <c r="EM11" s="1484">
        <f>IF(EK11&gt;0,IF(ISTEXT(EK$3),$G11),0)</f>
        <v>0</v>
      </c>
      <c r="EN11" s="1486">
        <f>IF($I11=0,0,IF(EK11&gt;0,EM11*$CG11/$I11,0))</f>
        <v>0</v>
      </c>
      <c r="EO11" s="1487">
        <f>$BV11*EL11</f>
        <v>0</v>
      </c>
      <c r="EP11" s="801" t="b">
        <f>ISERROR(MATCH(ER$3,$J11:$O11,0))</f>
        <v>1</v>
      </c>
      <c r="EQ11" s="1488">
        <f>IF($BW11&gt;0, IF(ISTEXT(EQ$3), $C11+IF($D11&lt;1000,$D11,$D11/($E11*60)),0),0)</f>
        <v>0</v>
      </c>
      <c r="ER11" s="1483">
        <f>IF(EQ11&gt;0,IF(ISTEXT(EQ$3),$F11),0)</f>
        <v>0</v>
      </c>
      <c r="ES11" s="1484">
        <f>IF(EQ11&gt;0,IF(ISTEXT(EQ$3),$G11),0)</f>
        <v>0</v>
      </c>
      <c r="ET11" s="1486">
        <f>IF($I11=0,0,IF(EQ11&gt;0,ES11*$CG11/$I11,0))</f>
        <v>0</v>
      </c>
      <c r="EU11" s="1487">
        <f>$BW11*ER11</f>
        <v>0</v>
      </c>
      <c r="EV11" s="801" t="b">
        <f>ISERROR(MATCH(EX$3,$J11:$O11,0))</f>
        <v>1</v>
      </c>
      <c r="EW11" s="1488">
        <f>IF($BX11&gt;0, IF(ISTEXT(EW$3), $C11+IF($D11&lt;1000,$D11,$D11/($E11*60)),0),0)</f>
        <v>0</v>
      </c>
      <c r="EX11" s="1483">
        <f>IF(EW11&gt;0,IF(ISTEXT(EW$3),$F11),0)</f>
        <v>0</v>
      </c>
      <c r="EY11" s="1484">
        <f>IF(EW11&gt;0,IF(ISTEXT(EW$3),$G11),0)</f>
        <v>0</v>
      </c>
      <c r="EZ11" s="1486">
        <f>IF($I11=0,0,IF(EW11&gt;0,EY11*$CG11/$I11,0))</f>
        <v>0</v>
      </c>
      <c r="FA11" s="1487">
        <f>$BX11*EX11</f>
        <v>0</v>
      </c>
      <c r="FB11" s="801" t="b">
        <f>ISERROR(MATCH(FD$3,$J11:$O11,0))</f>
        <v>1</v>
      </c>
      <c r="FC11" s="1488">
        <f>IF($BY11&gt;0, IF(ISTEXT(FC$3), $C11+IF($D11&lt;1000,$D11,$D11/($E11*60)),0),0)</f>
        <v>0</v>
      </c>
      <c r="FD11" s="1483">
        <f>IF(FC11&gt;0,IF(ISTEXT(FC$3),$F11),0)</f>
        <v>0</v>
      </c>
      <c r="FE11" s="1484">
        <f>IF(FC11&gt;0,IF(ISTEXT(FC$3),$G11),0)</f>
        <v>0</v>
      </c>
      <c r="FF11" s="1486">
        <f>IF($I11=0,0,IF(FC11&gt;0,FE11*$CG11/$I11,0))</f>
        <v>0</v>
      </c>
      <c r="FG11" s="1487">
        <f>$BY11*FD11</f>
        <v>0</v>
      </c>
      <c r="FH11" s="801" t="b">
        <f>ISERROR(MATCH(FJ$3,$J11:$O11,0))</f>
        <v>1</v>
      </c>
      <c r="FI11" s="1488">
        <f>IF($BZ11&gt;0, IF(ISTEXT(FI$3), $C11+IF($D11&lt;1000,$D11,$D11/($E11*60)),0),0)</f>
        <v>0</v>
      </c>
      <c r="FJ11" s="1483">
        <f>IF(FI11&gt;0,IF(ISTEXT(FI$3),$F11),0)</f>
        <v>0</v>
      </c>
      <c r="FK11" s="1484">
        <f>IF(FI11&gt;0,IF(ISTEXT(FI$3),$G11),0)</f>
        <v>0</v>
      </c>
      <c r="FL11" s="1486">
        <f>IF($I11=0,0,IF(FI11&gt;0,FK11*$CG11/$I11,0))</f>
        <v>0</v>
      </c>
      <c r="FM11" s="1487">
        <f>$BZ11*FJ11</f>
        <v>0</v>
      </c>
      <c r="FN11" s="801" t="b">
        <f>ISERROR(MATCH(FP$3,$J11:$O11,0))</f>
        <v>1</v>
      </c>
      <c r="FO11" s="1488">
        <f>IF($CA11&gt;0, IF(ISTEXT(FO$3), $C11+IF($D11&lt;1000,$D11,$D11/($E11*60)),0),0)</f>
        <v>0</v>
      </c>
      <c r="FP11" s="1483">
        <f>IF(FO11&gt;0,IF(ISTEXT(FO$3),$F11),0)</f>
        <v>0</v>
      </c>
      <c r="FQ11" s="1484">
        <f>IF(FO11&gt;0,IF(ISTEXT(FO$3),$G11),0)</f>
        <v>0</v>
      </c>
      <c r="FR11" s="1486">
        <f>IF($I11=0,0,IF(FO11&gt;0,FQ11*$CG11/$I11,0))</f>
        <v>0</v>
      </c>
      <c r="FS11" s="1487">
        <f>$CA11*FP11</f>
        <v>0</v>
      </c>
      <c r="FT11" s="801" t="b">
        <f>ISERROR(MATCH(FV$3,$J11:$O11,0))</f>
        <v>1</v>
      </c>
      <c r="FU11" s="1488">
        <f>IF($CB11&gt;0, IF(ISTEXT(FU$3), $C11+IF($D11&lt;1000,$D11,$D11/($E11*60)),0),0)</f>
        <v>55</v>
      </c>
      <c r="FV11" s="1483">
        <f>IF(FU11&gt;0,IF(ISTEXT(FU$3),$F11),0)</f>
        <v>550</v>
      </c>
      <c r="FW11" s="1484">
        <f>IF(FU11&gt;0,IF(ISTEXT(FU$3),$G11),0)</f>
        <v>47.666666666666664</v>
      </c>
      <c r="FX11" s="1486">
        <f>IF($I11=0,0,IF(FU11&gt;0,FW11*$CG11/$I11,0))</f>
        <v>91.666666666666657</v>
      </c>
      <c r="FY11" s="1487">
        <f>$CB11*FV11</f>
        <v>148.65684995340169</v>
      </c>
      <c r="FZ11" s="801" t="b">
        <f>ISERROR(MATCH(GB$3,$J11:$O11,0))</f>
        <v>1</v>
      </c>
      <c r="GA11" s="1488">
        <f>IF($CC11&gt;0, IF(ISTEXT(GA$3), $C11+IF($D11&lt;1000,$D11,$D11/($E11*60)),0),0)</f>
        <v>0</v>
      </c>
      <c r="GB11" s="1483">
        <f>IF(GA11&gt;0,IF(ISTEXT(GA$3),$F11),0)</f>
        <v>0</v>
      </c>
      <c r="GC11" s="1484">
        <f>IF(GA11&gt;0,IF(ISTEXT(GA$3),$G11),0)</f>
        <v>0</v>
      </c>
      <c r="GD11" s="1486">
        <f>IF($I11=0,0,IF(GA11&gt;0,GC11*$CG11/$I11,0))</f>
        <v>0</v>
      </c>
      <c r="GE11" s="1487">
        <f>$CC11*GB11</f>
        <v>0</v>
      </c>
      <c r="GF11" s="801" t="b">
        <f>ISERROR(MATCH(GH$3,$J11:$O11,0))</f>
        <v>1</v>
      </c>
      <c r="GG11" s="1488">
        <f>IF($CD11&gt;0, IF(ISTEXT(GG$3), $C11+IF($D11&lt;1000,$D11,$D11/($E11*60)),0),0)</f>
        <v>0</v>
      </c>
      <c r="GH11" s="1483">
        <f>IF(GG11&gt;0,IF(ISTEXT(GG$3),$F11),0)</f>
        <v>0</v>
      </c>
      <c r="GI11" s="1484">
        <f>IF(GG11&gt;0,IF(ISTEXT(GG$3),$G11),0)</f>
        <v>0</v>
      </c>
      <c r="GJ11" s="1486">
        <f>IF($I11=0,0,IF(GG11&gt;0,GI11*$CG11/$I11,0))</f>
        <v>0</v>
      </c>
      <c r="GK11" s="1487">
        <f>$CD11*GH11</f>
        <v>0</v>
      </c>
      <c r="GL11" s="801" t="b">
        <f>ISERROR(MATCH(GN$3,$J11:$O11,0))</f>
        <v>1</v>
      </c>
      <c r="GM11" s="1488">
        <f>IF($CE11&gt;0, IF(ISTEXT(GM$3), $C11+IF($D11&lt;1000,$D11,$D11/($E11*60)),0),0)</f>
        <v>0</v>
      </c>
      <c r="GN11" s="1483">
        <f>IF(GM11&gt;0,IF(ISTEXT(GM$3),$F11),0)</f>
        <v>0</v>
      </c>
      <c r="GO11" s="1484">
        <f>IF(GM11&gt;0,IF(ISTEXT(GM$3),$G11),0)</f>
        <v>0</v>
      </c>
      <c r="GP11" s="1486">
        <f>IF($I11=0,0,IF(GM11&gt;0,GO11*$CG11/$I11,0))</f>
        <v>0</v>
      </c>
      <c r="GQ11" s="1487">
        <f>$CE11*GN11</f>
        <v>0</v>
      </c>
      <c r="GR11" s="801" t="b">
        <f>ISERROR(MATCH(GT$3,$J11:$O11,0))</f>
        <v>1</v>
      </c>
      <c r="GS11" s="1488">
        <f>IF($CF11&gt;0, IF(ISTEXT(GS$3), $C11+IF($D11&lt;1000,$D11,$D11/($E11*60)),0),0)</f>
        <v>55</v>
      </c>
      <c r="GT11" s="1483">
        <f>IF(GS11&gt;0,IF(ISTEXT(GS$3),$F11),0)</f>
        <v>550</v>
      </c>
      <c r="GU11" s="1484">
        <f>IF(I11=0,0,IF(GS11&gt;0,IF(ISTEXT(GS$3),$G11),0)*$CG11/$I11)</f>
        <v>91.666666666666657</v>
      </c>
      <c r="GV11" s="1484"/>
      <c r="GW11" s="1487">
        <f>$CF11*GT11</f>
        <v>16.51742777260019</v>
      </c>
      <c r="GX11" s="1489">
        <f>IF(ISERROR(FIND("File",$R11)),0,F11*$BN11*VLOOKUP(R11,DataArray,4,FALSE))/60</f>
        <v>0</v>
      </c>
      <c r="GY11" s="551" t="b">
        <f>ISERROR(OR(FIND("F",$R11)))</f>
        <v>1</v>
      </c>
      <c r="GZ11" s="2471" t="b">
        <f>ISERROR(OR(FIND("Image",$R11)))</f>
        <v>1</v>
      </c>
      <c r="HA11" s="2476"/>
      <c r="HB11" s="2866"/>
      <c r="HC11" s="2866"/>
    </row>
    <row r="12" spans="1:211" s="1490" customFormat="1" ht="15" customHeight="1" x14ac:dyDescent="0.2">
      <c r="A12" s="1467" t="str">
        <f>IF($A$4=$H$163,$CI12&amp;"."&amp;$CJ12&amp;"."&amp;$CK12,CT12)</f>
        <v>S WebMap</v>
      </c>
      <c r="B12" s="159" t="s">
        <v>213</v>
      </c>
      <c r="C12" s="1468">
        <v>20</v>
      </c>
      <c r="D12" s="1469"/>
      <c r="E12" s="537">
        <f>IF(D12&lt;1000,IF(SUM(C12:D12)=0,0,IF(AND(D$1=H$169,T12=0),CS12,IF(T$2=$H$174,X12,IF(T$2=$H$175,IF(T12&gt;0,  IF(CR12&gt;X12,X12,CS12),CS12),E12)))),X12)</f>
        <v>6</v>
      </c>
      <c r="F12" s="538">
        <f>IF($T$2=$H$173,0,IF($D$4=Calculator!$A$162,C12*E12+D12/60,IF(OR($D$4=Calculator!$A$163,D12&lt;1000),(C12+D12)*E12,C12*E12+D12/60)))</f>
        <v>120</v>
      </c>
      <c r="G12" s="803">
        <f>IF(SUM($C12:$D12)&gt;0,F12*$I12/60,0)</f>
        <v>4</v>
      </c>
      <c r="H12" s="925" t="str">
        <f>W12&amp;CU12&amp;" {"&amp;TEXT(F12*60,"###,##0")&amp;"}"</f>
        <v>DB {7,200}</v>
      </c>
      <c r="I12" s="540">
        <f>$BG12</f>
        <v>2</v>
      </c>
      <c r="J12" s="926" t="s">
        <v>382</v>
      </c>
      <c r="K12" s="926" t="s">
        <v>382</v>
      </c>
      <c r="L12" s="927" t="s">
        <v>382</v>
      </c>
      <c r="M12" s="927" t="s">
        <v>382</v>
      </c>
      <c r="N12" s="927" t="s">
        <v>382</v>
      </c>
      <c r="O12" s="927" t="s">
        <v>382</v>
      </c>
      <c r="P12" s="928" t="str">
        <f>IF(OR(AND($O12=$A$163,  $O$5=$A$163),AND($O12=$A$163,  $O$5=$A$183)), IF(BL12&gt;0,IF($N12=$A$163,$N$5,$N12), IF(BI12&gt;0,  IF($K12=$A$163,$K$5,$K12), IF($J12=$A$163,$J$5,$J12))),IF(O12=$A$163,O$5,O12))</f>
        <v>GIS</v>
      </c>
      <c r="Q12" s="929" t="s">
        <v>382</v>
      </c>
      <c r="R12" s="160" t="s">
        <v>1055</v>
      </c>
      <c r="S12" s="1470">
        <f>VLOOKUP($B12,wfRange,Workflow!B$1,FALSE)</f>
        <v>10</v>
      </c>
      <c r="T12" s="1245">
        <f>CP12</f>
        <v>3</v>
      </c>
      <c r="U12" s="546">
        <f ca="1">IF(F12=0,T12,60/E12-V12)</f>
        <v>9.5492776865270965</v>
      </c>
      <c r="V12" s="759">
        <f ca="1">IF(F12=0,0,SUM(Y12:BF12))</f>
        <v>0.45072231347290359</v>
      </c>
      <c r="W12" s="2682"/>
      <c r="X12" s="2733">
        <f>CQ12</f>
        <v>6</v>
      </c>
      <c r="Y12" s="2751">
        <f>IF(SUM($C12:$D12)&gt;0,$K$81*CF12,0)*1/VLOOKUP(B12,wfRange,Workflow!N$1,FALSE)</f>
        <v>2.1800024718823387E-2</v>
      </c>
      <c r="Z12" s="1474">
        <f>IF(Y12&gt;0, IF($A$79&lt;0.9999,   IF($T12=0,  MAX($CL$2*Y12*$Q$78,$CL$2*Y12*$Q$77),  MAX(Y12*$Q$78,Y12*$Q$77)),  Y12*200),0)</f>
        <v>4.52869431025066E-3</v>
      </c>
      <c r="AA12" s="2751">
        <f>IF(SUM($C12:$D12)&gt;0,$K$77*CE12,0)*1/VLOOKUP(B12,wfRange,Workflow!N$1,FALSE)</f>
        <v>0.19620022246941049</v>
      </c>
      <c r="AB12" s="1474">
        <f>IF(AA12&gt;0, IF($A$75&lt;0.9999,   IF($T12=0,  MAX($CL$2*AA12*$Q$74,$CL$2*AA12*$Q$73),  MAX(AA12*$Q$74,AA12*$Q$73)),  AA12*200),0)</f>
        <v>0.13776790461258562</v>
      </c>
      <c r="AC12" s="2751">
        <f>IF(SUM($C12:$D12)&gt;0,$K$73*CD12,0)*1/VLOOKUP(B12,wfRange,Workflow!N$1,FALSE)</f>
        <v>8.7200098875293546E-3</v>
      </c>
      <c r="AD12" s="1474">
        <f>IF(AC12&gt;0, IF($A$71&lt;0.9999,   IF($T12=0,  MAX($CL$2*AC12*$Q$70,$CL$2*AC12*$Q$69),  MAX(AC12*$Q$70,AC12*$Q$69)),  AC12*200),0)</f>
        <v>4.7566952859854917E-4</v>
      </c>
      <c r="AE12" s="2751">
        <f>IF(SUM($C12:$D12)&gt;0,$K$69*CC12,0)*1/VLOOKUP(B12,wfRange,Workflow!N$1,FALSE)</f>
        <v>0</v>
      </c>
      <c r="AF12" s="1474">
        <f>IF(AE12&gt;0, IF($A$67&lt;0.9999,   IF($T12=0,  MAX($CL$2*AE12*$Q$66,$CL$2*AE12*$Q$65),  MAX(AE12*$Q$66,AE12*$Q$65)),  AE12*200),0)</f>
        <v>0</v>
      </c>
      <c r="AG12" s="2751">
        <f>IF(SUM($C12:$D12)&gt;0,$K$65*CB12,0)*1/VLOOKUP(B12,wfRange,Workflow!N$1,FALSE)</f>
        <v>0</v>
      </c>
      <c r="AH12" s="1474">
        <f>IF(AG12&gt;0, IF($A$63&lt;0.9999,   IF($T12=0,  MAX($CL$2*AG12*$Q$62,$CL$2*AG12*$Q$60),  MAX(AG12*$Q$62,AG12*$Q$60)),  AG12*200),0)</f>
        <v>0</v>
      </c>
      <c r="AI12" s="2751">
        <f>IF(SUM($C12:$D12)&gt;0,$K$60*CA12,0)*1/VLOOKUP(B12,wfRange,Workflow!N$1,FALSE)</f>
        <v>0</v>
      </c>
      <c r="AJ12" s="1474">
        <f>IF(AI12&gt;0, IF($A$58&lt;0.9999,   IF($T12=0,  MAX($CL$2*AI12*$Q$57,$CL$2*AI12*$Q$56),  MAX(AI12*$Q$57,AI12*$Q$56)),  AI12*200),0)</f>
        <v>0</v>
      </c>
      <c r="AK12" s="2751">
        <f>IF(SUM($C12:$D12)&gt;0,$K$56*BZ12,0)*1/VLOOKUP(B12,wfRange,Workflow!N$1,FALSE)</f>
        <v>0</v>
      </c>
      <c r="AL12" s="1474">
        <f>IF(AK12&gt;0, IF($A$54&lt;0.9999,   IF($T12=0,  MAX($CL$2*AK12*$Q$53,$CL$2*AK12*$Q$52),  MAX(AK12*$Q$53,AK12*$Q$52)),  AK12*200),0)</f>
        <v>0</v>
      </c>
      <c r="AM12" s="2751">
        <f>IF(SUM($C12:$D12)&gt;0,$K$52*BY12,0)*1/VLOOKUP(B12,wfRange,Workflow!N$1,FALSE)</f>
        <v>0</v>
      </c>
      <c r="AN12" s="1474">
        <f>IF(AM12&gt;0, IF($A$50&lt;0.9999,   IF($T12=0,  MAX($CL$2*AM12*$Q$49,$CL$2*AM12*$Q$48),  MAX(AM12*$Q$49,AM12*$Q$48)),  AM12*200),0)</f>
        <v>0</v>
      </c>
      <c r="AO12" s="2751">
        <f>IF(SUM($C12:$D12)&gt;0,$K$48*BX12,0)*1/VLOOKUP(B12,wfRange,Workflow!N$1,FALSE)</f>
        <v>0</v>
      </c>
      <c r="AP12" s="1474">
        <f>IF(AO12&gt;0, IF($A$46&lt;0.9999,   IF($T12=0,  MAX($CL$2*AO12*$Q$45,$CL$2*AO12*$Q$44),  MAX(AO12*$Q$45,AO12*$Q$44)),  AO12*200),0)</f>
        <v>0</v>
      </c>
      <c r="AQ12" s="2751">
        <f>IF(SUM($C12:$D12)&gt;0,$K$44*BW12,0)*1/VLOOKUP(B12,wfRange,Workflow!N$1,FALSE)</f>
        <v>0</v>
      </c>
      <c r="AR12" s="1474">
        <f>IF(AQ12&gt;0, IF($A$42&lt;0.9999,   IF($T12=0,  MAX($CL$2*AQ12*$Q$41,$CL$2*AQ12*$Q$39),  MAX(AQ12*$Q$41,AQ12*$Q$39)),  AQ12*200),0)</f>
        <v>0</v>
      </c>
      <c r="AS12" s="2751">
        <f>IF(SUM($C12:$D12)&gt;0,$K$39*BV12,0)*1/VLOOKUP(B12,wfRange,Workflow!N$1,FALSE)</f>
        <v>0</v>
      </c>
      <c r="AT12" s="1474">
        <f>IF(AS12&gt;0, IF($A$37&lt;0.9999,   IF($T12=0,  MAX($CL$2*AS12*$Q$36,$CL$2*AS12*$Q$35),  MAX(AS12*$Q$36,AS12*$Q$35)),  AS12*200),0)</f>
        <v>0</v>
      </c>
      <c r="AU12" s="2751">
        <f>IF(SUM($C12:$D12)&gt;0,$K$35*BU12,0)*1/VLOOKUP(B12,wfRange,Workflow!N$1,FALSE)</f>
        <v>0</v>
      </c>
      <c r="AV12" s="1474">
        <f>IF(AU12&gt;0, IF($A$33&lt;0.9999,   IF($T12=0,  MAX($CL$2*AU12*$Q$32,$CL$2*AU12*$Q$31),  MAX(AU12*$Q$32,AU12*$Q$31)),  AU12*200),0)</f>
        <v>0</v>
      </c>
      <c r="AW12" s="2751">
        <f>IF(SUM($C12:$D12)&gt;0,$K$31*BT12,0)*1/VLOOKUP(B12,wfRange,Workflow!N$1,FALSE)</f>
        <v>0</v>
      </c>
      <c r="AX12" s="1474">
        <f>IF(AW12&gt;0, IF($A$29&lt;0.9999,   IF($T12=0,  MAX($CL$2*AW12*$Q$28,$CL$2*AW12*$Q$27),  MAX(AW12*$Q$28,AW12*$Q$27)),  AW12*200),0)</f>
        <v>0</v>
      </c>
      <c r="AY12" s="2751">
        <f>IF(SUM($C12:$D12)&gt;0,$K$27*BS12,0)*1/VLOOKUP(B12,wfRange,Workflow!N$1,FALSE)</f>
        <v>0</v>
      </c>
      <c r="AZ12" s="1474">
        <f>IF(AY12&gt;0, IF($A$25&lt;0.9999,   IF($T12=0,  MAX($CL$2*AY12*$Q$24,$CL$2*AY12*$Q$23),  MAX(AY12*$Q$24,AY12*$Q$23)),  AY12*200),0)</f>
        <v>0</v>
      </c>
      <c r="BA12" s="2751">
        <f>IF(SUM($C12:$D12)&gt;0,$K$23*BR12,0)*1/VLOOKUP(B12,wfRange,Workflow!N$1,FALSE)</f>
        <v>0</v>
      </c>
      <c r="BB12" s="1474">
        <f>IF(BA12&gt;0, IF($A$21&lt;0.9999,   IF($T12=0,  MAX($CL$2*BA12*$Q$20,$CL$2*BA12*$Q$19),  MAX(BA12*$Q$20,BA12*$Q$19)),  BA12*200),0)</f>
        <v>0</v>
      </c>
      <c r="BC12" s="2751">
        <f ca="1">IF(SUM($C12:$D12)&gt;0,IF($CJ12&gt;0,IF($CO12&gt;$CN12,$I12/$CN12,$I12/$CO12),$I12/$CN12),0)</f>
        <v>2.2222222222222223E-2</v>
      </c>
      <c r="BD12" s="930">
        <f ca="1">IF(BC12&gt;0,IF(CL12&lt;0.9999,BC12*CL12/((1+$CK$2*CL12)*(1-CL12)),BC12*500),0)</f>
        <v>2.8700711053652225E-2</v>
      </c>
      <c r="BE12" s="2765">
        <f ca="1">IF(SUM($C12:$D12)&gt;0,IF(CJ12&gt;0,VLOOKUP($CJ12+200,NL,6,FALSE)*S12,0),0)/1000</f>
        <v>0</v>
      </c>
      <c r="BF12" s="2765">
        <f>IF(SUM($C12:$D12)&gt;0,BQ12*$BO$2/$G$18,0)*1/VLOOKUP(B12,wfRange,Workflow!N$1,FALSE)</f>
        <v>3.0306854669831077E-2</v>
      </c>
      <c r="BG12" s="2736">
        <f>IF($CW12="desktop",VLOOKUP($R12,DataArray,5,FALSE)* VLOOKUP($B12,wfRange,Workflow!C$1,FALSE), VLOOKUP($B12,wfRange,Workflow!C$1,FALSE))</f>
        <v>2</v>
      </c>
      <c r="BH12" s="1476">
        <f>IF(CW12="Desktop", VLOOKUP($R12,DataArray,4,FALSE)* IF(ISERROR(FIND("File",$R12)), VLOOKUP($B12,wfRange,Workflow!D$1,FALSE), VLOOKUP($B12,wfRange,Workflow!D$1,FALSE)+ VLOOKUP($B12,wfRange,Workflow!I$1,FALSE)+ VLOOKUP($B12,wfRange,Workflow!K$1,FALSE)), VLOOKUP($B12,wfRange,Workflow!D$1,FALSE))</f>
        <v>2.5289841565703634E-2</v>
      </c>
      <c r="BI12" s="542">
        <f>IF(VLOOKUP($B12,wfRange,Workflow!E$1,FALSE)&gt;0, VLOOKUP($R12,DataArray,4,FALSE)* IF(ISERROR(FIND("File",$R12)),   VLOOKUP($B12,wfRange,Workflow!E$1,FALSE),     VLOOKUP($B12,wfRange,Workflow!E$1,FALSE)+ VLOOKUP($B12,wfRange,Workflow!I$1,FALSE)+ VLOOKUP($B12,wfRange,Workflow!K$1,FALSE)),0)</f>
        <v>0</v>
      </c>
      <c r="BJ12" s="543">
        <f>VLOOKUP($B12,wfRange,Workflow!F$1,FALSE)</f>
        <v>8.2191985088536819E-3</v>
      </c>
      <c r="BK12" s="543">
        <f>MAX(VLOOKUP($B12,wfRange,Workflow!G$1,FALSE),IF(W12=$BB$18,$BC$18,0))</f>
        <v>0</v>
      </c>
      <c r="BL12" s="543">
        <f>IF(VLOOKUP($B12,wfRange,Workflow!H$1,FALSE)&gt;0,VLOOKUP($R12,DataArray,4,FALSE)* IF(ISERROR(FIND("File",$R12)),VLOOKUP($B12,wfRange,Workflow!H$1,FALSE),VLOOKUP($B12,wfRange,Workflow!H$1,FALSE)+VLOOKUP($B12,wfRange,Workflow!I$1,FALSE)+VLOOKUP($B12,wfRange,Workflow!K$1,FALSE)),0)</f>
        <v>0.16438397017707365</v>
      </c>
      <c r="BM12" s="544">
        <f>VLOOKUP($R12,DataArray,3,FALSE)* VLOOKUP($B12,wfRange,Workflow!I$1,FALSE)</f>
        <v>2.0547996272134206E-2</v>
      </c>
      <c r="BN12" s="545">
        <f>VLOOKUP($R12,DataArray,5,FALSE)* VLOOKUP($B12,wfRange,Workflow!J$1,FALSE)</f>
        <v>10</v>
      </c>
      <c r="BO12" s="544">
        <f>VLOOKUP($R12,DataArray,2,FALSE)* VLOOKUP($B12,wfRange,Workflow!K$1,FALSE)</f>
        <v>2.0547996272134206E-2</v>
      </c>
      <c r="BP12" s="753">
        <f>SUM(BH12:BM12,BO12)</f>
        <v>0.23898900279589941</v>
      </c>
      <c r="BQ12" s="1471">
        <f t="shared" si="3"/>
        <v>2.5289841565703634E-2</v>
      </c>
      <c r="BR12" s="1472">
        <f t="shared" si="3"/>
        <v>0</v>
      </c>
      <c r="BS12" s="1472">
        <f t="shared" si="3"/>
        <v>0</v>
      </c>
      <c r="BT12" s="1472">
        <f t="shared" si="3"/>
        <v>0</v>
      </c>
      <c r="BU12" s="1472">
        <f t="shared" si="3"/>
        <v>0</v>
      </c>
      <c r="BV12" s="1472">
        <f t="shared" si="3"/>
        <v>0</v>
      </c>
      <c r="BW12" s="1472">
        <f t="shared" si="3"/>
        <v>0</v>
      </c>
      <c r="BX12" s="1472">
        <f t="shared" si="3"/>
        <v>0</v>
      </c>
      <c r="BY12" s="1472">
        <f t="shared" si="3"/>
        <v>0</v>
      </c>
      <c r="BZ12" s="1472">
        <f t="shared" si="3"/>
        <v>0</v>
      </c>
      <c r="CA12" s="1472">
        <f t="shared" si="3"/>
        <v>0</v>
      </c>
      <c r="CB12" s="1472">
        <f t="shared" si="3"/>
        <v>0</v>
      </c>
      <c r="CC12" s="1472">
        <f t="shared" si="3"/>
        <v>0</v>
      </c>
      <c r="CD12" s="1472">
        <f t="shared" si="3"/>
        <v>8.2191985088536819E-3</v>
      </c>
      <c r="CE12" s="1472">
        <f t="shared" si="3"/>
        <v>0.18493196644920787</v>
      </c>
      <c r="CF12" s="1472">
        <f t="shared" si="3"/>
        <v>2.0547996272134206E-2</v>
      </c>
      <c r="CG12" s="541">
        <f>$BN12</f>
        <v>10</v>
      </c>
      <c r="CH12" s="951">
        <f ca="1">CJ12+100</f>
        <v>100</v>
      </c>
      <c r="CI12" s="951">
        <f ca="1">COUNTBLANK($CI$5:$CI12)</f>
        <v>2</v>
      </c>
      <c r="CJ12" s="951">
        <f ca="1">COUNTBLANK($CJ$5:$CJ12)</f>
        <v>0</v>
      </c>
      <c r="CK12" s="1477">
        <f ca="1">COUNTA($CK$5:$CK12)</f>
        <v>6</v>
      </c>
      <c r="CL12" s="547">
        <f ca="1">IF(CO12=0,VLOOKUP($CI12,NL,5,FALSE),IF(CO12&lt;CN12,VLOOKUP($CJ12+200,NL,5,FALSE),VLOOKUP($CI12,NL,5,FALSE)))</f>
        <v>0.68518518518518512</v>
      </c>
      <c r="CM12" s="1475"/>
      <c r="CN12" s="548">
        <f ca="1">VLOOKUP($CI12,NL,3,FALSE)</f>
        <v>90</v>
      </c>
      <c r="CO12" s="549">
        <f ca="1">IF(CJ12&gt;0,VLOOKUP($CJ12+200,NL,2,FALSE),0)</f>
        <v>0</v>
      </c>
      <c r="CP12" s="570">
        <f>VLOOKUP($B12,wfRange,Workflow!L$1,FALSE)</f>
        <v>3</v>
      </c>
      <c r="CQ12" s="1473">
        <f>IF($CQ$5=1000,1000,VLOOKUP($B12,wfRange,Workflow!M$1,FALSE))</f>
        <v>6</v>
      </c>
      <c r="CR12" s="767">
        <f ca="1">IF(SUM($C12:$D12)&gt;0,IF(T12&gt;0,60/(T12+V12),60/V12),1000)</f>
        <v>17.387663958278441</v>
      </c>
      <c r="CS12" s="766">
        <f ca="1">IF(CR12&gt;E12,E12+ABS(CR12-E12)*$U$2/100,E12-ABS(CR12-E12)*$U$2/500)</f>
        <v>7.1387663958278438</v>
      </c>
      <c r="CT12" s="1478" t="str">
        <f t="shared" si="1"/>
        <v>S WebMap</v>
      </c>
      <c r="CU12" s="1478" t="str">
        <f>IF(ISERROR(FIND("_",R12)),R12,LEFT(R12,FIND("_",R12)-1))</f>
        <v>DB</v>
      </c>
      <c r="CV12" s="1479">
        <f>F12*60</f>
        <v>7200</v>
      </c>
      <c r="CW12" s="1900" t="str">
        <f>VLOOKUP($B12,wfRange,Workflow!O$1,FALSE)</f>
        <v>Server</v>
      </c>
      <c r="CX12" s="1478">
        <f>IF(ISERROR(IF(CW12=" Imagery",MATCH(R12,ImageryDataList,0), MATCH(R12,MapDataList,0))),1,0)</f>
        <v>0</v>
      </c>
      <c r="CY12" s="1914">
        <f>IF(CW12=" imagery",IF($O12=$A$181,0,IF($O12=$A$182,0,1)),0)</f>
        <v>0</v>
      </c>
      <c r="CZ12" s="1908">
        <f>IF(AND(O12=$A$182,R12=Calculator!$C$171),1,0)</f>
        <v>0</v>
      </c>
      <c r="DA12" s="1900" t="str">
        <f>IF(BH12&gt;0.04*$BO$2/58,DA$4,"server")</f>
        <v>server</v>
      </c>
      <c r="DB12" s="1480"/>
      <c r="DC12" s="1480"/>
      <c r="DD12" s="1480"/>
      <c r="DE12" s="1480"/>
      <c r="DF12" s="1481"/>
      <c r="DG12" s="550"/>
      <c r="DH12" s="1482">
        <f>IF($BQ12&gt;0, IF(ISTEXT(DH$3), $C12+IF($D12&lt;1000,$D12,$D12/($E12*60)),0),0)</f>
        <v>20</v>
      </c>
      <c r="DI12" s="1483">
        <f>IF(DH12&gt;0,IF(ISTEXT(DH$3),$F12),0)</f>
        <v>120</v>
      </c>
      <c r="DJ12" s="1484">
        <f>IF(DH12&gt;0,IF(ISTEXT(DH$3),$G12),0)</f>
        <v>4</v>
      </c>
      <c r="DK12" s="1485">
        <f>$BQ12*DI12</f>
        <v>3.0347809878844361</v>
      </c>
      <c r="DL12" s="801" t="b">
        <f>ISERROR(MATCH(DN$3,$J12:$O12,0))</f>
        <v>1</v>
      </c>
      <c r="DM12" s="802">
        <f>IF($BR12&gt;0, IF(ISTEXT(DM$3), $C12+IF($D12&lt;1000,$D12,$D12/($E12*60)),0),0)</f>
        <v>0</v>
      </c>
      <c r="DN12" s="802">
        <f>IF(DM12&gt;0,IF(ISTEXT(DM$3),$F12),0)</f>
        <v>0</v>
      </c>
      <c r="DO12" s="539">
        <f>IF(DM12&gt;0,IF(ISTEXT(DM$3),$G12),0)</f>
        <v>0</v>
      </c>
      <c r="DP12" s="698">
        <f>IF($I12=0,0,IF(DM12&gt;0,DO12*$CG12/$I12,0))</f>
        <v>0</v>
      </c>
      <c r="DQ12" s="803">
        <f>$BR12*DN12</f>
        <v>0</v>
      </c>
      <c r="DR12" s="801" t="b">
        <f>ISERROR(MATCH(DT$3,$J12:$O12,0))</f>
        <v>1</v>
      </c>
      <c r="DS12" s="802">
        <f>IF($BS12&gt;0, IF(ISTEXT(DS$3), $C12+IF($D12&lt;1000,$D12,$D12/($E12*60)),0),0)</f>
        <v>0</v>
      </c>
      <c r="DT12" s="802">
        <f>IF(DS12&gt;0,IF(ISTEXT(DS$3),$F12),0)</f>
        <v>0</v>
      </c>
      <c r="DU12" s="539">
        <f>IF(DS12&gt;0,IF(ISTEXT(DS$3),$G12),0)</f>
        <v>0</v>
      </c>
      <c r="DV12" s="698">
        <f>IF($I12=0,0,IF(DS12&gt;0,DU12*$CG12/$I12,0))</f>
        <v>0</v>
      </c>
      <c r="DW12" s="803">
        <f>$BS12*DT12</f>
        <v>0</v>
      </c>
      <c r="DX12" s="801" t="b">
        <f>ISERROR(MATCH(DZ$3,$J12:$O12,0))</f>
        <v>1</v>
      </c>
      <c r="DY12" s="802">
        <f>IF($BT12&gt;0, IF(ISTEXT(DY$3), $C12+IF($D12&lt;1000,$D12,$D12/($E12*60)),0),0)</f>
        <v>0</v>
      </c>
      <c r="DZ12" s="802">
        <f>IF(DY12&gt;0,IF(ISTEXT(DY$3),$F12),0)</f>
        <v>0</v>
      </c>
      <c r="EA12" s="539">
        <f>IF(DY12&gt;0,IF(ISTEXT(DY$3),$G12),0)*IF($DX12=FALSE,IF($DZ$3=$D$180,1,$EA$3),1)</f>
        <v>0</v>
      </c>
      <c r="EB12" s="698">
        <f>IF($I12=0,0,IF(DY12&gt;0,EA12*$CG12/$I12,0))</f>
        <v>0</v>
      </c>
      <c r="EC12" s="803">
        <f>$BT12*DZ12</f>
        <v>0</v>
      </c>
      <c r="ED12" s="801" t="b">
        <f>ISERROR(MATCH(EF$3,$J12:$O12,0))</f>
        <v>1</v>
      </c>
      <c r="EE12" s="802">
        <f>IF($BU12&gt;0, IF(ISTEXT(EE$3), $C12+IF($D12&lt;1000,$D12,$D12/($E12*60)),0),0)</f>
        <v>0</v>
      </c>
      <c r="EF12" s="802">
        <f>IF(EE12&gt;0,IF(ISTEXT(EE$3),$F12),0)</f>
        <v>0</v>
      </c>
      <c r="EG12" s="539">
        <f>IF(EE12&gt;0,IF(ISTEXT(EE$3),$G12),0)</f>
        <v>0</v>
      </c>
      <c r="EH12" s="698">
        <f>IF($I12=0,0,IF(EE12&gt;0,EG12*$CG12/$I12,0))</f>
        <v>0</v>
      </c>
      <c r="EI12" s="803">
        <f>$BU12*EF12</f>
        <v>0</v>
      </c>
      <c r="EJ12" s="801" t="b">
        <f>ISERROR(MATCH(EL$3,$J12:$O12,0))</f>
        <v>1</v>
      </c>
      <c r="EK12" s="1483">
        <f>IF($BV12&gt;0, IF(ISTEXT(EK$3), $C12+IF($D12&lt;1000,$D12,$D12/($E12*60)),0),0)</f>
        <v>0</v>
      </c>
      <c r="EL12" s="1483">
        <f>IF(EK12&gt;0,IF(ISTEXT(EK$3),$F12),0)</f>
        <v>0</v>
      </c>
      <c r="EM12" s="1484">
        <f>IF(EK12&gt;0,IF(ISTEXT(EK$3),$G12),0)</f>
        <v>0</v>
      </c>
      <c r="EN12" s="1486">
        <f>IF($I12=0,0,IF(EK12&gt;0,EM12*$CG12/$I12,0))</f>
        <v>0</v>
      </c>
      <c r="EO12" s="1487">
        <f>$BV12*EL12</f>
        <v>0</v>
      </c>
      <c r="EP12" s="801" t="b">
        <f>ISERROR(MATCH(ER$3,$J12:$O12,0))</f>
        <v>1</v>
      </c>
      <c r="EQ12" s="1488">
        <f>IF($BW12&gt;0, IF(ISTEXT(EQ$3), $C12+IF($D12&lt;1000,$D12,$D12/($E12*60)),0),0)</f>
        <v>0</v>
      </c>
      <c r="ER12" s="1483">
        <f>IF(EQ12&gt;0,IF(ISTEXT(EQ$3),$F12),0)</f>
        <v>0</v>
      </c>
      <c r="ES12" s="1484">
        <f>IF(EQ12&gt;0,IF(ISTEXT(EQ$3),$G12),0)</f>
        <v>0</v>
      </c>
      <c r="ET12" s="1486">
        <f>IF($I12=0,0,IF(EQ12&gt;0,ES12*$CG12/$I12,0))</f>
        <v>0</v>
      </c>
      <c r="EU12" s="1487">
        <f>$BW12*ER12</f>
        <v>0</v>
      </c>
      <c r="EV12" s="801" t="b">
        <f>ISERROR(MATCH(EX$3,$J12:$O12,0))</f>
        <v>1</v>
      </c>
      <c r="EW12" s="1488">
        <f>IF($BX12&gt;0, IF(ISTEXT(EW$3), $C12+IF($D12&lt;1000,$D12,$D12/($E12*60)),0),0)</f>
        <v>0</v>
      </c>
      <c r="EX12" s="1483">
        <f>IF(EW12&gt;0,IF(ISTEXT(EW$3),$F12),0)</f>
        <v>0</v>
      </c>
      <c r="EY12" s="1484">
        <f>IF(EW12&gt;0,IF(ISTEXT(EW$3),$G12),0)</f>
        <v>0</v>
      </c>
      <c r="EZ12" s="1486">
        <f>IF($I12=0,0,IF(EW12&gt;0,EY12*$CG12/$I12,0))</f>
        <v>0</v>
      </c>
      <c r="FA12" s="1487">
        <f>$BX12*EX12</f>
        <v>0</v>
      </c>
      <c r="FB12" s="801" t="b">
        <f>ISERROR(MATCH(FD$3,$J12:$O12,0))</f>
        <v>1</v>
      </c>
      <c r="FC12" s="1488">
        <f>IF($BY12&gt;0, IF(ISTEXT(FC$3), $C12+IF($D12&lt;1000,$D12,$D12/($E12*60)),0),0)</f>
        <v>0</v>
      </c>
      <c r="FD12" s="1483">
        <f>IF(FC12&gt;0,IF(ISTEXT(FC$3),$F12),0)</f>
        <v>0</v>
      </c>
      <c r="FE12" s="1484">
        <f>IF(FC12&gt;0,IF(ISTEXT(FC$3),$G12),0)</f>
        <v>0</v>
      </c>
      <c r="FF12" s="1486">
        <f>IF($I12=0,0,IF(FC12&gt;0,FE12*$CG12/$I12,0))</f>
        <v>0</v>
      </c>
      <c r="FG12" s="1487">
        <f>$BY12*FD12</f>
        <v>0</v>
      </c>
      <c r="FH12" s="801" t="b">
        <f>ISERROR(MATCH(FJ$3,$J12:$O12,0))</f>
        <v>1</v>
      </c>
      <c r="FI12" s="1488">
        <f>IF($BZ12&gt;0, IF(ISTEXT(FI$3), $C12+IF($D12&lt;1000,$D12,$D12/($E12*60)),0),0)</f>
        <v>0</v>
      </c>
      <c r="FJ12" s="1483">
        <f>IF(FI12&gt;0,IF(ISTEXT(FI$3),$F12),0)</f>
        <v>0</v>
      </c>
      <c r="FK12" s="1484">
        <f>IF(FI12&gt;0,IF(ISTEXT(FI$3),$G12),0)</f>
        <v>0</v>
      </c>
      <c r="FL12" s="1486">
        <f>IF($I12=0,0,IF(FI12&gt;0,FK12*$CG12/$I12,0))</f>
        <v>0</v>
      </c>
      <c r="FM12" s="1487">
        <f>$BZ12*FJ12</f>
        <v>0</v>
      </c>
      <c r="FN12" s="801" t="b">
        <f>ISERROR(MATCH(FP$3,$J12:$O12,0))</f>
        <v>1</v>
      </c>
      <c r="FO12" s="1488">
        <f>IF($CA12&gt;0, IF(ISTEXT(FO$3), $C12+IF($D12&lt;1000,$D12,$D12/($E12*60)),0),0)</f>
        <v>0</v>
      </c>
      <c r="FP12" s="1483">
        <f>IF(FO12&gt;0,IF(ISTEXT(FO$3),$F12),0)</f>
        <v>0</v>
      </c>
      <c r="FQ12" s="1484">
        <f>IF(FO12&gt;0,IF(ISTEXT(FO$3),$G12),0)</f>
        <v>0</v>
      </c>
      <c r="FR12" s="1486">
        <f>IF($I12=0,0,IF(FO12&gt;0,FQ12*$CG12/$I12,0))</f>
        <v>0</v>
      </c>
      <c r="FS12" s="1487">
        <f>$CA12*FP12</f>
        <v>0</v>
      </c>
      <c r="FT12" s="801" t="b">
        <f>ISERROR(MATCH(FV$3,$J12:$O12,0))</f>
        <v>1</v>
      </c>
      <c r="FU12" s="1488">
        <f>IF($CB12&gt;0, IF(ISTEXT(FU$3), $C12+IF($D12&lt;1000,$D12,$D12/($E12*60)),0),0)</f>
        <v>0</v>
      </c>
      <c r="FV12" s="1483">
        <f>IF(FU12&gt;0,IF(ISTEXT(FU$3),$F12),0)</f>
        <v>0</v>
      </c>
      <c r="FW12" s="1484">
        <f>IF(FU12&gt;0,IF(ISTEXT(FU$3),$G12),0)</f>
        <v>0</v>
      </c>
      <c r="FX12" s="1486">
        <f>IF($I12=0,0,IF(FU12&gt;0,FW12*$CG12/$I12,0))</f>
        <v>0</v>
      </c>
      <c r="FY12" s="1487">
        <f>$CB12*FV12</f>
        <v>0</v>
      </c>
      <c r="FZ12" s="801" t="b">
        <f>ISERROR(MATCH(GB$3,$J12:$O12,0))</f>
        <v>1</v>
      </c>
      <c r="GA12" s="1488">
        <f>IF($CC12&gt;0, IF(ISTEXT(GA$3), $C12+IF($D12&lt;1000,$D12,$D12/($E12*60)),0),0)</f>
        <v>0</v>
      </c>
      <c r="GB12" s="1483">
        <f>IF(GA12&gt;0,IF(ISTEXT(GA$3),$F12),0)</f>
        <v>0</v>
      </c>
      <c r="GC12" s="1484">
        <f>IF(GA12&gt;0,IF(ISTEXT(GA$3),$G12),0)</f>
        <v>0</v>
      </c>
      <c r="GD12" s="1486">
        <f>IF($I12=0,0,IF(GA12&gt;0,GC12*$CG12/$I12,0))</f>
        <v>0</v>
      </c>
      <c r="GE12" s="1487">
        <f>$CC12*GB12</f>
        <v>0</v>
      </c>
      <c r="GF12" s="801" t="b">
        <f>ISERROR(MATCH(GH$3,$J12:$O12,0))</f>
        <v>1</v>
      </c>
      <c r="GG12" s="1488">
        <f>IF($CD12&gt;0, IF(ISTEXT(GG$3), $C12+IF($D12&lt;1000,$D12,$D12/($E12*60)),0),0)</f>
        <v>20</v>
      </c>
      <c r="GH12" s="1483">
        <f>IF(GG12&gt;0,IF(ISTEXT(GG$3),$F12),0)</f>
        <v>120</v>
      </c>
      <c r="GI12" s="1484">
        <f>IF(GG12&gt;0,IF(ISTEXT(GG$3),$G12),0)</f>
        <v>4</v>
      </c>
      <c r="GJ12" s="1486">
        <f>IF($I12=0,0,IF(GG12&gt;0,GI12*$CG12/$I12,0))</f>
        <v>20</v>
      </c>
      <c r="GK12" s="1487">
        <f>$CD12*GH12</f>
        <v>0.98630382106244185</v>
      </c>
      <c r="GL12" s="801" t="b">
        <f>ISERROR(MATCH(GN$3,$J12:$O12,0))</f>
        <v>1</v>
      </c>
      <c r="GM12" s="1488">
        <f>IF($CE12&gt;0, IF(ISTEXT(GM$3), $C12+IF($D12&lt;1000,$D12,$D12/($E12*60)),0),0)</f>
        <v>20</v>
      </c>
      <c r="GN12" s="1483">
        <f>IF(GM12&gt;0,IF(ISTEXT(GM$3),$F12),0)</f>
        <v>120</v>
      </c>
      <c r="GO12" s="1484">
        <f>IF(GM12&gt;0,IF(ISTEXT(GM$3),$G12),0)</f>
        <v>4</v>
      </c>
      <c r="GP12" s="1486">
        <f>IF($I12=0,0,IF(GM12&gt;0,GO12*$CG12/$I12,0))</f>
        <v>20</v>
      </c>
      <c r="GQ12" s="1487">
        <f>$CE12*GN12</f>
        <v>22.191835973904944</v>
      </c>
      <c r="GR12" s="801" t="b">
        <f>ISERROR(MATCH(GT$3,$J12:$O12,0))</f>
        <v>1</v>
      </c>
      <c r="GS12" s="1488">
        <f>IF($CF12&gt;0, IF(ISTEXT(GS$3), $C12+IF($D12&lt;1000,$D12,$D12/($E12*60)),0),0)</f>
        <v>20</v>
      </c>
      <c r="GT12" s="1483">
        <f>IF(GS12&gt;0,IF(ISTEXT(GS$3),$F12),0)</f>
        <v>120</v>
      </c>
      <c r="GU12" s="1484">
        <f>IF(I12=0,0,IF(GS12&gt;0,IF(ISTEXT(GS$3),$G12),0)*$CG12/$I12)</f>
        <v>20</v>
      </c>
      <c r="GV12" s="1484"/>
      <c r="GW12" s="1487">
        <f>$CF12*GT12</f>
        <v>2.4657595526561047</v>
      </c>
      <c r="GX12" s="1489">
        <f>IF(ISERROR(FIND("File",$R12)),0,F12*$BN12*VLOOKUP(R12,DataArray,4,FALSE))/60</f>
        <v>0</v>
      </c>
      <c r="GY12" s="551" t="b">
        <f>ISERROR(OR(FIND("F",$R12)))</f>
        <v>1</v>
      </c>
      <c r="GZ12" s="2471" t="b">
        <f>ISERROR(OR(FIND("Image",$R12)))</f>
        <v>1</v>
      </c>
      <c r="HA12" s="2476"/>
      <c r="HB12" s="2866"/>
      <c r="HC12" s="2866"/>
    </row>
    <row r="13" spans="1:211" ht="15" customHeight="1" x14ac:dyDescent="0.15">
      <c r="A13" s="1450" t="str">
        <f>CT13</f>
        <v>Internet</v>
      </c>
      <c r="B13" s="1093" t="s">
        <v>394</v>
      </c>
      <c r="C13" s="1451"/>
      <c r="D13" s="1451"/>
      <c r="E13" s="1090">
        <f ca="1">SUM(C13:OFFSET(C13,MATCH(BG13,OFFSET(BG13,1,0):BG$16,0)-1,0))</f>
        <v>0</v>
      </c>
      <c r="F13" s="1095">
        <f ca="1">SUM(G13:OFFSET(G13,MATCH(BG13,OFFSET(BG13,1,0):BG$16,0)-1,0))</f>
        <v>40.555555555555557</v>
      </c>
      <c r="G13" s="1092"/>
      <c r="H13" s="2479">
        <v>90</v>
      </c>
      <c r="I13" s="1096">
        <f ca="1">F13/H13</f>
        <v>0.45061728395061729</v>
      </c>
      <c r="J13" s="1097"/>
      <c r="K13" s="1098"/>
      <c r="L13" s="1098"/>
      <c r="M13" s="1098"/>
      <c r="N13" s="1098"/>
      <c r="O13" s="1098"/>
      <c r="P13" s="1098"/>
      <c r="Q13" s="1098"/>
      <c r="R13" s="1491"/>
      <c r="S13" s="1492"/>
      <c r="T13" s="1101"/>
      <c r="U13" s="1102"/>
      <c r="V13" s="1103"/>
      <c r="W13" s="2678"/>
      <c r="X13" s="1107"/>
      <c r="Y13" s="2750"/>
      <c r="Z13" s="1455"/>
      <c r="AA13" s="2750"/>
      <c r="AB13" s="1455"/>
      <c r="AC13" s="2750"/>
      <c r="AD13" s="1105"/>
      <c r="AE13" s="2750"/>
      <c r="AF13" s="1455"/>
      <c r="AG13" s="2750"/>
      <c r="AH13" s="1455"/>
      <c r="AI13" s="2750"/>
      <c r="AJ13" s="1455"/>
      <c r="AK13" s="2750"/>
      <c r="AL13" s="1455"/>
      <c r="AM13" s="2750"/>
      <c r="AN13" s="1455"/>
      <c r="AO13" s="2750"/>
      <c r="AP13" s="1455"/>
      <c r="AQ13" s="2750"/>
      <c r="AR13" s="1455"/>
      <c r="AS13" s="2750"/>
      <c r="AT13" s="1455"/>
      <c r="AU13" s="2750"/>
      <c r="AV13" s="1455"/>
      <c r="AW13" s="2750"/>
      <c r="AX13" s="1455"/>
      <c r="AY13" s="2750"/>
      <c r="AZ13" s="1455"/>
      <c r="BA13" s="2750"/>
      <c r="BB13" s="1455"/>
      <c r="BC13" s="2758"/>
      <c r="BD13" s="2759"/>
      <c r="BE13" s="2764"/>
      <c r="BF13" s="2764"/>
      <c r="BG13" s="1099" t="s">
        <v>308</v>
      </c>
      <c r="BH13" s="1494"/>
      <c r="BI13" s="1494"/>
      <c r="BJ13" s="1494"/>
      <c r="BK13" s="1494"/>
      <c r="BL13" s="1494"/>
      <c r="BM13" s="1494"/>
      <c r="BN13" s="1494"/>
      <c r="BO13" s="1494"/>
      <c r="BP13" s="1491"/>
      <c r="BQ13" s="1099"/>
      <c r="BR13" s="1099"/>
      <c r="BS13" s="1099"/>
      <c r="BT13" s="1099"/>
      <c r="BU13" s="1099"/>
      <c r="BV13" s="1099"/>
      <c r="BW13" s="1099"/>
      <c r="BX13" s="1099"/>
      <c r="BY13" s="1099"/>
      <c r="BZ13" s="1099"/>
      <c r="CA13" s="1099"/>
      <c r="CB13" s="1099"/>
      <c r="CC13" s="1099"/>
      <c r="CD13" s="1099"/>
      <c r="CE13" s="1099"/>
      <c r="CF13" s="1099"/>
      <c r="CG13" s="1100"/>
      <c r="CH13" s="1457">
        <f ca="1">COUNTBLANK($CI$5:$CI13)</f>
        <v>3</v>
      </c>
      <c r="CI13" s="1458"/>
      <c r="CJ13" s="1459">
        <f>H13</f>
        <v>90</v>
      </c>
      <c r="CK13" s="1458"/>
      <c r="CL13" s="1106">
        <f ca="1">I13</f>
        <v>0.45061728395061729</v>
      </c>
      <c r="CM13" s="1493"/>
      <c r="CN13" s="1107"/>
      <c r="CO13" s="1107"/>
      <c r="CP13" s="1108" t="s">
        <v>117</v>
      </c>
      <c r="CQ13" s="1104"/>
      <c r="CR13" s="1109">
        <f ca="1">F13/H13</f>
        <v>0.45061728395061729</v>
      </c>
      <c r="CS13" s="1461"/>
      <c r="CT13" s="1462" t="str">
        <f t="shared" si="1"/>
        <v>Internet</v>
      </c>
      <c r="CU13" s="1462">
        <f>IF(ISERROR(FIND("_",CW13)),CW13,LEFT(CW13,FIND("_",CW13)-1))</f>
        <v>0</v>
      </c>
      <c r="CV13" s="1463">
        <f>H13</f>
        <v>90</v>
      </c>
      <c r="CW13" s="1901"/>
      <c r="CX13" s="1462"/>
      <c r="CY13" s="1915"/>
      <c r="CZ13" s="1909"/>
      <c r="DA13" s="1901"/>
      <c r="DB13" s="1464"/>
      <c r="DC13" s="1464"/>
      <c r="DD13" s="1464"/>
      <c r="DE13" s="1464"/>
      <c r="DF13" s="1465"/>
      <c r="DG13" s="1117"/>
      <c r="DH13" s="1495"/>
      <c r="DI13" s="1460"/>
      <c r="DJ13" s="1496"/>
      <c r="DK13" s="1497"/>
      <c r="DL13" s="1124"/>
      <c r="DM13" s="1125"/>
      <c r="DN13" s="1125"/>
      <c r="DO13" s="1126"/>
      <c r="DP13" s="1126"/>
      <c r="DQ13" s="1127"/>
      <c r="DR13" s="1124"/>
      <c r="DS13" s="1125"/>
      <c r="DT13" s="1125"/>
      <c r="DU13" s="1126"/>
      <c r="DV13" s="1126"/>
      <c r="DW13" s="1127"/>
      <c r="DX13" s="1124"/>
      <c r="DY13" s="1125"/>
      <c r="DZ13" s="1125"/>
      <c r="EA13" s="1126"/>
      <c r="EB13" s="1126"/>
      <c r="EC13" s="1127"/>
      <c r="ED13" s="1124"/>
      <c r="EE13" s="1125"/>
      <c r="EF13" s="1125"/>
      <c r="EG13" s="1126"/>
      <c r="EH13" s="1126"/>
      <c r="EI13" s="1127"/>
      <c r="EJ13" s="1124"/>
      <c r="EK13" s="1460"/>
      <c r="EL13" s="1460"/>
      <c r="EM13" s="1496"/>
      <c r="EN13" s="1496"/>
      <c r="EO13" s="1498"/>
      <c r="EP13" s="1124"/>
      <c r="EQ13" s="1499"/>
      <c r="ER13" s="1460"/>
      <c r="ES13" s="1496"/>
      <c r="ET13" s="1496"/>
      <c r="EU13" s="1498"/>
      <c r="EV13" s="1124"/>
      <c r="EW13" s="1499"/>
      <c r="EX13" s="1460"/>
      <c r="EY13" s="1496"/>
      <c r="EZ13" s="1496"/>
      <c r="FA13" s="1498"/>
      <c r="FB13" s="1124"/>
      <c r="FC13" s="1499"/>
      <c r="FD13" s="1460"/>
      <c r="FE13" s="1496"/>
      <c r="FF13" s="1496"/>
      <c r="FG13" s="1498"/>
      <c r="FH13" s="1124"/>
      <c r="FI13" s="1499"/>
      <c r="FJ13" s="1460"/>
      <c r="FK13" s="1496"/>
      <c r="FL13" s="1496"/>
      <c r="FM13" s="1498"/>
      <c r="FN13" s="1124"/>
      <c r="FO13" s="1499"/>
      <c r="FP13" s="1460"/>
      <c r="FQ13" s="1496"/>
      <c r="FR13" s="1496"/>
      <c r="FS13" s="1498"/>
      <c r="FT13" s="1124"/>
      <c r="FU13" s="1499"/>
      <c r="FV13" s="1460"/>
      <c r="FW13" s="1496"/>
      <c r="FX13" s="1496"/>
      <c r="FY13" s="1498"/>
      <c r="FZ13" s="1124"/>
      <c r="GA13" s="1499"/>
      <c r="GB13" s="1460"/>
      <c r="GC13" s="1496"/>
      <c r="GD13" s="1496"/>
      <c r="GE13" s="1498"/>
      <c r="GF13" s="1124"/>
      <c r="GG13" s="1499"/>
      <c r="GH13" s="1460"/>
      <c r="GI13" s="1496"/>
      <c r="GJ13" s="1496"/>
      <c r="GK13" s="1498"/>
      <c r="GL13" s="1124"/>
      <c r="GM13" s="1499"/>
      <c r="GN13" s="1460"/>
      <c r="GO13" s="1496"/>
      <c r="GP13" s="1496"/>
      <c r="GQ13" s="1498"/>
      <c r="GR13" s="1124"/>
      <c r="GS13" s="1499"/>
      <c r="GT13" s="1460"/>
      <c r="GU13" s="1496"/>
      <c r="GV13" s="1496"/>
      <c r="GW13" s="1498"/>
      <c r="GX13" s="1500"/>
      <c r="GY13" s="1466"/>
      <c r="GZ13" s="2470"/>
      <c r="HA13" s="1493">
        <f>H13</f>
        <v>90</v>
      </c>
      <c r="HB13" s="2867">
        <f>12*LN(H13)^2+20</f>
        <v>262.97944483037321</v>
      </c>
      <c r="HC13" s="2868">
        <f>12*LN(H13)^2+20</f>
        <v>262.97944483037321</v>
      </c>
    </row>
    <row r="14" spans="1:211" s="1490" customFormat="1" ht="15" customHeight="1" x14ac:dyDescent="0.2">
      <c r="A14" s="1467" t="str">
        <f>IF($A$4=$H$163,$CI14&amp;"."&amp;$CJ14&amp;"."&amp;$CK14,CT14)</f>
        <v>S WebMap</v>
      </c>
      <c r="B14" s="159" t="s">
        <v>213</v>
      </c>
      <c r="C14" s="1468"/>
      <c r="D14" s="1469">
        <v>73000</v>
      </c>
      <c r="E14" s="537">
        <f>IF(D14&lt;1000,IF(SUM(C14:D14)=0,0,IF(AND(D$1=H$169,T14=0),CS14,IF(T$2=$H$174,X14,IF(T$2=$H$175,IF(T14&gt;0,  IF(CR14&gt;X14,X14,CS14),CS14),E14)))),X14)</f>
        <v>6</v>
      </c>
      <c r="F14" s="538">
        <f>IF($T$2=$H$173,0,IF($D$4=Calculator!$A$162,C14*E14+D14/60,IF(OR($D$4=Calculator!$A$163,D14&lt;1000),(C14+D14)*E14,C14*E14+D14/60)))</f>
        <v>1216.6666666666667</v>
      </c>
      <c r="G14" s="803">
        <f>IF(SUM($C14:$D14)&gt;0,F14*$I14/60,0)</f>
        <v>40.555555555555557</v>
      </c>
      <c r="H14" s="925" t="str">
        <f>W14&amp;CU14&amp;" {"&amp;TEXT(F14*60,"###,##0")&amp;"}"</f>
        <v>DB {73,000}</v>
      </c>
      <c r="I14" s="540">
        <f>$BG14</f>
        <v>2</v>
      </c>
      <c r="J14" s="926" t="s">
        <v>382</v>
      </c>
      <c r="K14" s="926" t="s">
        <v>382</v>
      </c>
      <c r="L14" s="927" t="s">
        <v>382</v>
      </c>
      <c r="M14" s="927" t="s">
        <v>382</v>
      </c>
      <c r="N14" s="927" t="s">
        <v>382</v>
      </c>
      <c r="O14" s="927" t="s">
        <v>382</v>
      </c>
      <c r="P14" s="928" t="str">
        <f>IF(OR(AND($O14=$A$163,  $O$5=$A$163),AND($O14=$A$163,  $O$5=$A$183)), IF(BL14&gt;0,IF($N14=$A$163,$N$5,$N14), IF(BI14&gt;0,  IF($K14=$A$163,$K$5,$K14), IF($J14=$A$163,$J$5,$J14))),IF(O14=$A$163,O$5,O14))</f>
        <v>GIS</v>
      </c>
      <c r="Q14" s="929" t="s">
        <v>382</v>
      </c>
      <c r="R14" s="160" t="s">
        <v>1055</v>
      </c>
      <c r="S14" s="1470">
        <f>VLOOKUP($B14,wfRange,Workflow!B$1,FALSE)</f>
        <v>10</v>
      </c>
      <c r="T14" s="1245">
        <f>CP14</f>
        <v>3</v>
      </c>
      <c r="U14" s="546">
        <f ca="1">IF(F14=0,T14,60/E14-V14)</f>
        <v>9.5654132529477103</v>
      </c>
      <c r="V14" s="759">
        <f ca="1">IF(F14=0,0,SUM(Y14:BF14))</f>
        <v>0.43458674705228983</v>
      </c>
      <c r="W14" s="2682"/>
      <c r="X14" s="2733">
        <f>CQ14</f>
        <v>6</v>
      </c>
      <c r="Y14" s="2751">
        <f>IF(SUM($C14:$D14)&gt;0,$K$81*CF14,0)*1/VLOOKUP(B14,wfRange,Workflow!N$1,FALSE)</f>
        <v>2.1800024718823387E-2</v>
      </c>
      <c r="Z14" s="1474">
        <f>IF(Y14&gt;0, IF($A$79&lt;0.9999,   IF($T14=0,  MAX($CL$2*Y14*$Q$78,$CL$2*Y14*$Q$77),  MAX(Y14*$Q$78,Y14*$Q$77)),  Y14*200),0)</f>
        <v>4.52869431025066E-3</v>
      </c>
      <c r="AA14" s="2751">
        <f>IF(SUM($C14:$D14)&gt;0,$K$77*CE14,0)*1/VLOOKUP(B14,wfRange,Workflow!N$1,FALSE)</f>
        <v>0.19620022246941049</v>
      </c>
      <c r="AB14" s="1474">
        <f>IF(AA14&gt;0, IF($A$75&lt;0.9999,   IF($T14=0,  MAX($CL$2*AA14*$Q$74,$CL$2*AA14*$Q$73),  MAX(AA14*$Q$74,AA14*$Q$73)),  AA14*200),0)</f>
        <v>0.13776790461258562</v>
      </c>
      <c r="AC14" s="2751">
        <f>IF(SUM($C14:$D14)&gt;0,$K$73*CD14,0)*1/VLOOKUP(B14,wfRange,Workflow!N$1,FALSE)</f>
        <v>8.7200098875293546E-3</v>
      </c>
      <c r="AD14" s="1474">
        <f>IF(AC14&gt;0, IF($A$71&lt;0.9999,   IF($T14=0,  MAX($CL$2*AC14*$Q$70,$CL$2*AC14*$Q$69),  MAX(AC14*$Q$70,AC14*$Q$69)),  AC14*200),0)</f>
        <v>4.7566952859854917E-4</v>
      </c>
      <c r="AE14" s="2751">
        <f>IF(SUM($C14:$D14)&gt;0,$K$69*CC14,0)*1/VLOOKUP(B14,wfRange,Workflow!N$1,FALSE)</f>
        <v>0</v>
      </c>
      <c r="AF14" s="1474">
        <f>IF(AE14&gt;0, IF($A$67&lt;0.9999,   IF($T14=0,  MAX($CL$2*AE14*$Q$66,$CL$2*AE14*$Q$65),  MAX(AE14*$Q$66,AE14*$Q$65)),  AE14*200),0)</f>
        <v>0</v>
      </c>
      <c r="AG14" s="2751">
        <f>IF(SUM($C14:$D14)&gt;0,$K$65*CB14,0)*1/VLOOKUP(B14,wfRange,Workflow!N$1,FALSE)</f>
        <v>0</v>
      </c>
      <c r="AH14" s="1474">
        <f>IF(AG14&gt;0, IF($A$63&lt;0.9999,   IF($T14=0,  MAX($CL$2*AG14*$Q$62,$CL$2*AG14*$Q$60),  MAX(AG14*$Q$62,AG14*$Q$60)),  AG14*200),0)</f>
        <v>0</v>
      </c>
      <c r="AI14" s="2751">
        <f>IF(SUM($C14:$D14)&gt;0,$K$60*CA14,0)*1/VLOOKUP(B14,wfRange,Workflow!N$1,FALSE)</f>
        <v>0</v>
      </c>
      <c r="AJ14" s="1474">
        <f>IF(AI14&gt;0, IF($A$58&lt;0.9999,   IF($T14=0,  MAX($CL$2*AI14*$Q$57,$CL$2*AI14*$Q$56),  MAX(AI14*$Q$57,AI14*$Q$56)),  AI14*200),0)</f>
        <v>0</v>
      </c>
      <c r="AK14" s="2751">
        <f>IF(SUM($C14:$D14)&gt;0,$K$56*BZ14,0)*1/VLOOKUP(B14,wfRange,Workflow!N$1,FALSE)</f>
        <v>0</v>
      </c>
      <c r="AL14" s="1474">
        <f>IF(AK14&gt;0, IF($A$54&lt;0.9999,   IF($T14=0,  MAX($CL$2*AK14*$Q$53,$CL$2*AK14*$Q$52),  MAX(AK14*$Q$53,AK14*$Q$52)),  AK14*200),0)</f>
        <v>0</v>
      </c>
      <c r="AM14" s="2751">
        <f>IF(SUM($C14:$D14)&gt;0,$K$52*BY14,0)*1/VLOOKUP(B14,wfRange,Workflow!N$1,FALSE)</f>
        <v>0</v>
      </c>
      <c r="AN14" s="1474">
        <f>IF(AM14&gt;0, IF($A$50&lt;0.9999,   IF($T14=0,  MAX($CL$2*AM14*$Q$49,$CL$2*AM14*$Q$48),  MAX(AM14*$Q$49,AM14*$Q$48)),  AM14*200),0)</f>
        <v>0</v>
      </c>
      <c r="AO14" s="2751">
        <f>IF(SUM($C14:$D14)&gt;0,$K$48*BX14,0)*1/VLOOKUP(B14,wfRange,Workflow!N$1,FALSE)</f>
        <v>0</v>
      </c>
      <c r="AP14" s="1474">
        <f>IF(AO14&gt;0, IF($A$46&lt;0.9999,   IF($T14=0,  MAX($CL$2*AO14*$Q$45,$CL$2*AO14*$Q$44),  MAX(AO14*$Q$45,AO14*$Q$44)),  AO14*200),0)</f>
        <v>0</v>
      </c>
      <c r="AQ14" s="2751">
        <f>IF(SUM($C14:$D14)&gt;0,$K$44*BW14,0)*1/VLOOKUP(B14,wfRange,Workflow!N$1,FALSE)</f>
        <v>0</v>
      </c>
      <c r="AR14" s="1474">
        <f>IF(AQ14&gt;0, IF($A$42&lt;0.9999,   IF($T14=0,  MAX($CL$2*AQ14*$Q$41,$CL$2*AQ14*$Q$39),  MAX(AQ14*$Q$41,AQ14*$Q$39)),  AQ14*200),0)</f>
        <v>0</v>
      </c>
      <c r="AS14" s="2751">
        <f>IF(SUM($C14:$D14)&gt;0,$K$39*BV14,0)*1/VLOOKUP(B14,wfRange,Workflow!N$1,FALSE)</f>
        <v>0</v>
      </c>
      <c r="AT14" s="1474">
        <f>IF(AS14&gt;0, IF($A$37&lt;0.9999,   IF($T14=0,  MAX($CL$2*AS14*$Q$36,$CL$2*AS14*$Q$35),  MAX(AS14*$Q$36,AS14*$Q$35)),  AS14*200),0)</f>
        <v>0</v>
      </c>
      <c r="AU14" s="2751">
        <f>IF(SUM($C14:$D14)&gt;0,$K$35*BU14,0)*1/VLOOKUP(B14,wfRange,Workflow!N$1,FALSE)</f>
        <v>0</v>
      </c>
      <c r="AV14" s="1474">
        <f>IF(AU14&gt;0, IF($A$33&lt;0.9999,   IF($T14=0,  MAX($CL$2*AU14*$Q$32,$CL$2*AU14*$Q$31),  MAX(AU14*$Q$32,AU14*$Q$31)),  AU14*200),0)</f>
        <v>0</v>
      </c>
      <c r="AW14" s="2751">
        <f>IF(SUM($C14:$D14)&gt;0,$K$31*BT14,0)*1/VLOOKUP(B14,wfRange,Workflow!N$1,FALSE)</f>
        <v>0</v>
      </c>
      <c r="AX14" s="1474">
        <f>IF(AW14&gt;0, IF($A$29&lt;0.9999,   IF($T14=0,  MAX($CL$2*AW14*$Q$28,$CL$2*AW14*$Q$27),  MAX(AW14*$Q$28,AW14*$Q$27)),  AW14*200),0)</f>
        <v>0</v>
      </c>
      <c r="AY14" s="2751">
        <f>IF(SUM($C14:$D14)&gt;0,$K$27*BS14,0)*1/VLOOKUP(B14,wfRange,Workflow!N$1,FALSE)</f>
        <v>0</v>
      </c>
      <c r="AZ14" s="1474">
        <f>IF(AY14&gt;0, IF($A$25&lt;0.9999,   IF($T14=0,  MAX($CL$2*AY14*$Q$24,$CL$2*AY14*$Q$23),  MAX(AY14*$Q$24,AY14*$Q$23)),  AY14*200),0)</f>
        <v>0</v>
      </c>
      <c r="BA14" s="2751">
        <f>IF(SUM($C14:$D14)&gt;0,$K$23*BR14,0)*1/VLOOKUP(B14,wfRange,Workflow!N$1,FALSE)</f>
        <v>0</v>
      </c>
      <c r="BB14" s="1474">
        <f>IF(BA14&gt;0, IF($A$21&lt;0.9999,   IF($T14=0,  MAX($CL$2*BA14*$Q$20,$CL$2*BA14*$Q$19),  MAX(BA14*$Q$20,BA14*$Q$19)),  BA14*200),0)</f>
        <v>0</v>
      </c>
      <c r="BC14" s="2751">
        <f ca="1">IF(SUM($C14:$D14)&gt;0,IF($CJ14&gt;0,IF($CO14&gt;$CN14,$I14/$CN14,$I14/$CO14),$I14/$CN14),0)</f>
        <v>2.2222222222222223E-2</v>
      </c>
      <c r="BD14" s="930">
        <f ca="1">IF(BC14&gt;0,IF(CL14&lt;0.9999,BC14*CL14/((1+$CK$2*CL14)*(1-CL14)),BC14*500),0)</f>
        <v>1.2565144633038492E-2</v>
      </c>
      <c r="BE14" s="2765">
        <f ca="1">IF(SUM($C14:$D14)&gt;0,IF(CJ14&gt;0,VLOOKUP($CJ14+200,NL,6,FALSE)*S14,0),0)/1000</f>
        <v>0</v>
      </c>
      <c r="BF14" s="2765">
        <f>IF(SUM($C14:$D14)&gt;0,BQ14*$BO$2/$G$18,0)*1/VLOOKUP(B14,wfRange,Workflow!N$1,FALSE)</f>
        <v>3.0306854669831077E-2</v>
      </c>
      <c r="BG14" s="2736">
        <f>IF($CW14="desktop",VLOOKUP($R14,DataArray,5,FALSE)* VLOOKUP($B14,wfRange,Workflow!C$1,FALSE), VLOOKUP($B14,wfRange,Workflow!C$1,FALSE))</f>
        <v>2</v>
      </c>
      <c r="BH14" s="1476">
        <f>IF(CW14="Desktop", VLOOKUP($R14,DataArray,4,FALSE)* IF(ISERROR(FIND("File",$R14)), VLOOKUP($B14,wfRange,Workflow!D$1,FALSE), VLOOKUP($B14,wfRange,Workflow!D$1,FALSE)+ VLOOKUP($B14,wfRange,Workflow!I$1,FALSE)+ VLOOKUP($B14,wfRange,Workflow!K$1,FALSE)), VLOOKUP($B14,wfRange,Workflow!D$1,FALSE))</f>
        <v>2.5289841565703634E-2</v>
      </c>
      <c r="BI14" s="542">
        <f>IF(VLOOKUP($B14,wfRange,Workflow!E$1,FALSE)&gt;0, VLOOKUP($R14,DataArray,4,FALSE)* IF(ISERROR(FIND("File",$R14)),   VLOOKUP($B14,wfRange,Workflow!E$1,FALSE),     VLOOKUP($B14,wfRange,Workflow!E$1,FALSE)+ VLOOKUP($B14,wfRange,Workflow!I$1,FALSE)+ VLOOKUP($B14,wfRange,Workflow!K$1,FALSE)),0)</f>
        <v>0</v>
      </c>
      <c r="BJ14" s="543">
        <f>VLOOKUP($B14,wfRange,Workflow!F$1,FALSE)</f>
        <v>8.2191985088536819E-3</v>
      </c>
      <c r="BK14" s="543">
        <f>MAX(VLOOKUP($B14,wfRange,Workflow!G$1,FALSE),IF(W14=$BB$18,$BC$18,0))</f>
        <v>0</v>
      </c>
      <c r="BL14" s="543">
        <f>IF(VLOOKUP($B14,wfRange,Workflow!H$1,FALSE)&gt;0,VLOOKUP($R14,DataArray,4,FALSE)* IF(ISERROR(FIND("File",$R14)),VLOOKUP($B14,wfRange,Workflow!H$1,FALSE),VLOOKUP($B14,wfRange,Workflow!H$1,FALSE)+VLOOKUP($B14,wfRange,Workflow!I$1,FALSE)+VLOOKUP($B14,wfRange,Workflow!K$1,FALSE)),0)</f>
        <v>0.16438397017707365</v>
      </c>
      <c r="BM14" s="544">
        <f>VLOOKUP($R14,DataArray,3,FALSE)* VLOOKUP($B14,wfRange,Workflow!I$1,FALSE)</f>
        <v>2.0547996272134206E-2</v>
      </c>
      <c r="BN14" s="545">
        <f>VLOOKUP($R14,DataArray,5,FALSE)* VLOOKUP($B14,wfRange,Workflow!J$1,FALSE)</f>
        <v>10</v>
      </c>
      <c r="BO14" s="544">
        <f>VLOOKUP($R14,DataArray,2,FALSE)* VLOOKUP($B14,wfRange,Workflow!K$1,FALSE)</f>
        <v>2.0547996272134206E-2</v>
      </c>
      <c r="BP14" s="753">
        <f>SUM(BH14:BM14,BO14)</f>
        <v>0.23898900279589941</v>
      </c>
      <c r="BQ14" s="1471">
        <f t="shared" ref="BQ14:CF14" si="4">IF(OR($J14=BQ$4,AND($J14=$A$163,$J$5=BQ$4)),$BH14)+IF(OR($K14=BQ$4,AND($K14=$A$163,$K$5=BQ$4)),$BI14)+IF(OR($L14=BQ$4,AND($L14=$A$163,$L$5=BQ$4)),$BJ14)+IF(OR($M14=BQ$4,AND($M14=$A$163,$M$5=BQ$4)),$BK14)+IF(OR($N14=BQ$4,AND($N14=$A$163,$N$5=BQ$4)),$BL14)+IF($P14=BQ$4,$BM14)+IF(OR($Q14=BQ$4,AND($Q14=$A$163,$Q$5=BQ$4)),$BO14)</f>
        <v>2.5289841565703634E-2</v>
      </c>
      <c r="BR14" s="1472">
        <f t="shared" si="4"/>
        <v>0</v>
      </c>
      <c r="BS14" s="1472">
        <f t="shared" si="4"/>
        <v>0</v>
      </c>
      <c r="BT14" s="1472">
        <f t="shared" si="4"/>
        <v>0</v>
      </c>
      <c r="BU14" s="1472">
        <f t="shared" si="4"/>
        <v>0</v>
      </c>
      <c r="BV14" s="1472">
        <f t="shared" si="4"/>
        <v>0</v>
      </c>
      <c r="BW14" s="1472">
        <f t="shared" si="4"/>
        <v>0</v>
      </c>
      <c r="BX14" s="1472">
        <f t="shared" si="4"/>
        <v>0</v>
      </c>
      <c r="BY14" s="1472">
        <f t="shared" si="4"/>
        <v>0</v>
      </c>
      <c r="BZ14" s="1472">
        <f t="shared" si="4"/>
        <v>0</v>
      </c>
      <c r="CA14" s="1472">
        <f t="shared" si="4"/>
        <v>0</v>
      </c>
      <c r="CB14" s="1472">
        <f t="shared" si="4"/>
        <v>0</v>
      </c>
      <c r="CC14" s="1472">
        <f t="shared" si="4"/>
        <v>0</v>
      </c>
      <c r="CD14" s="1472">
        <f t="shared" si="4"/>
        <v>8.2191985088536819E-3</v>
      </c>
      <c r="CE14" s="1472">
        <f t="shared" si="4"/>
        <v>0.18493196644920787</v>
      </c>
      <c r="CF14" s="1472">
        <f t="shared" si="4"/>
        <v>2.0547996272134206E-2</v>
      </c>
      <c r="CG14" s="541">
        <f>$BN14</f>
        <v>10</v>
      </c>
      <c r="CH14" s="951">
        <f ca="1">CJ14+100</f>
        <v>100</v>
      </c>
      <c r="CI14" s="951">
        <f ca="1">COUNTBLANK($CI$5:$CI14)</f>
        <v>3</v>
      </c>
      <c r="CJ14" s="951">
        <f ca="1">COUNTBLANK($CJ$5:$CJ14)</f>
        <v>0</v>
      </c>
      <c r="CK14" s="1477">
        <f ca="1">COUNTA($CK$5:$CK14)</f>
        <v>7</v>
      </c>
      <c r="CL14" s="547">
        <f ca="1">IF(CO14=0,VLOOKUP($CI14,NL,5,FALSE),IF(CO14&lt;CN14,VLOOKUP($CJ14+200,NL,5,FALSE),VLOOKUP($CI14,NL,5,FALSE)))</f>
        <v>0.45061728395061729</v>
      </c>
      <c r="CM14" s="1475"/>
      <c r="CN14" s="548">
        <f ca="1">VLOOKUP($CI14,NL,3,FALSE)</f>
        <v>90</v>
      </c>
      <c r="CO14" s="549">
        <f ca="1">IF(CJ14&gt;0,VLOOKUP($CJ14+200,NL,2,FALSE),0)</f>
        <v>0</v>
      </c>
      <c r="CP14" s="570">
        <f>VLOOKUP($B14,wfRange,Workflow!L$1,FALSE)</f>
        <v>3</v>
      </c>
      <c r="CQ14" s="1473">
        <f>IF($CQ$5=1000,1000,VLOOKUP($B14,wfRange,Workflow!M$1,FALSE))</f>
        <v>6</v>
      </c>
      <c r="CR14" s="765">
        <f ca="1">IF(SUM($C14:$D14)&gt;0,IF(T14&gt;0,60/(T14+V14),60/V14),1000)</f>
        <v>17.469350585334489</v>
      </c>
      <c r="CS14" s="766">
        <f ca="1">IF(CR14&gt;E14,E14+ABS(CR14-E14)*$U$2/100,E14-ABS(CR14-E14)*$U$2/500)</f>
        <v>7.1469350585334492</v>
      </c>
      <c r="CT14" s="1478" t="str">
        <f t="shared" si="1"/>
        <v>S WebMap</v>
      </c>
      <c r="CU14" s="1478" t="str">
        <f>IF(ISERROR(FIND("_",R14)),R14,LEFT(R14,FIND("_",R14)-1))</f>
        <v>DB</v>
      </c>
      <c r="CV14" s="1479">
        <f>F14*60</f>
        <v>73000</v>
      </c>
      <c r="CW14" s="1900" t="str">
        <f>VLOOKUP($B14,wfRange,Workflow!O$1,FALSE)</f>
        <v>Server</v>
      </c>
      <c r="CX14" s="1478">
        <f>IF(ISERROR(IF(CW14=" Imagery",MATCH(R14,ImageryDataList,0), MATCH(R14,MapDataList,0))),1,0)</f>
        <v>0</v>
      </c>
      <c r="CY14" s="1914">
        <f>IF(CW14=" imagery",IF($O14=$A$181,0,IF($O14=$A$182,0,1)),0)</f>
        <v>0</v>
      </c>
      <c r="CZ14" s="1908">
        <f>IF(AND(O14=$A$182,R14=Calculator!$C$171),1,0)</f>
        <v>0</v>
      </c>
      <c r="DA14" s="1900" t="str">
        <f>IF(BH14&gt;0.04*$BO$2/58,DA$4,"server")</f>
        <v>server</v>
      </c>
      <c r="DB14" s="1480"/>
      <c r="DC14" s="1480"/>
      <c r="DD14" s="1480"/>
      <c r="DE14" s="1480"/>
      <c r="DF14" s="1481"/>
      <c r="DG14" s="550"/>
      <c r="DH14" s="1482">
        <f>IF($BQ14&gt;0, IF(ISTEXT(DH$3), $C14+IF($D14&lt;1000,$D14,$D14/($E14*60)),0),0)</f>
        <v>202.77777777777777</v>
      </c>
      <c r="DI14" s="1483">
        <f>IF(DH14&gt;0,IF(ISTEXT(DH$3),$F14),0)</f>
        <v>1216.6666666666667</v>
      </c>
      <c r="DJ14" s="1484">
        <f>IF(DH14&gt;0,IF(ISTEXT(DH$3),$G14),0)</f>
        <v>40.555555555555557</v>
      </c>
      <c r="DK14" s="1485">
        <f>$BQ14*DI14</f>
        <v>30.769307238272756</v>
      </c>
      <c r="DL14" s="801" t="b">
        <f>ISERROR(MATCH(DN$3,$J14:$O14,0))</f>
        <v>1</v>
      </c>
      <c r="DM14" s="802">
        <f>IF($BR14&gt;0, IF(ISTEXT(DM$3), $C14+IF($D14&lt;1000,$D14,$D14/($E14*60)),0),0)</f>
        <v>0</v>
      </c>
      <c r="DN14" s="802">
        <f>IF(DM14&gt;0,IF(ISTEXT(DM$3),$F14),0)</f>
        <v>0</v>
      </c>
      <c r="DO14" s="539">
        <f>IF(DM14&gt;0,IF(ISTEXT(DM$3),$G14),0)</f>
        <v>0</v>
      </c>
      <c r="DP14" s="698">
        <f>IF($I14=0,0,IF(DM14&gt;0,DO14*$CG14/$I14,0))</f>
        <v>0</v>
      </c>
      <c r="DQ14" s="803">
        <f>$BR14*DN14</f>
        <v>0</v>
      </c>
      <c r="DR14" s="801" t="b">
        <f>ISERROR(MATCH(DT$3,$J14:$O14,0))</f>
        <v>1</v>
      </c>
      <c r="DS14" s="802">
        <f>IF($BS14&gt;0, IF(ISTEXT(DS$3), $C14+IF($D14&lt;1000,$D14,$D14/($E14*60)),0),0)</f>
        <v>0</v>
      </c>
      <c r="DT14" s="802">
        <f>IF(DS14&gt;0,IF(ISTEXT(DS$3),$F14),0)</f>
        <v>0</v>
      </c>
      <c r="DU14" s="539">
        <f>IF(DS14&gt;0,IF(ISTEXT(DS$3),$G14),0)</f>
        <v>0</v>
      </c>
      <c r="DV14" s="698">
        <f>IF($I14=0,0,IF(DS14&gt;0,DU14*$CG14/$I14,0))</f>
        <v>0</v>
      </c>
      <c r="DW14" s="803">
        <f>$BS14*DT14</f>
        <v>0</v>
      </c>
      <c r="DX14" s="801" t="b">
        <f>ISERROR(MATCH(DZ$3,$J14:$O14,0))</f>
        <v>1</v>
      </c>
      <c r="DY14" s="802">
        <f>IF($BT14&gt;0, IF(ISTEXT(DY$3), $C14+IF($D14&lt;1000,$D14,$D14/($E14*60)),0),0)</f>
        <v>0</v>
      </c>
      <c r="DZ14" s="802">
        <f>IF(DY14&gt;0,IF(ISTEXT(DY$3),$F14),0)</f>
        <v>0</v>
      </c>
      <c r="EA14" s="539">
        <f>IF(DY14&gt;0,IF(ISTEXT(DY$3),$G14),0)*IF($DX14=FALSE,IF($DZ$3=$D$180,1,$EA$3),1)</f>
        <v>0</v>
      </c>
      <c r="EB14" s="698">
        <f>IF($I14=0,0,IF(DY14&gt;0,EA14*$CG14/$I14,0))</f>
        <v>0</v>
      </c>
      <c r="EC14" s="803">
        <f>$BT14*DZ14</f>
        <v>0</v>
      </c>
      <c r="ED14" s="801" t="b">
        <f>ISERROR(MATCH(EF$3,$J14:$O14,0))</f>
        <v>1</v>
      </c>
      <c r="EE14" s="802">
        <f>IF($BU14&gt;0, IF(ISTEXT(EE$3), $C14+IF($D14&lt;1000,$D14,$D14/($E14*60)),0),0)</f>
        <v>0</v>
      </c>
      <c r="EF14" s="802">
        <f>IF(EE14&gt;0,IF(ISTEXT(EE$3),$F14),0)</f>
        <v>0</v>
      </c>
      <c r="EG14" s="539">
        <f>IF(EE14&gt;0,IF(ISTEXT(EE$3),$G14),0)</f>
        <v>0</v>
      </c>
      <c r="EH14" s="698">
        <f>IF($I14=0,0,IF(EE14&gt;0,EG14*$CG14/$I14,0))</f>
        <v>0</v>
      </c>
      <c r="EI14" s="803">
        <f>$BU14*EF14</f>
        <v>0</v>
      </c>
      <c r="EJ14" s="801" t="b">
        <f>ISERROR(MATCH(EL$3,$J14:$O14,0))</f>
        <v>1</v>
      </c>
      <c r="EK14" s="1483">
        <f>IF($BV14&gt;0, IF(ISTEXT(EK$3), $C14+IF($D14&lt;1000,$D14,$D14/($E14*60)),0),0)</f>
        <v>0</v>
      </c>
      <c r="EL14" s="1483">
        <f>IF(EK14&gt;0,IF(ISTEXT(EK$3),$F14),0)</f>
        <v>0</v>
      </c>
      <c r="EM14" s="1484">
        <f>IF(EK14&gt;0,IF(ISTEXT(EK$3),$G14),0)</f>
        <v>0</v>
      </c>
      <c r="EN14" s="1486">
        <f>IF($I14=0,0,IF(EK14&gt;0,EM14*$CG14/$I14,0))</f>
        <v>0</v>
      </c>
      <c r="EO14" s="1487">
        <f>$BV14*EL14</f>
        <v>0</v>
      </c>
      <c r="EP14" s="801" t="b">
        <f>ISERROR(MATCH(ER$3,$J14:$O14,0))</f>
        <v>1</v>
      </c>
      <c r="EQ14" s="1488">
        <f>IF($BW14&gt;0, IF(ISTEXT(EQ$3), $C14+IF($D14&lt;1000,$D14,$D14/($E14*60)),0),0)</f>
        <v>0</v>
      </c>
      <c r="ER14" s="1483">
        <f>IF(EQ14&gt;0,IF(ISTEXT(EQ$3),$F14),0)</f>
        <v>0</v>
      </c>
      <c r="ES14" s="1484">
        <f>IF(EQ14&gt;0,IF(ISTEXT(EQ$3),$G14),0)</f>
        <v>0</v>
      </c>
      <c r="ET14" s="1486">
        <f>IF($I14=0,0,IF(EQ14&gt;0,ES14*$CG14/$I14,0))</f>
        <v>0</v>
      </c>
      <c r="EU14" s="1487">
        <f>$BW14*ER14</f>
        <v>0</v>
      </c>
      <c r="EV14" s="801" t="b">
        <f>ISERROR(MATCH(EX$3,$J14:$O14,0))</f>
        <v>1</v>
      </c>
      <c r="EW14" s="1488">
        <f>IF($BX14&gt;0, IF(ISTEXT(EW$3), $C14+IF($D14&lt;1000,$D14,$D14/($E14*60)),0),0)</f>
        <v>0</v>
      </c>
      <c r="EX14" s="1483">
        <f>IF(EW14&gt;0,IF(ISTEXT(EW$3),$F14),0)</f>
        <v>0</v>
      </c>
      <c r="EY14" s="1484">
        <f>IF(EW14&gt;0,IF(ISTEXT(EW$3),$G14),0)</f>
        <v>0</v>
      </c>
      <c r="EZ14" s="1486">
        <f>IF($I14=0,0,IF(EW14&gt;0,EY14*$CG14/$I14,0))</f>
        <v>0</v>
      </c>
      <c r="FA14" s="1487">
        <f>$BX14*EX14</f>
        <v>0</v>
      </c>
      <c r="FB14" s="801" t="b">
        <f>ISERROR(MATCH(FD$3,$J14:$O14,0))</f>
        <v>1</v>
      </c>
      <c r="FC14" s="1488">
        <f>IF($BY14&gt;0, IF(ISTEXT(FC$3), $C14+IF($D14&lt;1000,$D14,$D14/($E14*60)),0),0)</f>
        <v>0</v>
      </c>
      <c r="FD14" s="1483">
        <f>IF(FC14&gt;0,IF(ISTEXT(FC$3),$F14),0)</f>
        <v>0</v>
      </c>
      <c r="FE14" s="1484">
        <f>IF(FC14&gt;0,IF(ISTEXT(FC$3),$G14),0)</f>
        <v>0</v>
      </c>
      <c r="FF14" s="1486">
        <f>IF($I14=0,0,IF(FC14&gt;0,FE14*$CG14/$I14,0))</f>
        <v>0</v>
      </c>
      <c r="FG14" s="1487">
        <f>$BY14*FD14</f>
        <v>0</v>
      </c>
      <c r="FH14" s="801" t="b">
        <f>ISERROR(MATCH(FJ$3,$J14:$O14,0))</f>
        <v>1</v>
      </c>
      <c r="FI14" s="1488">
        <f>IF($BZ14&gt;0, IF(ISTEXT(FI$3), $C14+IF($D14&lt;1000,$D14,$D14/($E14*60)),0),0)</f>
        <v>0</v>
      </c>
      <c r="FJ14" s="1483">
        <f>IF(FI14&gt;0,IF(ISTEXT(FI$3),$F14),0)</f>
        <v>0</v>
      </c>
      <c r="FK14" s="1484">
        <f>IF(FI14&gt;0,IF(ISTEXT(FI$3),$G14),0)</f>
        <v>0</v>
      </c>
      <c r="FL14" s="1486">
        <f>IF($I14=0,0,IF(FI14&gt;0,FK14*$CG14/$I14,0))</f>
        <v>0</v>
      </c>
      <c r="FM14" s="1487">
        <f>$BZ14*FJ14</f>
        <v>0</v>
      </c>
      <c r="FN14" s="801" t="b">
        <f>ISERROR(MATCH(FP$3,$J14:$O14,0))</f>
        <v>1</v>
      </c>
      <c r="FO14" s="1488">
        <f>IF($CA14&gt;0, IF(ISTEXT(FO$3), $C14+IF($D14&lt;1000,$D14,$D14/($E14*60)),0),0)</f>
        <v>0</v>
      </c>
      <c r="FP14" s="1483">
        <f>IF(FO14&gt;0,IF(ISTEXT(FO$3),$F14),0)</f>
        <v>0</v>
      </c>
      <c r="FQ14" s="1484">
        <f>IF(FO14&gt;0,IF(ISTEXT(FO$3),$G14),0)</f>
        <v>0</v>
      </c>
      <c r="FR14" s="1486">
        <f>IF($I14=0,0,IF(FO14&gt;0,FQ14*$CG14/$I14,0))</f>
        <v>0</v>
      </c>
      <c r="FS14" s="1487">
        <f>$CA14*FP14</f>
        <v>0</v>
      </c>
      <c r="FT14" s="801" t="b">
        <f>ISERROR(MATCH(FV$3,$J14:$O14,0))</f>
        <v>1</v>
      </c>
      <c r="FU14" s="1488">
        <f>IF($CB14&gt;0, IF(ISTEXT(FU$3), $C14+IF($D14&lt;1000,$D14,$D14/($E14*60)),0),0)</f>
        <v>0</v>
      </c>
      <c r="FV14" s="1483">
        <f>IF(FU14&gt;0,IF(ISTEXT(FU$3),$F14),0)</f>
        <v>0</v>
      </c>
      <c r="FW14" s="1484">
        <f>IF(FU14&gt;0,IF(ISTEXT(FU$3),$G14),0)</f>
        <v>0</v>
      </c>
      <c r="FX14" s="1486">
        <f>IF($I14=0,0,IF(FU14&gt;0,FW14*$CG14/$I14,0))</f>
        <v>0</v>
      </c>
      <c r="FY14" s="1487">
        <f>$CB14*FV14</f>
        <v>0</v>
      </c>
      <c r="FZ14" s="801" t="b">
        <f>ISERROR(MATCH(GB$3,$J14:$O14,0))</f>
        <v>1</v>
      </c>
      <c r="GA14" s="1488">
        <f>IF($CC14&gt;0, IF(ISTEXT(GA$3), $C14+IF($D14&lt;1000,$D14,$D14/($E14*60)),0),0)</f>
        <v>0</v>
      </c>
      <c r="GB14" s="1483">
        <f>IF(GA14&gt;0,IF(ISTEXT(GA$3),$F14),0)</f>
        <v>0</v>
      </c>
      <c r="GC14" s="1484">
        <f>IF(GA14&gt;0,IF(ISTEXT(GA$3),$G14),0)</f>
        <v>0</v>
      </c>
      <c r="GD14" s="1486">
        <f>IF($I14=0,0,IF(GA14&gt;0,GC14*$CG14/$I14,0))</f>
        <v>0</v>
      </c>
      <c r="GE14" s="1487">
        <f>$CC14*GB14</f>
        <v>0</v>
      </c>
      <c r="GF14" s="801" t="b">
        <f>ISERROR(MATCH(GH$3,$J14:$O14,0))</f>
        <v>1</v>
      </c>
      <c r="GG14" s="1488">
        <f>IF($CD14&gt;0, IF(ISTEXT(GG$3), $C14+IF($D14&lt;1000,$D14,$D14/($E14*60)),0),0)</f>
        <v>202.77777777777777</v>
      </c>
      <c r="GH14" s="1483">
        <f>IF(GG14&gt;0,IF(ISTEXT(GG$3),$F14),0)</f>
        <v>1216.6666666666667</v>
      </c>
      <c r="GI14" s="1484">
        <f>IF(GG14&gt;0,IF(ISTEXT(GG$3),$G14),0)</f>
        <v>40.555555555555557</v>
      </c>
      <c r="GJ14" s="1486">
        <f>IF($I14=0,0,IF(GG14&gt;0,GI14*$CG14/$I14,0))</f>
        <v>202.77777777777777</v>
      </c>
      <c r="GK14" s="1487">
        <f>$CD14*GH14</f>
        <v>10.000024852438647</v>
      </c>
      <c r="GL14" s="801" t="b">
        <f>ISERROR(MATCH(GN$3,$J14:$O14,0))</f>
        <v>1</v>
      </c>
      <c r="GM14" s="1488">
        <f>IF($CE14&gt;0, IF(ISTEXT(GM$3), $C14+IF($D14&lt;1000,$D14,$D14/($E14*60)),0),0)</f>
        <v>202.77777777777777</v>
      </c>
      <c r="GN14" s="1483">
        <f>IF(GM14&gt;0,IF(ISTEXT(GM$3),$F14),0)</f>
        <v>1216.6666666666667</v>
      </c>
      <c r="GO14" s="1484">
        <f>IF(GM14&gt;0,IF(ISTEXT(GM$3),$G14),0)</f>
        <v>40.555555555555557</v>
      </c>
      <c r="GP14" s="1486">
        <f>IF($I14=0,0,IF(GM14&gt;0,GO14*$CG14/$I14,0))</f>
        <v>202.77777777777777</v>
      </c>
      <c r="GQ14" s="1487">
        <f>$CE14*GN14</f>
        <v>225.00055917986958</v>
      </c>
      <c r="GR14" s="801" t="b">
        <f>ISERROR(MATCH(GT$3,$J14:$O14,0))</f>
        <v>1</v>
      </c>
      <c r="GS14" s="1488">
        <f>IF($CF14&gt;0, IF(ISTEXT(GS$3), $C14+IF($D14&lt;1000,$D14,$D14/($E14*60)),0),0)</f>
        <v>202.77777777777777</v>
      </c>
      <c r="GT14" s="1483">
        <f>IF(GS14&gt;0,IF(ISTEXT(GS$3),$F14),0)</f>
        <v>1216.6666666666667</v>
      </c>
      <c r="GU14" s="1484">
        <f>IF(I14=0,0,IF(GS14&gt;0,IF(ISTEXT(GS$3),$G14),0)*$CG14/$I14)</f>
        <v>202.77777777777777</v>
      </c>
      <c r="GV14" s="1484"/>
      <c r="GW14" s="1487">
        <f>$CF14*GT14</f>
        <v>25.00006213109662</v>
      </c>
      <c r="GX14" s="1489">
        <f>IF(ISERROR(FIND("File",$R14)),0,F14*$BN14*VLOOKUP(R14,DataArray,4,FALSE))/60</f>
        <v>0</v>
      </c>
      <c r="GY14" s="551" t="b">
        <f>ISERROR(OR(FIND("F",$R14)))</f>
        <v>1</v>
      </c>
      <c r="GZ14" s="2471" t="b">
        <f>ISERROR(OR(FIND("Image",$R14)))</f>
        <v>1</v>
      </c>
      <c r="HA14" s="2476"/>
      <c r="HB14" s="2866"/>
      <c r="HC14" s="2866"/>
    </row>
    <row r="15" spans="1:211" ht="15" customHeight="1" x14ac:dyDescent="0.15">
      <c r="A15" s="896" t="str">
        <f>CT15</f>
        <v/>
      </c>
      <c r="B15" s="201" t="str">
        <f>IF(CK16&gt;0,CONCATENATE("R",CJ16,"_Remote Site ",CJ16),"")</f>
        <v/>
      </c>
      <c r="C15" s="185"/>
      <c r="D15" s="185"/>
      <c r="E15" s="372">
        <f ca="1">SUM(C15:OFFSET(C15,MATCH(BG15,OFFSET(BG15,1,0):BG$15,0)-1,0))</f>
        <v>0</v>
      </c>
      <c r="F15" s="373">
        <f ca="1">SUM(G15:OFFSET(G15,MATCH(BG15,OFFSET(BG15,1,0):BG$15,0)-1,0))</f>
        <v>0</v>
      </c>
      <c r="G15" s="897"/>
      <c r="H15" s="2479">
        <v>1.5</v>
      </c>
      <c r="I15" s="189">
        <f ca="1">IF(H15&gt;0,CR15,0)</f>
        <v>0</v>
      </c>
      <c r="J15" s="1501"/>
      <c r="K15" s="1502"/>
      <c r="L15" s="1502"/>
      <c r="M15" s="1502"/>
      <c r="N15" s="1502"/>
      <c r="O15" s="1502"/>
      <c r="P15" s="1502"/>
      <c r="Q15" s="1502"/>
      <c r="R15" s="1503"/>
      <c r="S15" s="2480">
        <v>0</v>
      </c>
      <c r="T15" s="168"/>
      <c r="U15" s="169"/>
      <c r="V15" s="760"/>
      <c r="W15" s="2679"/>
      <c r="X15" s="2734">
        <f>DJ15</f>
        <v>0</v>
      </c>
      <c r="Y15" s="2754"/>
      <c r="Z15" s="2755"/>
      <c r="AA15" s="2754"/>
      <c r="AB15" s="2755"/>
      <c r="AC15" s="2754"/>
      <c r="AD15" s="2756"/>
      <c r="AE15" s="2754"/>
      <c r="AF15" s="2755"/>
      <c r="AG15" s="2754"/>
      <c r="AH15" s="2755"/>
      <c r="AI15" s="2754"/>
      <c r="AJ15" s="2755"/>
      <c r="AK15" s="2754"/>
      <c r="AL15" s="2755"/>
      <c r="AM15" s="2754"/>
      <c r="AN15" s="2755"/>
      <c r="AO15" s="2754"/>
      <c r="AP15" s="2755"/>
      <c r="AQ15" s="2754"/>
      <c r="AR15" s="2755"/>
      <c r="AS15" s="2754"/>
      <c r="AT15" s="2755"/>
      <c r="AU15" s="2754"/>
      <c r="AV15" s="2755"/>
      <c r="AW15" s="2754"/>
      <c r="AX15" s="2755"/>
      <c r="AY15" s="2754"/>
      <c r="AZ15" s="2755"/>
      <c r="BA15" s="2754"/>
      <c r="BB15" s="2755"/>
      <c r="BC15" s="2762"/>
      <c r="BD15" s="2763"/>
      <c r="BE15" s="2478"/>
      <c r="BF15" s="2478"/>
      <c r="BG15" s="2737" t="s">
        <v>1179</v>
      </c>
      <c r="BH15" s="1505"/>
      <c r="BI15" s="1505"/>
      <c r="BJ15" s="1505"/>
      <c r="BK15" s="1505"/>
      <c r="BL15" s="1505"/>
      <c r="BM15" s="1505"/>
      <c r="BN15" s="1505"/>
      <c r="BO15" s="1505"/>
      <c r="BP15" s="1506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1507">
        <f ca="1">200+COUNTBLANK($CJ$5:$CJ15)</f>
        <v>201</v>
      </c>
      <c r="CI15" s="1508">
        <f>H15</f>
        <v>1.5</v>
      </c>
      <c r="CJ15" s="1502"/>
      <c r="CK15" s="952"/>
      <c r="CL15" s="61">
        <f ca="1">+CR15</f>
        <v>0</v>
      </c>
      <c r="CM15" s="1509">
        <f>S15</f>
        <v>0</v>
      </c>
      <c r="CN15" s="62"/>
      <c r="CO15" s="62"/>
      <c r="CP15" s="1510" t="s">
        <v>117</v>
      </c>
      <c r="CQ15" s="1504">
        <f>AC15</f>
        <v>0</v>
      </c>
      <c r="CR15" s="768">
        <f ca="1">IF($H15&gt;0,$F15/$H15,0)</f>
        <v>0</v>
      </c>
      <c r="CS15" s="1511"/>
      <c r="CT15" s="1512" t="str">
        <f t="shared" si="1"/>
        <v/>
      </c>
      <c r="CU15" s="1512">
        <f>IF(ISERROR(FIND("_",CW15)),CW15,LEFT(CW15,FIND("_",CW15)-1))</f>
        <v>0</v>
      </c>
      <c r="CV15" s="1513">
        <f>H15</f>
        <v>1.5</v>
      </c>
      <c r="CW15" s="1902"/>
      <c r="CX15" s="1512"/>
      <c r="CY15" s="1897"/>
      <c r="CZ15" s="1513"/>
      <c r="DA15" s="1902"/>
      <c r="DB15" s="935"/>
      <c r="DC15" s="935"/>
      <c r="DD15" s="935"/>
      <c r="DE15" s="935"/>
      <c r="DF15" s="936"/>
      <c r="DG15" s="5"/>
      <c r="DH15" s="1514"/>
      <c r="DI15" s="1515"/>
      <c r="DJ15" s="1516"/>
      <c r="DK15" s="1517"/>
      <c r="DL15" s="804"/>
      <c r="DM15" s="805"/>
      <c r="DN15" s="805"/>
      <c r="DO15" s="28"/>
      <c r="DP15" s="28"/>
      <c r="DQ15" s="806"/>
      <c r="DR15" s="804"/>
      <c r="DS15" s="805"/>
      <c r="DT15" s="805"/>
      <c r="DU15" s="28"/>
      <c r="DV15" s="28"/>
      <c r="DW15" s="806"/>
      <c r="DX15" s="804"/>
      <c r="DY15" s="805"/>
      <c r="DZ15" s="805"/>
      <c r="EA15" s="28"/>
      <c r="EB15" s="28"/>
      <c r="EC15" s="806"/>
      <c r="ED15" s="804"/>
      <c r="EE15" s="805"/>
      <c r="EF15" s="805"/>
      <c r="EG15" s="28"/>
      <c r="EH15" s="28"/>
      <c r="EI15" s="806"/>
      <c r="EJ15" s="804"/>
      <c r="EK15" s="1515"/>
      <c r="EL15" s="1515"/>
      <c r="EM15" s="1516"/>
      <c r="EN15" s="1516"/>
      <c r="EO15" s="1515"/>
      <c r="EP15" s="804"/>
      <c r="EQ15" s="1518"/>
      <c r="ER15" s="1515"/>
      <c r="ES15" s="1516"/>
      <c r="ET15" s="1516"/>
      <c r="EU15" s="1515"/>
      <c r="EV15" s="804"/>
      <c r="EW15" s="1518"/>
      <c r="EX15" s="1515"/>
      <c r="EY15" s="1516"/>
      <c r="EZ15" s="1516"/>
      <c r="FA15" s="1519"/>
      <c r="FB15" s="804"/>
      <c r="FC15" s="1518"/>
      <c r="FD15" s="1515"/>
      <c r="FE15" s="1516"/>
      <c r="FF15" s="1516"/>
      <c r="FG15" s="1519"/>
      <c r="FH15" s="804"/>
      <c r="FI15" s="1518"/>
      <c r="FJ15" s="1515"/>
      <c r="FK15" s="1516"/>
      <c r="FL15" s="1516"/>
      <c r="FM15" s="1519"/>
      <c r="FN15" s="804"/>
      <c r="FO15" s="1518"/>
      <c r="FP15" s="1515"/>
      <c r="FQ15" s="1516"/>
      <c r="FR15" s="1516"/>
      <c r="FS15" s="1519"/>
      <c r="FT15" s="804"/>
      <c r="FU15" s="1518"/>
      <c r="FV15" s="1515"/>
      <c r="FW15" s="1516"/>
      <c r="FX15" s="1516"/>
      <c r="FY15" s="1519"/>
      <c r="FZ15" s="804"/>
      <c r="GA15" s="1518"/>
      <c r="GB15" s="1515"/>
      <c r="GC15" s="1516"/>
      <c r="GD15" s="1516"/>
      <c r="GE15" s="1519"/>
      <c r="GF15" s="804"/>
      <c r="GG15" s="1518"/>
      <c r="GH15" s="1520"/>
      <c r="GI15" s="1516"/>
      <c r="GJ15" s="1516"/>
      <c r="GK15" s="1519"/>
      <c r="GL15" s="804"/>
      <c r="GM15" s="1518"/>
      <c r="GN15" s="1520"/>
      <c r="GO15" s="1516"/>
      <c r="GP15" s="1516"/>
      <c r="GQ15" s="1519"/>
      <c r="GR15" s="804"/>
      <c r="GS15" s="1518"/>
      <c r="GT15" s="1515"/>
      <c r="GU15" s="1516"/>
      <c r="GV15" s="1516"/>
      <c r="GW15" s="1519"/>
      <c r="GX15" s="1521"/>
      <c r="GY15" s="1522"/>
      <c r="GZ15" s="2472"/>
      <c r="HA15" s="2478">
        <f>H15</f>
        <v>1.5</v>
      </c>
      <c r="HB15" s="2869">
        <f>12*LN(H15)^2+20</f>
        <v>21.972823446717985</v>
      </c>
      <c r="HC15" s="2869">
        <f>12*LN(H15)^2+20</f>
        <v>21.972823446717985</v>
      </c>
    </row>
    <row r="16" spans="1:211" ht="15" customHeight="1" x14ac:dyDescent="0.15">
      <c r="A16" s="3117" t="s">
        <v>1735</v>
      </c>
      <c r="B16" s="898" t="s">
        <v>11</v>
      </c>
      <c r="C16" s="899">
        <f>SUM(C5:C15)</f>
        <v>168</v>
      </c>
      <c r="D16" s="900">
        <f>SUM(D5:D15)</f>
        <v>73000</v>
      </c>
      <c r="E16" s="198"/>
      <c r="F16" s="1523"/>
      <c r="G16" s="2965" t="s">
        <v>1582</v>
      </c>
      <c r="H16" s="2995">
        <f>I127</f>
        <v>2892.7738931341055</v>
      </c>
      <c r="I16" s="199"/>
      <c r="J16" s="200"/>
      <c r="K16" s="198"/>
      <c r="L16" s="198"/>
      <c r="M16" s="198"/>
      <c r="N16" s="198"/>
      <c r="O16" s="198"/>
      <c r="P16" s="198"/>
      <c r="Q16" s="198"/>
      <c r="R16" s="199"/>
      <c r="S16" s="1524"/>
      <c r="T16" s="2803" t="s">
        <v>117</v>
      </c>
      <c r="U16" s="2804" t="s">
        <v>117</v>
      </c>
      <c r="V16" s="761"/>
      <c r="W16" s="2680"/>
      <c r="X16" s="2735"/>
      <c r="Y16" s="1421"/>
      <c r="Z16" s="2743"/>
      <c r="AA16" s="2743"/>
      <c r="AB16" s="2744"/>
      <c r="AC16" s="2745"/>
      <c r="AD16" s="2746"/>
      <c r="AE16" s="2747"/>
      <c r="AF16" s="2746"/>
      <c r="AG16" s="2747"/>
      <c r="AH16" s="2746"/>
      <c r="AI16" s="2747"/>
      <c r="AJ16" s="2746"/>
      <c r="AK16" s="2747"/>
      <c r="AL16" s="2746"/>
      <c r="AM16" s="2747"/>
      <c r="AN16" s="2746"/>
      <c r="AO16" s="2747"/>
      <c r="AP16" s="2746"/>
      <c r="AQ16" s="2747"/>
      <c r="AR16" s="2746"/>
      <c r="AS16" s="2747"/>
      <c r="AT16" s="2746"/>
      <c r="AU16" s="2747"/>
      <c r="AV16" s="2746"/>
      <c r="AW16" s="2747"/>
      <c r="AX16" s="2746"/>
      <c r="AY16" s="2747"/>
      <c r="AZ16" s="2746"/>
      <c r="BA16" s="2747"/>
      <c r="BB16" s="2747"/>
      <c r="BC16" s="2747"/>
      <c r="BD16" s="2746"/>
      <c r="BE16" s="2747"/>
      <c r="BF16" s="2746"/>
      <c r="BG16" s="1099" t="s">
        <v>308</v>
      </c>
      <c r="BH16" s="1525"/>
      <c r="BI16" s="1525"/>
      <c r="BJ16" s="1525"/>
      <c r="BK16" s="1525"/>
      <c r="BL16" s="1525"/>
      <c r="BM16" s="1525"/>
      <c r="BN16" s="1525"/>
      <c r="BO16" s="1525"/>
      <c r="BP16" s="1526"/>
      <c r="BQ16" s="905"/>
      <c r="BR16" s="905"/>
      <c r="BS16" s="905"/>
      <c r="BT16" s="905"/>
      <c r="BU16" s="905"/>
      <c r="BV16" s="905"/>
      <c r="BW16" s="905"/>
      <c r="BX16" s="905"/>
      <c r="BY16" s="905"/>
      <c r="BZ16" s="905"/>
      <c r="CA16" s="905"/>
      <c r="CB16" s="905"/>
      <c r="CC16" s="905"/>
      <c r="CD16" s="905"/>
      <c r="CE16" s="905"/>
      <c r="CF16" s="905"/>
      <c r="CG16" s="905"/>
      <c r="CH16" s="906"/>
      <c r="CI16" s="1527"/>
      <c r="CJ16" s="1528"/>
      <c r="CK16" s="1525"/>
      <c r="CL16" s="1528"/>
      <c r="CM16" s="755"/>
      <c r="CN16" s="1528"/>
      <c r="CO16" s="202"/>
      <c r="CP16" s="202"/>
      <c r="CQ16" s="1528"/>
      <c r="CR16" s="1529"/>
      <c r="CS16" s="1530"/>
      <c r="CT16" s="1530"/>
      <c r="CU16" s="1530"/>
      <c r="CV16" s="1531"/>
      <c r="CW16" s="1903"/>
      <c r="CX16" s="1530"/>
      <c r="CY16" s="1898"/>
      <c r="CZ16" s="1531"/>
      <c r="DA16" s="1903"/>
      <c r="DB16" s="935"/>
      <c r="DC16" s="935"/>
      <c r="DD16" s="935"/>
      <c r="DE16" s="935"/>
      <c r="DF16" s="936"/>
      <c r="DG16" s="5"/>
      <c r="DH16" s="788"/>
      <c r="DI16" s="1532"/>
      <c r="DJ16" s="1426"/>
      <c r="DK16" s="1533"/>
      <c r="DL16" s="807"/>
      <c r="DM16" s="808"/>
      <c r="DN16" s="808"/>
      <c r="DO16" s="809"/>
      <c r="DP16" s="809"/>
      <c r="DQ16" s="810"/>
      <c r="DR16" s="807"/>
      <c r="DS16" s="808"/>
      <c r="DT16" s="808"/>
      <c r="DU16" s="809"/>
      <c r="DV16" s="809"/>
      <c r="DW16" s="810"/>
      <c r="DX16" s="807"/>
      <c r="DY16" s="808"/>
      <c r="DZ16" s="808"/>
      <c r="EA16" s="809"/>
      <c r="EB16" s="809"/>
      <c r="EC16" s="810"/>
      <c r="ED16" s="807"/>
      <c r="EE16" s="808"/>
      <c r="EF16" s="808"/>
      <c r="EG16" s="809"/>
      <c r="EH16" s="809"/>
      <c r="EI16" s="810"/>
      <c r="EJ16" s="807"/>
      <c r="EK16" s="1532"/>
      <c r="EL16" s="1532"/>
      <c r="EM16" s="1426"/>
      <c r="EN16" s="1426"/>
      <c r="EO16" s="1532"/>
      <c r="EP16" s="807"/>
      <c r="EQ16" s="1534"/>
      <c r="ER16" s="1532"/>
      <c r="ES16" s="1426"/>
      <c r="ET16" s="1426"/>
      <c r="EU16" s="1532"/>
      <c r="EV16" s="807"/>
      <c r="EW16" s="1534"/>
      <c r="EX16" s="1532"/>
      <c r="EY16" s="1426"/>
      <c r="EZ16" s="1426"/>
      <c r="FA16" s="1535"/>
      <c r="FB16" s="807"/>
      <c r="FC16" s="1534"/>
      <c r="FD16" s="1532"/>
      <c r="FE16" s="1426"/>
      <c r="FF16" s="1426"/>
      <c r="FG16" s="1535"/>
      <c r="FH16" s="807"/>
      <c r="FI16" s="1534"/>
      <c r="FJ16" s="1532"/>
      <c r="FK16" s="1426"/>
      <c r="FL16" s="1426"/>
      <c r="FM16" s="1535"/>
      <c r="FN16" s="807"/>
      <c r="FO16" s="1534"/>
      <c r="FP16" s="1532"/>
      <c r="FQ16" s="1426"/>
      <c r="FR16" s="1426"/>
      <c r="FS16" s="1535"/>
      <c r="FT16" s="807"/>
      <c r="FU16" s="1534"/>
      <c r="FV16" s="1532"/>
      <c r="FW16" s="1426"/>
      <c r="FX16" s="1426"/>
      <c r="FY16" s="1535"/>
      <c r="FZ16" s="807"/>
      <c r="GA16" s="1534"/>
      <c r="GB16" s="1532"/>
      <c r="GC16" s="1426"/>
      <c r="GD16" s="1426"/>
      <c r="GE16" s="1535"/>
      <c r="GF16" s="807"/>
      <c r="GG16" s="1534"/>
      <c r="GH16" s="1536"/>
      <c r="GI16" s="1426"/>
      <c r="GJ16" s="1426"/>
      <c r="GK16" s="1535"/>
      <c r="GL16" s="807"/>
      <c r="GM16" s="1534"/>
      <c r="GN16" s="1536"/>
      <c r="GO16" s="1426"/>
      <c r="GP16" s="1426"/>
      <c r="GQ16" s="1535"/>
      <c r="GR16" s="807"/>
      <c r="GS16" s="1534"/>
      <c r="GT16" s="1532"/>
      <c r="GU16" s="1426"/>
      <c r="GV16" s="1426"/>
      <c r="GW16" s="1535"/>
      <c r="GX16" s="1537"/>
      <c r="GY16" s="1538"/>
      <c r="GZ16" s="1539"/>
      <c r="HA16" s="2483" t="s">
        <v>410</v>
      </c>
      <c r="HB16" s="2864"/>
    </row>
    <row r="17" spans="1:210" s="1554" customFormat="1" x14ac:dyDescent="0.15">
      <c r="A17" s="1540"/>
      <c r="B17" s="1541" t="s">
        <v>227</v>
      </c>
      <c r="C17" s="1541"/>
      <c r="D17" s="1541"/>
      <c r="E17" s="1541"/>
      <c r="F17" s="1541"/>
      <c r="G17" s="1542">
        <v>1</v>
      </c>
      <c r="H17" s="1543"/>
      <c r="I17" s="1544"/>
      <c r="J17" s="1540"/>
      <c r="K17" s="1540" t="b">
        <f>K9=0</f>
        <v>1</v>
      </c>
      <c r="L17" s="1540"/>
      <c r="M17" s="1540"/>
      <c r="N17" s="1540"/>
      <c r="O17" s="1540"/>
      <c r="P17" s="1540"/>
      <c r="Q17" s="1540"/>
      <c r="R17" s="1540"/>
      <c r="S17" s="1545"/>
      <c r="T17" s="1540"/>
      <c r="U17" s="1540"/>
      <c r="V17" s="1540"/>
      <c r="W17" s="1540"/>
      <c r="X17" s="1540"/>
      <c r="Y17" s="1540"/>
      <c r="Z17" s="1540"/>
      <c r="AA17" s="1540"/>
      <c r="AB17" s="1540"/>
      <c r="AC17" s="1540"/>
      <c r="AD17" s="1540"/>
      <c r="AE17" s="1540"/>
      <c r="AF17" s="1540"/>
      <c r="AG17" s="1540"/>
      <c r="AH17" s="1540"/>
      <c r="AI17" s="1540"/>
      <c r="AJ17" s="1540"/>
      <c r="AK17" s="1540"/>
      <c r="AL17" s="1540"/>
      <c r="AM17" s="1540"/>
      <c r="AN17" s="1540"/>
      <c r="AO17" s="1540"/>
      <c r="AP17" s="1540"/>
      <c r="AQ17" s="1540"/>
      <c r="AR17" s="1540"/>
      <c r="AS17" s="1540"/>
      <c r="AT17" s="1540"/>
      <c r="AU17" s="1540"/>
      <c r="AV17" s="1540"/>
      <c r="AW17" s="1540"/>
      <c r="AX17" s="1540"/>
      <c r="AY17" s="1540"/>
      <c r="AZ17" s="1540"/>
      <c r="BA17" s="1540"/>
      <c r="BB17" s="1540"/>
      <c r="BC17" s="1540"/>
      <c r="BD17" s="1540"/>
      <c r="BE17" s="1540"/>
      <c r="BF17" s="1540"/>
      <c r="BG17" s="1540"/>
      <c r="BH17" s="1540"/>
      <c r="BI17" s="1540"/>
      <c r="BJ17" s="1540"/>
      <c r="BK17" s="1540"/>
      <c r="BL17" s="1540"/>
      <c r="BM17" s="1540"/>
      <c r="BN17" s="1540"/>
      <c r="BO17" s="1540"/>
      <c r="BP17" s="1540"/>
      <c r="BQ17" s="1540"/>
      <c r="BR17" s="1540"/>
      <c r="BS17" s="1540"/>
      <c r="BT17" s="1540"/>
      <c r="BU17" s="1540"/>
      <c r="BV17" s="1540"/>
      <c r="BW17" s="1540"/>
      <c r="BX17" s="1540"/>
      <c r="BY17" s="1540"/>
      <c r="BZ17" s="1540"/>
      <c r="CA17" s="1540"/>
      <c r="CB17" s="1540"/>
      <c r="CC17" s="1540"/>
      <c r="CD17" s="1540"/>
      <c r="CE17" s="1540"/>
      <c r="CF17" s="1540"/>
      <c r="CG17" s="951">
        <f ca="1">CI17+10</f>
        <v>14</v>
      </c>
      <c r="CH17" s="951">
        <f ca="1">COUNTBLANK($CH$5:$CH17)</f>
        <v>1</v>
      </c>
      <c r="CI17" s="951">
        <f ca="1">COUNTBLANK($CI$5:$CI17)</f>
        <v>4</v>
      </c>
      <c r="CJ17" s="951">
        <f ca="1">COUNTBLANK($CI$5:$CI17)</f>
        <v>4</v>
      </c>
      <c r="CK17" s="951">
        <f ca="1">COUNTBLANK($CI$5:$CI17)</f>
        <v>4</v>
      </c>
      <c r="CL17" s="1540"/>
      <c r="CM17" s="1540"/>
      <c r="CN17" s="1540"/>
      <c r="CO17" s="1540"/>
      <c r="CP17" s="1540"/>
      <c r="CQ17" s="1540"/>
      <c r="CR17" s="1540"/>
      <c r="CS17" s="1540"/>
      <c r="CT17" s="1540"/>
      <c r="CU17" s="1540"/>
      <c r="CV17" s="1540"/>
      <c r="CW17" s="1540"/>
      <c r="CX17" s="1540"/>
      <c r="CY17" s="1540"/>
      <c r="CZ17" s="1540"/>
      <c r="DA17" s="1546"/>
      <c r="DB17" s="1546"/>
      <c r="DC17" s="1546"/>
      <c r="DD17" s="1546"/>
      <c r="DE17" s="1546"/>
      <c r="DF17" s="1415"/>
      <c r="DG17" s="1415"/>
      <c r="DH17" s="1547"/>
      <c r="DI17" s="1548"/>
      <c r="DJ17" s="1548"/>
      <c r="DK17" s="1548"/>
      <c r="DL17" s="1548"/>
      <c r="DM17" s="1549"/>
      <c r="DN17" s="1550"/>
      <c r="DO17" s="1550"/>
      <c r="DP17" s="1550"/>
      <c r="DQ17" s="1550"/>
      <c r="DR17" s="1548"/>
      <c r="DS17" s="1548"/>
      <c r="DT17" s="1548"/>
      <c r="DU17" s="1551"/>
      <c r="DV17" s="1551"/>
      <c r="DW17" s="1552"/>
      <c r="DX17" s="1548"/>
      <c r="DY17" s="1548"/>
      <c r="DZ17" s="1551"/>
      <c r="EA17" s="1551"/>
      <c r="EB17" s="1552"/>
      <c r="EC17" s="1548"/>
      <c r="ED17" s="1548"/>
      <c r="EE17" s="1551"/>
      <c r="EF17" s="1551"/>
      <c r="EG17" s="1552"/>
      <c r="EH17" s="1548"/>
      <c r="EI17" s="1548"/>
      <c r="EJ17" s="1548"/>
      <c r="EK17" s="1551"/>
      <c r="EL17" s="1551"/>
      <c r="EM17" s="1552"/>
      <c r="EN17" s="1548"/>
      <c r="EO17" s="1548"/>
      <c r="EP17" s="1548"/>
      <c r="EQ17" s="1551"/>
      <c r="ER17" s="1551"/>
      <c r="ES17" s="1552"/>
      <c r="ET17" s="1548"/>
      <c r="EU17" s="1548"/>
      <c r="EV17" s="1548"/>
      <c r="EW17" s="1551"/>
      <c r="EX17" s="1551"/>
      <c r="EY17" s="1552"/>
      <c r="EZ17" s="1548"/>
      <c r="FA17" s="1548"/>
      <c r="FB17" s="1548"/>
      <c r="FC17" s="1551"/>
      <c r="FD17" s="1551"/>
      <c r="FE17" s="1552"/>
      <c r="FF17" s="1548"/>
      <c r="FG17" s="1548"/>
      <c r="FH17" s="1548"/>
      <c r="FI17" s="1551"/>
      <c r="FJ17" s="1551"/>
      <c r="FK17" s="1552"/>
      <c r="FL17" s="1548"/>
      <c r="FM17" s="1548"/>
      <c r="FN17" s="1548"/>
      <c r="FO17" s="1551"/>
      <c r="FP17" s="1551"/>
      <c r="FQ17" s="1552"/>
      <c r="FR17" s="1548"/>
      <c r="FS17" s="1548"/>
      <c r="FT17" s="1548"/>
      <c r="FU17" s="1551"/>
      <c r="FV17" s="1551"/>
      <c r="FW17" s="1552"/>
      <c r="FX17" s="1548"/>
      <c r="FY17" s="1548"/>
      <c r="FZ17" s="1548"/>
      <c r="GA17" s="1551"/>
      <c r="GB17" s="1551"/>
      <c r="GC17" s="1552"/>
      <c r="GD17" s="1548"/>
      <c r="GE17" s="1548"/>
      <c r="GF17" s="1548"/>
      <c r="GG17" s="1551"/>
      <c r="GH17" s="1551"/>
      <c r="GI17" s="1550"/>
      <c r="GJ17" s="1552"/>
      <c r="GK17" s="1548"/>
      <c r="GL17" s="1548"/>
      <c r="GM17" s="1551"/>
      <c r="GN17" s="1551"/>
      <c r="GO17" s="1550"/>
      <c r="GP17" s="1552"/>
      <c r="GQ17" s="1548"/>
      <c r="GR17" s="1548"/>
      <c r="GS17" s="1551"/>
      <c r="GT17" s="1552"/>
      <c r="GU17" s="1552"/>
      <c r="GV17" s="1550"/>
      <c r="GW17" s="1550"/>
      <c r="GX17" s="1548"/>
      <c r="GY17" s="1548"/>
      <c r="GZ17" s="1553"/>
      <c r="HA17" s="1834">
        <v>10000</v>
      </c>
      <c r="HB17" s="2870"/>
    </row>
    <row r="18" spans="1:210" ht="15" customHeight="1" x14ac:dyDescent="0.15">
      <c r="A18" s="2836" t="s">
        <v>303</v>
      </c>
      <c r="B18" s="895" t="s">
        <v>1419</v>
      </c>
      <c r="C18" s="2830" t="str">
        <f>VLOOKUP(B18,Hardware!$A$2:$I$632,9,FALSE)</f>
        <v>Intel</v>
      </c>
      <c r="D18" s="2831">
        <f>VLOOKUP(B18,Hardware!$A$2:$I$632,3,FALSE)</f>
        <v>4</v>
      </c>
      <c r="E18" s="2832"/>
      <c r="F18" s="2833">
        <f>VLOOKUP(B18,Hardware!$A$2:$I$632,6,FALSE)</f>
        <v>247</v>
      </c>
      <c r="G18" s="2834">
        <f>VLOOKUP(B18,Hardware!$A$2:$I$632,7,FALSE)</f>
        <v>61.75</v>
      </c>
      <c r="H18" s="2835"/>
      <c r="I18" s="2485" t="s">
        <v>965</v>
      </c>
      <c r="J18" s="2486"/>
      <c r="K18" s="1555"/>
      <c r="L18" s="1555"/>
      <c r="M18" s="1555"/>
      <c r="N18" s="3225"/>
      <c r="O18" s="3225"/>
      <c r="P18" s="937" t="s">
        <v>16</v>
      </c>
      <c r="Q18" s="937" t="s">
        <v>728</v>
      </c>
      <c r="R18" s="1555"/>
      <c r="S18" s="1129"/>
      <c r="T18" s="1556"/>
      <c r="U18" s="1555"/>
      <c r="V18" s="1558"/>
      <c r="W18" s="1555"/>
      <c r="X18" s="1557"/>
      <c r="Y18" s="1557"/>
      <c r="Z18" s="1557"/>
      <c r="AA18" s="1556"/>
      <c r="AB18" s="1557"/>
      <c r="AC18" s="1557"/>
      <c r="AD18" s="1556"/>
      <c r="AE18" s="1556"/>
      <c r="AF18" s="2977" t="s">
        <v>1563</v>
      </c>
      <c r="AG18" s="1557"/>
      <c r="AH18" s="1557"/>
      <c r="AI18" s="1557"/>
      <c r="AJ18" s="1557"/>
      <c r="AK18" s="1557"/>
      <c r="AL18" s="1557"/>
      <c r="AM18" s="1557"/>
      <c r="AN18" s="1557"/>
      <c r="AO18" s="1557"/>
      <c r="AP18" s="1557"/>
      <c r="AQ18" s="1557"/>
      <c r="AR18" s="1557"/>
      <c r="AS18" s="1557"/>
      <c r="AT18" s="1557"/>
      <c r="AU18" s="1557"/>
      <c r="AV18" s="1557"/>
      <c r="AW18" s="1557"/>
      <c r="AX18" s="1557"/>
      <c r="AY18" s="1557"/>
      <c r="AZ18" s="1557"/>
      <c r="BA18" s="1557"/>
      <c r="BB18" s="3196" t="s">
        <v>1450</v>
      </c>
      <c r="BC18" s="3195">
        <f>VLOOKUP(BC19,WFbaseline,6,FALSE)</f>
        <v>1.4875675675675677E-2</v>
      </c>
      <c r="BD18" s="1557"/>
      <c r="BE18" s="1557"/>
      <c r="BF18" s="1559"/>
      <c r="BG18" s="1555"/>
      <c r="BH18" s="1555"/>
      <c r="BI18" s="1555"/>
      <c r="BJ18" s="1555"/>
      <c r="BK18" s="1555"/>
      <c r="BL18" s="1555"/>
      <c r="BM18" s="1555"/>
      <c r="BN18" s="1555"/>
      <c r="BO18" s="1555"/>
      <c r="BP18" s="1556"/>
      <c r="BQ18" s="1557"/>
      <c r="BR18" s="1557"/>
      <c r="BS18" s="1557"/>
      <c r="BT18" s="1557"/>
      <c r="BU18" s="1557"/>
      <c r="BV18" s="1557"/>
      <c r="BW18" s="1557"/>
      <c r="BX18" s="1557"/>
      <c r="BY18" s="1557"/>
      <c r="BZ18" s="1557"/>
      <c r="CA18" s="1557"/>
      <c r="CB18" s="1557"/>
      <c r="CC18" s="1557"/>
      <c r="CD18" s="1557"/>
      <c r="CE18" s="1557"/>
      <c r="CF18" s="1706"/>
      <c r="CG18" s="1555"/>
      <c r="CH18" s="1555"/>
      <c r="CI18" s="1557">
        <f>SUM(AA5:AA15)</f>
        <v>0.58860066740823147</v>
      </c>
      <c r="CJ18" s="1557">
        <f>SUM(Z5:Z15)</f>
        <v>4.0061526590678916E-2</v>
      </c>
      <c r="CK18" s="1557">
        <f>SUM(Y5:Y15)</f>
        <v>0.19284637251266845</v>
      </c>
      <c r="CL18" s="1557"/>
      <c r="CM18" s="1557"/>
      <c r="CN18" s="1559"/>
      <c r="CO18" s="1559"/>
      <c r="CP18" s="1557"/>
      <c r="CQ18" s="1557"/>
      <c r="CR18" s="1557"/>
      <c r="CS18" s="1557"/>
      <c r="CT18" s="1557"/>
      <c r="CU18" s="1557"/>
      <c r="CV18" s="1557"/>
      <c r="CW18" s="1560"/>
      <c r="CX18" s="1560"/>
      <c r="CY18" s="1560"/>
      <c r="CZ18" s="935"/>
      <c r="DA18" s="935"/>
      <c r="DB18" s="935"/>
      <c r="DC18" s="935"/>
      <c r="DD18" s="935"/>
      <c r="DE18" s="935"/>
      <c r="DF18" s="5"/>
      <c r="DG18" s="5"/>
      <c r="DH18" s="1561">
        <f>SUM(DH5:DH15)</f>
        <v>370.77777777777777</v>
      </c>
      <c r="DI18" s="1562">
        <f>SUM(DI5:DI15)</f>
        <v>2596.666666666667</v>
      </c>
      <c r="DJ18" s="1563">
        <f>SUM(DJ5:DJ15)</f>
        <v>264.88888888888891</v>
      </c>
      <c r="DK18" s="1564">
        <f>SUM(DK5:DK15)</f>
        <v>139.16789064926996</v>
      </c>
      <c r="DL18" s="1565"/>
      <c r="DM18" s="1562">
        <f>SUM(DM5:DM15)</f>
        <v>0</v>
      </c>
      <c r="DN18" s="1562">
        <f>SUM(DN5:DN15)</f>
        <v>0</v>
      </c>
      <c r="DO18" s="1563">
        <f>SUM(DO5:DO15)</f>
        <v>0</v>
      </c>
      <c r="DP18" s="1566">
        <f>SUM(DP5:DP15)</f>
        <v>0</v>
      </c>
      <c r="DQ18" s="1567">
        <f>SUM(DQ5:DQ15)</f>
        <v>0</v>
      </c>
      <c r="DR18" s="1565"/>
      <c r="DS18" s="1562">
        <f>SUM(DS5:DS15)</f>
        <v>0</v>
      </c>
      <c r="DT18" s="1562">
        <f>SUM(DT5:DT15)</f>
        <v>0</v>
      </c>
      <c r="DU18" s="1562">
        <f>SUM(DU5:DU15)</f>
        <v>0</v>
      </c>
      <c r="DV18" s="1566">
        <f>SUM(DV5:DV15)</f>
        <v>0</v>
      </c>
      <c r="DW18" s="1567">
        <f>SUM(DW5:DW15)</f>
        <v>0</v>
      </c>
      <c r="DX18" s="1565"/>
      <c r="DY18" s="1562">
        <f>SUM(DY5:DY15)</f>
        <v>0</v>
      </c>
      <c r="DZ18" s="1562">
        <f>SUM(DZ5:DZ15)</f>
        <v>0</v>
      </c>
      <c r="EA18" s="1562">
        <f>SUM(EA5:EA15)</f>
        <v>0</v>
      </c>
      <c r="EB18" s="1566">
        <f>SUM(EB5:EB15)</f>
        <v>0</v>
      </c>
      <c r="EC18" s="1567">
        <f>SUM(EC5:EC15)</f>
        <v>0</v>
      </c>
      <c r="ED18" s="1565"/>
      <c r="EE18" s="1562">
        <f>SUM(EE5:EE15)</f>
        <v>0</v>
      </c>
      <c r="EF18" s="1562">
        <f>SUM(EF5:EF15)</f>
        <v>0</v>
      </c>
      <c r="EG18" s="1562">
        <f>SUM(EG5:EG15)</f>
        <v>0</v>
      </c>
      <c r="EH18" s="1566">
        <f>SUM(EH5:EH15)</f>
        <v>0</v>
      </c>
      <c r="EI18" s="1567">
        <f>SUM(EI5:EI15)</f>
        <v>0</v>
      </c>
      <c r="EJ18" s="1565"/>
      <c r="EK18" s="1562">
        <f>SUM(EK5:EK15)</f>
        <v>0</v>
      </c>
      <c r="EL18" s="1562">
        <f>SUM(EL5:EL15)</f>
        <v>0</v>
      </c>
      <c r="EM18" s="1562">
        <f>SUM(EM5:EM15)</f>
        <v>0</v>
      </c>
      <c r="EN18" s="1566">
        <f>SUM(EN5:EN15)</f>
        <v>0</v>
      </c>
      <c r="EO18" s="1562">
        <f>SUM(EO5:EO15)</f>
        <v>0</v>
      </c>
      <c r="EP18" s="1565"/>
      <c r="EQ18" s="1568">
        <f>SUM(EQ5:EQ15)</f>
        <v>0</v>
      </c>
      <c r="ER18" s="1562">
        <f>SUM(ER5:ER15)</f>
        <v>0</v>
      </c>
      <c r="ES18" s="1562">
        <f>SUM(ES5:ES15)</f>
        <v>0</v>
      </c>
      <c r="ET18" s="1566">
        <f>SUM(ET5:ET15)</f>
        <v>0</v>
      </c>
      <c r="EU18" s="1562">
        <f>SUM(EU5:EU15)</f>
        <v>0</v>
      </c>
      <c r="EV18" s="1565"/>
      <c r="EW18" s="1568">
        <f>SUM(EW5:EW15)</f>
        <v>0</v>
      </c>
      <c r="EX18" s="1562">
        <f>SUM(EX5:EX15)</f>
        <v>0</v>
      </c>
      <c r="EY18" s="1562">
        <f>SUM(EY5:EY15)</f>
        <v>0</v>
      </c>
      <c r="EZ18" s="1566">
        <f>SUM(EZ5:EZ15)</f>
        <v>0</v>
      </c>
      <c r="FA18" s="1569">
        <f>SUM(FA5:FA15)</f>
        <v>0</v>
      </c>
      <c r="FB18" s="1565"/>
      <c r="FC18" s="1568">
        <f>SUM(FC5:FC15)</f>
        <v>0</v>
      </c>
      <c r="FD18" s="1562">
        <f>SUM(FD5:FD15)</f>
        <v>0</v>
      </c>
      <c r="FE18" s="1562">
        <f>SUM(FE5:FE15)</f>
        <v>0</v>
      </c>
      <c r="FF18" s="1566">
        <f>SUM(FF5:FF15)</f>
        <v>0</v>
      </c>
      <c r="FG18" s="1569">
        <f>SUM(FG5:FG15)</f>
        <v>0</v>
      </c>
      <c r="FH18" s="1565"/>
      <c r="FI18" s="1568">
        <f>SUM(FI5:FI15)</f>
        <v>0</v>
      </c>
      <c r="FJ18" s="1562">
        <f>SUM(FJ5:FJ15)</f>
        <v>0</v>
      </c>
      <c r="FK18" s="1562">
        <f>SUM(FK5:FK15)</f>
        <v>0</v>
      </c>
      <c r="FL18" s="1566">
        <f>SUM(FL5:FL15)</f>
        <v>0</v>
      </c>
      <c r="FM18" s="1569">
        <f>SUM(FM5:FM15)</f>
        <v>0</v>
      </c>
      <c r="FN18" s="1565"/>
      <c r="FO18" s="1568">
        <f>SUM(FO5:FO15)</f>
        <v>0</v>
      </c>
      <c r="FP18" s="1562">
        <f>SUM(FP5:FP15)</f>
        <v>0</v>
      </c>
      <c r="FQ18" s="1562">
        <f>SUM(FQ5:FQ15)</f>
        <v>0</v>
      </c>
      <c r="FR18" s="1566">
        <f>SUM(FR5:FR15)</f>
        <v>0</v>
      </c>
      <c r="FS18" s="1569">
        <f>SUM(FS5:FS15)</f>
        <v>0</v>
      </c>
      <c r="FT18" s="1565"/>
      <c r="FU18" s="1568">
        <f>SUM(FU5:FU15)</f>
        <v>63</v>
      </c>
      <c r="FV18" s="1562">
        <f>SUM(FV5:FV15)</f>
        <v>630</v>
      </c>
      <c r="FW18" s="1562">
        <f>SUM(FW5:FW15)</f>
        <v>57.666666666666664</v>
      </c>
      <c r="FX18" s="1566">
        <f>SUM(FX5:FX15)</f>
        <v>104.99999999999999</v>
      </c>
      <c r="FY18" s="1569">
        <f>SUM(FY5:FY15)</f>
        <v>170.2796644920783</v>
      </c>
      <c r="FZ18" s="1565"/>
      <c r="GA18" s="1568">
        <f>SUM(GA5:GA15)</f>
        <v>0</v>
      </c>
      <c r="GB18" s="1562">
        <f>SUM(GB5:GB15)</f>
        <v>0</v>
      </c>
      <c r="GC18" s="1562">
        <f>SUM(GC5:GC15)</f>
        <v>0</v>
      </c>
      <c r="GD18" s="1566">
        <f>SUM(GD5:GD15)</f>
        <v>0</v>
      </c>
      <c r="GE18" s="1569">
        <f>SUM(GE5:GE15)</f>
        <v>0</v>
      </c>
      <c r="GF18" s="1565"/>
      <c r="GG18" s="1568">
        <f>SUM(GG5:GG15)</f>
        <v>277.77777777777777</v>
      </c>
      <c r="GH18" s="1566">
        <f>SUM(GH5:GH15)</f>
        <v>1666.6666666666667</v>
      </c>
      <c r="GI18" s="1562">
        <f>SUM(GI5:GI15)</f>
        <v>55.555555555555557</v>
      </c>
      <c r="GJ18" s="1566">
        <f>SUM(GJ5:GJ15)</f>
        <v>277.77777777777777</v>
      </c>
      <c r="GK18" s="1569">
        <f>SUM(GK5:GK15)</f>
        <v>13.698664181422805</v>
      </c>
      <c r="GL18" s="1565"/>
      <c r="GM18" s="1568">
        <f>SUM(GM5:GM15)</f>
        <v>277.77777777777777</v>
      </c>
      <c r="GN18" s="1566">
        <f>SUM(GN5:GN15)</f>
        <v>1666.6666666666667</v>
      </c>
      <c r="GO18" s="1562">
        <f>SUM(GO5:GO15)</f>
        <v>55.555555555555557</v>
      </c>
      <c r="GP18" s="1566">
        <f>SUM(GP5:GP15)</f>
        <v>277.77777777777777</v>
      </c>
      <c r="GQ18" s="1569">
        <f>SUM(GQ5:GQ15)</f>
        <v>308.21994408201311</v>
      </c>
      <c r="GR18" s="1565"/>
      <c r="GS18" s="1568">
        <f>SUM(GS5:GS15)</f>
        <v>370.77777777777777</v>
      </c>
      <c r="GT18" s="1562">
        <f>SUM(GT5:GT15)</f>
        <v>2596.666666666667</v>
      </c>
      <c r="GU18" s="1566">
        <f>SUM(GU5:GU15)</f>
        <v>432.77777777777777</v>
      </c>
      <c r="GV18" s="1566"/>
      <c r="GW18" s="1569">
        <f>SUM(GW5:GW15)</f>
        <v>62.176129232680964</v>
      </c>
      <c r="GX18" s="1570">
        <f>SUM(GX5:GX15)</f>
        <v>0</v>
      </c>
      <c r="GY18" s="1571"/>
      <c r="GZ18" s="1572"/>
      <c r="HA18" s="1835">
        <v>1000</v>
      </c>
      <c r="HB18" s="2864"/>
    </row>
    <row r="19" spans="1:210" ht="15" customHeight="1" x14ac:dyDescent="0.15">
      <c r="A19" s="1862" t="str">
        <f>BP19&amp;" Tier"</f>
        <v>4 Tier</v>
      </c>
      <c r="B19" s="1863" t="str">
        <f>A16&amp;" Selected Platforms"</f>
        <v>Project Selected Platforms</v>
      </c>
      <c r="C19" s="1927"/>
      <c r="D19" s="1573" t="s">
        <v>407</v>
      </c>
      <c r="E19" s="1574">
        <f>O21+O25+O29+O33+O37+O42+O67+O71+O75+O79</f>
        <v>8</v>
      </c>
      <c r="F19" s="3409" t="s">
        <v>406</v>
      </c>
      <c r="G19" s="3409"/>
      <c r="H19" s="910" t="s">
        <v>364</v>
      </c>
      <c r="I19" s="911" t="s">
        <v>216</v>
      </c>
      <c r="J19" s="912" t="s">
        <v>109</v>
      </c>
      <c r="K19" s="2484"/>
      <c r="L19" s="1575"/>
      <c r="M19" s="3410" t="s">
        <v>454</v>
      </c>
      <c r="N19" s="3410"/>
      <c r="O19" s="3410"/>
      <c r="P19" s="1682" t="s">
        <v>237</v>
      </c>
      <c r="Q19" s="1737">
        <f>IF($A21&lt;0.9999, $A21/((1+$CJ$2*$A21*($L21-1))*(1-$A21)),200)</f>
        <v>0</v>
      </c>
      <c r="R19" s="913" t="s">
        <v>217</v>
      </c>
      <c r="S19" s="914" t="s">
        <v>91</v>
      </c>
      <c r="T19" s="915" t="s">
        <v>307</v>
      </c>
      <c r="U19" s="1184" t="s">
        <v>317</v>
      </c>
      <c r="V19" s="1864" t="str">
        <f>A19&amp;" Platform Solution"</f>
        <v>4 Tier Platform Solution</v>
      </c>
      <c r="W19" s="1183"/>
      <c r="X19" s="1183"/>
      <c r="Y19" s="2976"/>
      <c r="Z19" s="1188"/>
      <c r="AA19" s="3407">
        <f>Q22+Q26+Q30+Q34+Q38+Q43+Q68+Q72+Q76+Q80</f>
        <v>4</v>
      </c>
      <c r="AB19" s="3407"/>
      <c r="AC19" s="3408">
        <f>R21+R25+R29+R33+R37+R42+R67+R71+R75+R79</f>
        <v>4</v>
      </c>
      <c r="AD19" s="3408"/>
      <c r="AE19" s="2854">
        <f>AE21+AE25+AE29+AE33+AE37+AE42+AE67+AE71+AE75+AE79</f>
        <v>16</v>
      </c>
      <c r="AF19" s="2998">
        <v>24</v>
      </c>
      <c r="AG19" s="931"/>
      <c r="AH19" s="931"/>
      <c r="AI19" s="931"/>
      <c r="AJ19" s="931"/>
      <c r="AK19" s="931"/>
      <c r="AL19" s="931"/>
      <c r="AM19" s="931"/>
      <c r="AN19" s="931"/>
      <c r="AO19" s="931"/>
      <c r="AP19" s="931"/>
      <c r="AQ19" s="931"/>
      <c r="AR19" s="931"/>
      <c r="AS19" s="931"/>
      <c r="AT19" s="931"/>
      <c r="AU19" s="931"/>
      <c r="AV19" s="931"/>
      <c r="AW19" s="931"/>
      <c r="AX19" s="938"/>
      <c r="AY19" s="938"/>
      <c r="AZ19" s="939"/>
      <c r="BA19" s="934"/>
      <c r="BB19" s="2681"/>
      <c r="BC19" s="3194" t="s">
        <v>1272</v>
      </c>
      <c r="BD19" s="939"/>
      <c r="BE19" s="932"/>
      <c r="BF19" s="934"/>
      <c r="BG19" s="940"/>
      <c r="BH19" s="940"/>
      <c r="BI19" s="940"/>
      <c r="BJ19" s="940"/>
      <c r="BK19" s="940"/>
      <c r="BL19" s="940"/>
      <c r="BM19" s="940"/>
      <c r="BN19" s="940"/>
      <c r="BO19" s="940"/>
      <c r="BP19" s="1576">
        <f>SUM(BP20:BP80)</f>
        <v>4</v>
      </c>
      <c r="BQ19" s="1577" t="s">
        <v>344</v>
      </c>
      <c r="BR19" s="1577"/>
      <c r="BS19" s="1577"/>
      <c r="BT19" s="1577"/>
      <c r="BU19" s="1577"/>
      <c r="BV19" s="1577"/>
      <c r="BW19" s="1577"/>
      <c r="BX19" s="1577"/>
      <c r="BY19" s="1577"/>
      <c r="BZ19" s="1577"/>
      <c r="CA19" s="1577"/>
      <c r="CB19" s="1577"/>
      <c r="CC19" s="1577"/>
      <c r="CD19" s="1577"/>
      <c r="CE19" s="1578"/>
      <c r="CF19" s="1578"/>
      <c r="CG19" s="1685" t="str">
        <f>A19</f>
        <v>4 Tier</v>
      </c>
      <c r="CH19" s="1744" t="s">
        <v>730</v>
      </c>
      <c r="CI19" s="1687"/>
      <c r="CJ19" s="1688"/>
      <c r="CK19" s="931"/>
      <c r="CL19" s="932"/>
      <c r="CM19" s="933"/>
      <c r="CN19" s="934"/>
      <c r="CO19" s="931"/>
      <c r="CP19" s="932"/>
      <c r="CQ19" s="933"/>
      <c r="CR19" s="934"/>
      <c r="CS19" s="931"/>
      <c r="CT19" s="932"/>
      <c r="CU19" s="933"/>
      <c r="CV19" s="931"/>
      <c r="CW19" s="931"/>
      <c r="CX19" s="931"/>
      <c r="CY19" s="931"/>
      <c r="CZ19" s="932"/>
      <c r="DA19" s="933"/>
      <c r="DB19" s="934"/>
      <c r="DC19" s="931"/>
      <c r="DD19" s="932"/>
      <c r="DE19" s="933"/>
      <c r="DF19" s="5"/>
      <c r="DG19" s="5"/>
      <c r="DH19" s="1579"/>
      <c r="DI19" s="1580"/>
      <c r="DJ19" s="1581"/>
      <c r="DK19" s="1581"/>
      <c r="DL19" s="1581"/>
      <c r="DM19" s="1582"/>
      <c r="DN19" s="1582"/>
      <c r="DO19" s="1583"/>
      <c r="DP19" s="1581"/>
      <c r="DQ19" s="1583"/>
      <c r="DR19" s="1581"/>
      <c r="DS19" s="1583"/>
      <c r="DT19" s="1583"/>
      <c r="DU19" s="1583"/>
      <c r="DV19" s="1583"/>
      <c r="DW19" s="1583"/>
      <c r="DX19" s="1581"/>
      <c r="DY19" s="1583"/>
      <c r="DZ19" s="1583"/>
      <c r="EA19" s="1583"/>
      <c r="EB19" s="1583"/>
      <c r="EC19" s="1583"/>
      <c r="ED19" s="1581"/>
      <c r="EE19" s="1583"/>
      <c r="EF19" s="1583"/>
      <c r="EG19" s="1583"/>
      <c r="EH19" s="1583"/>
      <c r="EI19" s="1583"/>
      <c r="EJ19" s="1581"/>
      <c r="EK19" s="1583"/>
      <c r="EL19" s="1583"/>
      <c r="EM19" s="1583"/>
      <c r="EN19" s="1583"/>
      <c r="EO19" s="1583"/>
      <c r="EP19" s="1581"/>
      <c r="EQ19" s="1583"/>
      <c r="ER19" s="1583"/>
      <c r="ES19" s="1583"/>
      <c r="ET19" s="1583"/>
      <c r="EU19" s="1583"/>
      <c r="EV19" s="1581"/>
      <c r="EW19" s="1583"/>
      <c r="EX19" s="1583"/>
      <c r="EY19" s="1583"/>
      <c r="EZ19" s="1583"/>
      <c r="FA19" s="1583"/>
      <c r="FB19" s="1581"/>
      <c r="FC19" s="1583"/>
      <c r="FD19" s="1583"/>
      <c r="FE19" s="1583"/>
      <c r="FF19" s="1583"/>
      <c r="FG19" s="1583"/>
      <c r="FH19" s="1581"/>
      <c r="FI19" s="1583"/>
      <c r="FJ19" s="1583"/>
      <c r="FK19" s="1583"/>
      <c r="FL19" s="1583"/>
      <c r="FM19" s="1583"/>
      <c r="FN19" s="1581"/>
      <c r="FO19" s="1583"/>
      <c r="FP19" s="1583"/>
      <c r="FQ19" s="1583"/>
      <c r="FR19" s="1583"/>
      <c r="FS19" s="1583"/>
      <c r="FT19" s="1581"/>
      <c r="FU19" s="1583"/>
      <c r="FV19" s="1583"/>
      <c r="FW19" s="1583"/>
      <c r="FX19" s="1583"/>
      <c r="FY19" s="1583"/>
      <c r="FZ19" s="1581"/>
      <c r="GA19" s="1583"/>
      <c r="GB19" s="1583"/>
      <c r="GC19" s="1583"/>
      <c r="GD19" s="1583"/>
      <c r="GE19" s="1583"/>
      <c r="GF19" s="1581"/>
      <c r="GG19" s="1583"/>
      <c r="GH19" s="1583"/>
      <c r="GI19" s="1583"/>
      <c r="GJ19" s="1583"/>
      <c r="GK19" s="1583"/>
      <c r="GL19" s="1581"/>
      <c r="GM19" s="1583"/>
      <c r="GN19" s="1583"/>
      <c r="GO19" s="1583"/>
      <c r="GP19" s="1583"/>
      <c r="GQ19" s="1583"/>
      <c r="GR19" s="1581"/>
      <c r="GS19" s="1583"/>
      <c r="GT19" s="1583"/>
      <c r="GU19" s="1583"/>
      <c r="GV19" s="1583"/>
      <c r="GW19" s="1583"/>
      <c r="GX19" s="1583"/>
      <c r="GY19" s="1583"/>
      <c r="GZ19" s="1584"/>
      <c r="HA19" s="1835">
        <v>100</v>
      </c>
      <c r="HB19" s="2864"/>
    </row>
    <row r="20" spans="1:210" ht="15" hidden="1" customHeight="1" outlineLevel="2" thickBot="1" x14ac:dyDescent="0.25">
      <c r="A20" s="2823">
        <f>IF(O22&gt;0,A22/O22,0)</f>
        <v>0</v>
      </c>
      <c r="B20" s="552" t="s">
        <v>1471</v>
      </c>
      <c r="C20" s="136" t="str">
        <f>VLOOKUP(B21,HWRange,9,FALSE)</f>
        <v>Intel</v>
      </c>
      <c r="D20" s="137" t="str">
        <f>LEFT(BH2,5)&amp;"="</f>
        <v>Arc18=</v>
      </c>
      <c r="E20" s="138">
        <f>IF(DM$18=0,0,DQ$18/DN$18)</f>
        <v>0</v>
      </c>
      <c r="F20" s="139" t="s">
        <v>328</v>
      </c>
      <c r="G20" s="1585"/>
      <c r="H20" s="1586">
        <v>0.8</v>
      </c>
      <c r="I20" s="1739" t="s">
        <v>1490</v>
      </c>
      <c r="J20" s="207">
        <f>IF(K20&gt;0,K20,IF(I22=Calculator!$H$158,1, IF(OR(R20=Calculator!$H$162,R20=Calculator!$H$163), VLOOKUP(I22,VAdjust,2,FALSE),1)))</f>
        <v>1</v>
      </c>
      <c r="K20" s="2456">
        <f>S18</f>
        <v>0</v>
      </c>
      <c r="L20" s="722">
        <f>VLOOKUP(B21,HWRange,5,FALSE)</f>
        <v>3500</v>
      </c>
      <c r="M20" s="464" t="str">
        <f>IF(ISERROR(VLOOKUP($K21,$L$5:$L$15,1,FALSE)),"","/"&amp;$L$4)</f>
        <v/>
      </c>
      <c r="N20" s="257" t="str">
        <f>IF(ISERROR(VLOOKUP($K21,$M$5:$M$15,1,FALSE)),IF(ISERROR(VLOOKUP($K21,$M$5:$M$15,1,FALSE)),"","/"&amp;$M$4),"/"&amp;$M$4)</f>
        <v/>
      </c>
      <c r="O20" s="465" t="str">
        <f>IF(ISERROR(VLOOKUP($K21,$N$5:$N$15,1,FALSE)),IF(ISERROR(VLOOKUP($K21,$N$5:$N$15,1,FALSE)),"","/"&amp;$N$4),"/"&amp;$N$4)</f>
        <v/>
      </c>
      <c r="P20" s="1587">
        <f>IF(A21=0,0,IF(P22&gt;0,1000*C21/C22,1000*C21/C22))/2</f>
        <v>0</v>
      </c>
      <c r="Q20" s="1734">
        <f>IF(I22=$J$163,0,VLOOKUP(I20,HostArray,2,FALSE))</f>
        <v>0</v>
      </c>
      <c r="R20" s="1588" t="s">
        <v>412</v>
      </c>
      <c r="S20" s="3071" t="str">
        <f>IF(S21=LEFT(B21,3),_xlfn.NUMBERVALUE(MID(B21,FIND("(",B21,1)+1,FIND(")",B21,1)-FIND("(",B21,1)-3)),"")</f>
        <v/>
      </c>
      <c r="T20" s="135">
        <v>10000</v>
      </c>
      <c r="U20" s="1616">
        <f>IF(E20&gt;0,IF(AND(M22="",N22=""),DO$18/F22,DP$18/F22),0)</f>
        <v>0</v>
      </c>
      <c r="V20" s="1822">
        <f t="shared" ref="V20:AD20" si="5">IF(V22&gt;0,IF($A21&gt;0.5,$A21,""),0)</f>
        <v>0</v>
      </c>
      <c r="W20" s="1823">
        <f>IF(AND($W21=W$163,$H23=I$187),W$164,IF(W22&gt;0,IF($A21&gt;0.5,$A21,""),0))</f>
        <v>0</v>
      </c>
      <c r="X20" s="1823">
        <f t="shared" si="5"/>
        <v>0</v>
      </c>
      <c r="Y20" s="1823">
        <f t="shared" si="5"/>
        <v>0</v>
      </c>
      <c r="Z20" s="1823">
        <f t="shared" si="5"/>
        <v>0</v>
      </c>
      <c r="AA20" s="1823">
        <f t="shared" si="5"/>
        <v>0</v>
      </c>
      <c r="AB20" s="1823">
        <f t="shared" si="5"/>
        <v>0</v>
      </c>
      <c r="AC20" s="1823">
        <f t="shared" si="5"/>
        <v>0</v>
      </c>
      <c r="AD20" s="1824">
        <f t="shared" si="5"/>
        <v>0</v>
      </c>
      <c r="AE20" s="2851">
        <f>L23</f>
        <v>0</v>
      </c>
      <c r="AF20" s="2977" t="str">
        <f>IF(I22=$H$187,$AF$18,"")</f>
        <v/>
      </c>
      <c r="AG20" s="5"/>
      <c r="AH20" s="1590"/>
      <c r="AI20" s="1590"/>
      <c r="AJ20" s="5"/>
      <c r="AK20" s="1590"/>
      <c r="AL20" s="5"/>
      <c r="AM20" s="1590"/>
      <c r="AN20" s="5"/>
      <c r="AO20" s="1590"/>
      <c r="AP20" s="5"/>
      <c r="AQ20" s="1590"/>
      <c r="AR20" s="5"/>
      <c r="AS20" s="1590"/>
      <c r="AT20" s="5"/>
      <c r="AU20" s="5"/>
      <c r="AV20" s="5"/>
      <c r="AW20" s="1591"/>
      <c r="AX20" s="2"/>
      <c r="AY20" s="2"/>
      <c r="BC20" s="1"/>
      <c r="BF20" s="1592"/>
      <c r="BG20" s="1593"/>
      <c r="BH20" s="1593"/>
      <c r="BI20" s="1593"/>
      <c r="BJ20" s="1593"/>
      <c r="BK20" s="1593"/>
      <c r="BL20" s="1593"/>
      <c r="BM20" s="1593"/>
      <c r="BN20" s="1593"/>
      <c r="BO20" s="1593"/>
      <c r="BP20" s="1589"/>
      <c r="BQ20" s="884"/>
      <c r="BR20" s="884"/>
      <c r="BS20" s="884"/>
      <c r="BT20" s="884"/>
      <c r="BU20" s="884"/>
      <c r="BV20" s="884"/>
      <c r="BW20" s="884"/>
      <c r="BX20" s="884"/>
      <c r="BY20" s="884"/>
      <c r="BZ20" s="884"/>
      <c r="CA20" s="884"/>
      <c r="CB20" s="884"/>
      <c r="CC20" s="884"/>
      <c r="CD20" s="884"/>
      <c r="CE20" s="884"/>
      <c r="CF20" s="884"/>
      <c r="CG20" s="1689">
        <f>A20</f>
        <v>0</v>
      </c>
      <c r="CH20" s="1690" t="str">
        <f>B20</f>
        <v>Tier01: Platform Tier 01</v>
      </c>
      <c r="CI20" s="1179" t="str">
        <f>F20</f>
        <v>SRint2006</v>
      </c>
      <c r="CJ20" s="2718"/>
      <c r="CK20" s="2722">
        <f>T20</f>
        <v>10000</v>
      </c>
      <c r="CL20" s="1592"/>
      <c r="CM20" s="1594"/>
      <c r="CN20" s="1592"/>
      <c r="CQ20" s="1592"/>
      <c r="CR20" s="1594"/>
      <c r="CU20" s="1592"/>
      <c r="DA20" s="1592"/>
      <c r="DB20" s="1594"/>
      <c r="DE20" s="1592"/>
      <c r="DF20" s="5"/>
      <c r="DI20" s="1592"/>
      <c r="DJ20" s="1"/>
      <c r="DK20" s="1"/>
      <c r="DL20" s="1590"/>
      <c r="DM20" s="1"/>
      <c r="DN20" s="1594"/>
      <c r="DO20" s="1595"/>
      <c r="DP20" s="394"/>
      <c r="DQ20" s="1"/>
      <c r="DR20" s="1593"/>
      <c r="DS20" s="1593"/>
      <c r="DT20" s="1415"/>
      <c r="DW20" s="1"/>
      <c r="DX20" s="1593"/>
      <c r="DY20" s="1415"/>
      <c r="EC20" s="1"/>
      <c r="ED20" s="1415"/>
      <c r="EH20" s="1593"/>
      <c r="EI20" s="1"/>
      <c r="EJ20" s="1415"/>
      <c r="EN20" s="1593"/>
      <c r="EO20" s="1"/>
      <c r="EP20" s="1415"/>
      <c r="ET20" s="1593"/>
      <c r="EU20" s="1"/>
      <c r="EV20" s="1415"/>
      <c r="EZ20" s="1593"/>
      <c r="FA20" s="1"/>
      <c r="FB20" s="1415"/>
      <c r="FF20" s="1593"/>
      <c r="FG20" s="1"/>
      <c r="FH20" s="1415"/>
      <c r="FL20" s="1593"/>
      <c r="FM20" s="1"/>
      <c r="FN20" s="1415"/>
      <c r="FR20" s="1593"/>
      <c r="FS20" s="1"/>
      <c r="FT20" s="1415"/>
      <c r="FX20" s="1593"/>
      <c r="FY20" s="1"/>
      <c r="FZ20" s="1415"/>
      <c r="GD20" s="1593"/>
      <c r="GE20" s="1"/>
      <c r="GG20" s="1415"/>
      <c r="GJ20" s="1593"/>
      <c r="GK20" s="1"/>
      <c r="GM20" s="1415"/>
      <c r="GO20" s="1415"/>
      <c r="GP20" s="1593"/>
      <c r="GQ20" s="1"/>
      <c r="GS20" s="1415"/>
      <c r="GT20" s="1415"/>
      <c r="HA20" s="1836">
        <v>10</v>
      </c>
    </row>
    <row r="21" spans="1:210" ht="16" hidden="1" outlineLevel="2" x14ac:dyDescent="0.2">
      <c r="A21" s="2824">
        <f>IF(E20=0,0,A22/G22)</f>
        <v>0</v>
      </c>
      <c r="B21" s="156" t="s">
        <v>1403</v>
      </c>
      <c r="C21" s="206">
        <f>ROUND(IF(P22&gt;0,2*P22*C22/1000, IF(L22=0,0, IF(I22=Calculator!$H$160, Calculator!$J$160*(1+L21), IF(K22=4, 4*H20*G21/13.4,L21*Calculator!$J$151)))),0)</f>
        <v>0</v>
      </c>
      <c r="D21" s="205">
        <f>F22*L21</f>
        <v>0</v>
      </c>
      <c r="E21" s="70">
        <f>IF(I22=J163,F22*VLOOKUP(B21,HWRange,8,FALSE),"Virtual Server")</f>
        <v>0</v>
      </c>
      <c r="F21" s="71">
        <f>IF(I22=$J$163,VLOOKUP(B21,HWRange,7,FALSE),IF(I21&gt;VLOOKUP(B21,HWRange,3,FALSE),VLOOKUP(B21,HWRange,7,FALSE)*VLOOKUP(B21,HWRange,3,FALSE)/I21,VLOOKUP(B21,HWRange,7,FALSE)))</f>
        <v>60</v>
      </c>
      <c r="G21" s="157">
        <f>IF(I22=$J$163,VLOOKUP(B21,HWRange,6,FALSE),VLOOKUP(B21,HWRange,6,FALSE)*I21/VLOOKUP(B21,HWRange,3,FALSE))</f>
        <v>240</v>
      </c>
      <c r="H21" s="161" t="s">
        <v>365</v>
      </c>
      <c r="I21" s="1247">
        <v>2</v>
      </c>
      <c r="J21" s="1881"/>
      <c r="K21" s="756" t="str">
        <f>A165</f>
        <v>Tier01</v>
      </c>
      <c r="L21" s="772">
        <f>IF(I22=$J$163,VLOOKUP(B21,HWRange,3,FALSE),I21)</f>
        <v>4</v>
      </c>
      <c r="M21" s="466" t="str">
        <f>IF(ISERROR(VLOOKUP($K21,$J$5:$J$15,1,FALSE)),IF(ISERROR(VLOOKUP($K21,$J$5:$J$15,1,FALSE)),"","/"&amp;$J$4),"/"&amp;$J$4)</f>
        <v/>
      </c>
      <c r="N21" s="467" t="str">
        <f>IF(ISERROR(VLOOKUP($K21,$K$5:$K$15,1,FALSE)),"","/"&amp;$K$4)</f>
        <v/>
      </c>
      <c r="O21" s="468">
        <f>IF(AND(O20="",M22=""),0,D21)</f>
        <v>0</v>
      </c>
      <c r="P21" s="1596" t="str">
        <f>IF(NOT(M21=""),Calculator!$A$158,IF(NOT(N21=""),Calculator!$B$158,IF(NOT(O20=""), Calculator!$C$158,Calculator!$G$158)))</f>
        <v>WindowsLinuxSolarisAIXHPUX</v>
      </c>
      <c r="Q21" s="1246" t="str">
        <f>VLOOKUP(B21,HWRange,2,FALSE)</f>
        <v>Xeon E5-2637v4</v>
      </c>
      <c r="R21" s="1187">
        <f>F22*VLOOKUP(B21,HWRange,8,FALSE)</f>
        <v>0</v>
      </c>
      <c r="S21" s="3070">
        <f>IF(OR(LEFT(B21,3)="AMI",LEFT(B21,3)="AZI"),LEFT(B21,3),0)</f>
        <v>0</v>
      </c>
      <c r="T21" s="1598" t="s">
        <v>366</v>
      </c>
      <c r="U21" s="1599" t="s">
        <v>307</v>
      </c>
      <c r="V21" s="822">
        <f t="shared" ref="V21:AD21" si="6">IF(V22=0,0,IF($A21&lt;0.5,$A21,"+"))</f>
        <v>0</v>
      </c>
      <c r="W21" s="2063">
        <f>IF(AND($N22="/"&amp;$Q$4,$H23=I$187,$H22=0),W$163,IF(W22=0,0,IF($A21&lt;0.5,$A21,"+")))</f>
        <v>0</v>
      </c>
      <c r="X21" s="318">
        <f t="shared" si="6"/>
        <v>0</v>
      </c>
      <c r="Y21" s="318">
        <f t="shared" si="6"/>
        <v>0</v>
      </c>
      <c r="Z21" s="318">
        <f t="shared" si="6"/>
        <v>0</v>
      </c>
      <c r="AA21" s="318">
        <f t="shared" si="6"/>
        <v>0</v>
      </c>
      <c r="AB21" s="318">
        <f t="shared" si="6"/>
        <v>0</v>
      </c>
      <c r="AC21" s="318">
        <f t="shared" si="6"/>
        <v>0</v>
      </c>
      <c r="AD21" s="823">
        <f t="shared" si="6"/>
        <v>0</v>
      </c>
      <c r="AE21" s="2852">
        <f>D21</f>
        <v>0</v>
      </c>
      <c r="AF21" s="2998">
        <f>AF$19</f>
        <v>24</v>
      </c>
      <c r="AG21" s="5"/>
      <c r="AH21" s="1590"/>
      <c r="AI21" s="390"/>
      <c r="AJ21" s="5"/>
      <c r="AK21" s="390"/>
      <c r="AL21" s="5"/>
      <c r="AM21" s="390"/>
      <c r="AN21" s="5"/>
      <c r="AO21" s="390"/>
      <c r="AP21" s="5"/>
      <c r="AQ21" s="390"/>
      <c r="AR21" s="5"/>
      <c r="AS21" s="390"/>
      <c r="AT21" s="5"/>
      <c r="AU21" s="5"/>
      <c r="AV21" s="5"/>
      <c r="AW21" s="1600"/>
      <c r="AX21" s="1601"/>
      <c r="AY21" s="1601"/>
      <c r="BC21" s="1602"/>
      <c r="BF21" s="1592"/>
      <c r="BG21" s="1601"/>
      <c r="BH21" s="1601"/>
      <c r="BI21" s="1601"/>
      <c r="BJ21" s="1601"/>
      <c r="BK21" s="1603"/>
      <c r="BL21" s="1601"/>
      <c r="BM21" s="1601"/>
      <c r="BN21" s="1601"/>
      <c r="BO21" s="1601"/>
      <c r="BP21" s="885">
        <f>IF(A21&gt;0,1,0)</f>
        <v>0</v>
      </c>
      <c r="BQ21" s="773"/>
      <c r="BR21" s="773"/>
      <c r="BS21" s="1597"/>
      <c r="BT21" s="751"/>
      <c r="BU21" s="751"/>
      <c r="BV21" s="751"/>
      <c r="BW21" s="751"/>
      <c r="BX21" s="751"/>
      <c r="BY21" s="751"/>
      <c r="BZ21" s="751"/>
      <c r="CA21" s="751"/>
      <c r="CB21" s="751"/>
      <c r="CC21" s="751"/>
      <c r="CD21" s="751"/>
      <c r="CE21" s="751"/>
      <c r="CF21" s="751"/>
      <c r="CG21" s="1691">
        <f>A21</f>
        <v>0</v>
      </c>
      <c r="CH21" s="1590" t="str">
        <f>B21</f>
        <v>Xeon E5-2637v4 4 core (1 chip) 3500 MHz</v>
      </c>
      <c r="CI21" s="1180">
        <f>F21</f>
        <v>60</v>
      </c>
      <c r="CJ21" s="1180">
        <f>G21</f>
        <v>240</v>
      </c>
      <c r="CK21" s="2723"/>
      <c r="CL21" s="1592"/>
      <c r="CM21" s="1594"/>
      <c r="CN21" s="1592"/>
      <c r="CQ21" s="1592"/>
      <c r="CR21" s="1594"/>
      <c r="CU21" s="1592"/>
      <c r="DA21" s="1592"/>
      <c r="DB21" s="1594"/>
      <c r="DE21" s="1592"/>
      <c r="DF21" s="1594"/>
      <c r="DI21" s="1592"/>
      <c r="DJ21" s="1602"/>
      <c r="DK21" s="1602"/>
      <c r="DL21" s="256"/>
      <c r="DM21" s="1602"/>
      <c r="DN21" s="1594"/>
      <c r="DO21" s="1594"/>
      <c r="DP21" s="394"/>
      <c r="DQ21" s="1602"/>
      <c r="DR21" s="1594"/>
      <c r="DS21" s="1594"/>
      <c r="DT21" s="1415"/>
      <c r="DW21" s="1602"/>
      <c r="DX21" s="1594"/>
      <c r="DY21" s="1415"/>
      <c r="EC21" s="1602"/>
      <c r="ED21" s="1415"/>
      <c r="EH21" s="1594"/>
      <c r="EI21" s="1602"/>
      <c r="EJ21" s="1415"/>
      <c r="EN21" s="1594"/>
      <c r="EO21" s="1602"/>
      <c r="EP21" s="1415"/>
      <c r="ET21" s="1594"/>
      <c r="EU21" s="1602"/>
      <c r="EV21" s="1415"/>
      <c r="EZ21" s="1594"/>
      <c r="FA21" s="1602"/>
      <c r="FB21" s="1415"/>
      <c r="FF21" s="1594"/>
      <c r="FG21" s="1602"/>
      <c r="FH21" s="1415"/>
      <c r="FL21" s="1594"/>
      <c r="FM21" s="1602"/>
      <c r="FN21" s="1415"/>
      <c r="FR21" s="1594"/>
      <c r="FS21" s="1602"/>
      <c r="FT21" s="1415"/>
      <c r="FX21" s="1594"/>
      <c r="FY21" s="1602"/>
      <c r="FZ21" s="1415"/>
      <c r="GD21" s="1594"/>
      <c r="GE21" s="1602"/>
      <c r="GG21" s="1415"/>
      <c r="GJ21" s="1594"/>
      <c r="GK21" s="1602"/>
      <c r="GM21" s="1415"/>
      <c r="GO21" s="1415"/>
      <c r="GP21" s="1594"/>
      <c r="GQ21" s="1602"/>
      <c r="GS21" s="1415"/>
      <c r="GT21" s="1415"/>
      <c r="HA21" s="1835">
        <v>9600</v>
      </c>
    </row>
    <row r="22" spans="1:210" ht="16" hidden="1" outlineLevel="2" thickBot="1" x14ac:dyDescent="0.25">
      <c r="A22" s="2825">
        <f>IF(E20=0,0,$DN$18)</f>
        <v>0</v>
      </c>
      <c r="B22" s="2829" t="str">
        <f>"Install ("&amp;C23&amp;M20&amp;N20&amp;O20&amp;M21&amp;N21&amp;M22&amp;N22&amp;")"</f>
        <v>Install (Physical)</v>
      </c>
      <c r="C22" s="258">
        <f>IF(E20=0,0, IF(I22=Calculator!$H$160,1,E22/O22)*H20)</f>
        <v>0</v>
      </c>
      <c r="D22" s="140">
        <f>IF(J22=$H$188,J23,0)+IF(E20=0,0,J20*E20)*($BO$2/F21)</f>
        <v>0</v>
      </c>
      <c r="E22" s="141">
        <f>IF(E20=0,0,L21*60/D22)</f>
        <v>0</v>
      </c>
      <c r="F22" s="142">
        <f>IF(L22=0,0,IF(H22,H22,IF(I22=Calculator!$H$160,A20,IF(N22="/DBMS",1,IF(H23=$I$187,IF(N21="",IF(L22=1,2,L22),L22+1),L22)))))</f>
        <v>0</v>
      </c>
      <c r="G22" s="158">
        <f>IF(E20=0,0,IF(F22&gt;0,+E22*F22,"Nodes?"))</f>
        <v>0</v>
      </c>
      <c r="H22" s="143"/>
      <c r="I22" s="1248" t="s">
        <v>408</v>
      </c>
      <c r="J22" s="3227" t="str">
        <f>I18</f>
        <v xml:space="preserve">Siloed </v>
      </c>
      <c r="K22" s="1604">
        <f>IF(AND(N22="",N21=""),2,4)</f>
        <v>2</v>
      </c>
      <c r="L22" s="1605">
        <f>IF(H22,H22,IF(E20=0,0,IF(A22&gt;0,+INT(A22/(E22*H20))+1,0)))</f>
        <v>0</v>
      </c>
      <c r="M22" s="469" t="str">
        <f>IF(ISERROR(VLOOKUP($K21,$O$5:$O$15,1,FALSE)),IF(ISERROR(VLOOKUP($K21,$O$5:$O$15,1,FALSE)),"","/"&amp;$O$4),"/"&amp;$O$4)</f>
        <v/>
      </c>
      <c r="N22" s="470" t="str">
        <f>IF(ISERROR(VLOOKUP($K21,$Q$5:$Q$15,1,FALSE)),IF(ISERROR(VLOOKUP($K21,$Q$5:$Q$15,1,FALSE)),"","/"&amp;$Q$4),"/"&amp;$Q$4)</f>
        <v/>
      </c>
      <c r="O22" s="471">
        <f>IF($DM$18&gt;0,$DN$18/$DM$18,0)</f>
        <v>0</v>
      </c>
      <c r="P22" s="886"/>
      <c r="Q22" s="1714">
        <f>D21/VLOOKUP(B21,HWRange,3,FALSE)</f>
        <v>0</v>
      </c>
      <c r="R22" s="1877">
        <f>P165</f>
        <v>0</v>
      </c>
      <c r="S22" s="1982">
        <f>IF(E20=0,0,H20*A20/A21)</f>
        <v>0</v>
      </c>
      <c r="T22" s="135">
        <v>10000</v>
      </c>
      <c r="U22" s="1608">
        <f>IF(E20=0,0,IF(U23=$I$188,U20,DP$18/F22))</f>
        <v>0</v>
      </c>
      <c r="V22" s="1826">
        <f>IF(G22&gt;0,1,0)</f>
        <v>0</v>
      </c>
      <c r="W22" s="1827">
        <f t="shared" ref="W22:AC22" si="7">IF(V22&gt;0,IF($F22&gt;V22,V22+1,0),0)</f>
        <v>0</v>
      </c>
      <c r="X22" s="1827">
        <f t="shared" si="7"/>
        <v>0</v>
      </c>
      <c r="Y22" s="1827">
        <f t="shared" si="7"/>
        <v>0</v>
      </c>
      <c r="Z22" s="1827">
        <f t="shared" si="7"/>
        <v>0</v>
      </c>
      <c r="AA22" s="1827">
        <f t="shared" si="7"/>
        <v>0</v>
      </c>
      <c r="AB22" s="1827">
        <f t="shared" si="7"/>
        <v>0</v>
      </c>
      <c r="AC22" s="1827">
        <f t="shared" si="7"/>
        <v>0</v>
      </c>
      <c r="AD22" s="1828">
        <f>IF(AC22&gt;0,IF($F22&gt;AC22,"…"&amp;$F22,0),0)</f>
        <v>0</v>
      </c>
      <c r="AE22" s="2853">
        <f>A21</f>
        <v>0</v>
      </c>
      <c r="AF22" s="2978">
        <f>IF(AF21="","",IF(H22=0,0,H22/AF21+IF(H23=$I$187,1,0)))</f>
        <v>0</v>
      </c>
      <c r="AG22" s="1681"/>
      <c r="AH22" s="1590"/>
      <c r="AI22" s="1590"/>
      <c r="AJ22" s="5"/>
      <c r="AK22" s="1590"/>
      <c r="AL22" s="5"/>
      <c r="AM22" s="1590"/>
      <c r="AN22" s="5"/>
      <c r="AO22" s="1590"/>
      <c r="AP22" s="5"/>
      <c r="AQ22" s="1590"/>
      <c r="AR22" s="5"/>
      <c r="AS22" s="1590"/>
      <c r="AT22" s="5"/>
      <c r="AU22" s="5"/>
      <c r="AV22" s="5"/>
      <c r="AW22" s="56"/>
      <c r="BC22" s="1602"/>
      <c r="BF22" s="1592"/>
      <c r="BG22" s="1601"/>
      <c r="BH22" s="1601"/>
      <c r="BI22" s="1601"/>
      <c r="BJ22" s="1601"/>
      <c r="BK22" s="1601"/>
      <c r="BL22" s="1601"/>
      <c r="BM22" s="1022"/>
      <c r="BN22" s="1601"/>
      <c r="BO22" s="1601"/>
      <c r="BP22" s="1606"/>
      <c r="BQ22" s="1607"/>
      <c r="BR22" s="887"/>
      <c r="BS22" s="888"/>
      <c r="BT22" s="1606"/>
      <c r="BU22" s="1606"/>
      <c r="BV22" s="1606"/>
      <c r="BW22" s="1606"/>
      <c r="BX22" s="1606"/>
      <c r="BY22" s="1606"/>
      <c r="BZ22" s="1606"/>
      <c r="CA22" s="1606"/>
      <c r="CB22" s="1606"/>
      <c r="CC22" s="1606"/>
      <c r="CD22" s="1606"/>
      <c r="CE22" s="1606"/>
      <c r="CF22" s="1606"/>
      <c r="CG22" s="1692">
        <f>A22</f>
        <v>0</v>
      </c>
      <c r="CH22" s="1693" t="str">
        <f>B22</f>
        <v>Install (Physical)</v>
      </c>
      <c r="CI22" s="1181">
        <f>F22</f>
        <v>0</v>
      </c>
      <c r="CJ22" s="2719">
        <f>D21</f>
        <v>0</v>
      </c>
      <c r="CK22" s="2724">
        <f>T22</f>
        <v>10000</v>
      </c>
      <c r="CL22" s="1592"/>
      <c r="CM22" s="1594"/>
      <c r="CN22" s="1592"/>
      <c r="CQ22" s="1592"/>
      <c r="CR22" s="1594"/>
      <c r="CU22" s="1592"/>
      <c r="DA22" s="1592"/>
      <c r="DB22" s="1594"/>
      <c r="DE22" s="1592"/>
      <c r="DF22" s="1594"/>
      <c r="DI22" s="1592"/>
      <c r="DJ22" s="1602"/>
      <c r="DK22" s="1602"/>
      <c r="DL22" s="1590"/>
      <c r="DM22" s="1602"/>
      <c r="DN22" s="1594"/>
      <c r="DO22" s="1594"/>
      <c r="DP22" s="394"/>
      <c r="DQ22" s="1602"/>
      <c r="DR22" s="1597"/>
      <c r="DS22" s="1597"/>
      <c r="DT22" s="1415"/>
      <c r="DW22" s="1602"/>
      <c r="DX22" s="1597"/>
      <c r="DY22" s="1415"/>
      <c r="EC22" s="1602"/>
      <c r="ED22" s="1415"/>
      <c r="EH22" s="1597"/>
      <c r="EI22" s="1602"/>
      <c r="EJ22" s="1415"/>
      <c r="EN22" s="1597"/>
      <c r="EO22" s="1602"/>
      <c r="EP22" s="1415"/>
      <c r="ET22" s="1597"/>
      <c r="EU22" s="1602"/>
      <c r="EV22" s="1415"/>
      <c r="EZ22" s="1597"/>
      <c r="FA22" s="1602"/>
      <c r="FB22" s="1415"/>
      <c r="FF22" s="1597"/>
      <c r="FG22" s="1602"/>
      <c r="FH22" s="1415"/>
      <c r="FL22" s="1597"/>
      <c r="FM22" s="1602"/>
      <c r="FN22" s="1415"/>
      <c r="FR22" s="1597"/>
      <c r="FS22" s="1602"/>
      <c r="FT22" s="1415"/>
      <c r="FX22" s="1597"/>
      <c r="FY22" s="1602"/>
      <c r="FZ22" s="1415"/>
      <c r="GD22" s="1597"/>
      <c r="GE22" s="1602"/>
      <c r="GG22" s="1415"/>
      <c r="GJ22" s="1597"/>
      <c r="GK22" s="1602"/>
      <c r="GM22" s="1415"/>
      <c r="GO22" s="1415"/>
      <c r="GP22" s="1597"/>
      <c r="GQ22" s="1602"/>
      <c r="GS22" s="1415"/>
      <c r="GT22" s="1415"/>
      <c r="HA22" s="1835">
        <v>2500</v>
      </c>
    </row>
    <row r="23" spans="1:210" ht="15" hidden="1" outlineLevel="1" collapsed="1" x14ac:dyDescent="0.2">
      <c r="A23" s="916">
        <f>IF(A22=0,0,ROUND(100*A21,0)&amp;"% CPU")</f>
        <v>0</v>
      </c>
      <c r="B23" s="917">
        <f>IF(A22&gt;0,IF(I22=$J$163,K21&amp;": "&amp;F22&amp;"x "&amp;B21&amp;" "&amp;C21&amp;" GB RAM",$K21&amp;": "&amp;$F22&amp;"x VM ("&amp;I21&amp;" core "&amp;C21&amp;" GB RAM) "&amp;Q21&amp;" "&amp;L20&amp;" MHz"),0)</f>
        <v>0</v>
      </c>
      <c r="C23" s="1609" t="str">
        <f>IF(I22=$H$185,I22,I20)</f>
        <v>Physical</v>
      </c>
      <c r="D23" s="918">
        <f>A20</f>
        <v>0</v>
      </c>
      <c r="E23" s="919">
        <f>IF(E22&gt;0,ROUND(E22*60/1000,0)&amp;"K TPH",0)</f>
        <v>0</v>
      </c>
      <c r="F23" s="920">
        <f>F22</f>
        <v>0</v>
      </c>
      <c r="G23" s="919">
        <f>IF(G22&gt;0,ROUND(G22*60/1000,0)&amp;"K TPH",0)</f>
        <v>0</v>
      </c>
      <c r="H23" s="921" t="str">
        <f>H$19</f>
        <v>Minimum</v>
      </c>
      <c r="I23" s="1736">
        <f>IF(I22=$J$163,0,I20)</f>
        <v>0</v>
      </c>
      <c r="J23" s="2086">
        <f>IF(AND(O20="/"&amp;$N$4,J22=$H$188),IF(F22&gt;0,(F22-1)*A22/(60*$H$190),0),0)</f>
        <v>0</v>
      </c>
      <c r="K23" s="2086">
        <f>IF(E20&gt;0,D22/E20,0)</f>
        <v>0</v>
      </c>
      <c r="L23" s="2080">
        <f>IF($W21=$W$163,2,F22)</f>
        <v>0</v>
      </c>
      <c r="M23" s="3134">
        <f>IF(AND(S23&gt;0,I22=$H$185),1,0)</f>
        <v>0</v>
      </c>
      <c r="N23" s="3134">
        <f>IF(I22 =$H$187,IF(N21="/"&amp;$K$4,0,1),0)</f>
        <v>0</v>
      </c>
      <c r="O23" s="1611"/>
      <c r="P23" s="1610"/>
      <c r="Q23" s="1737">
        <f>IF($A25&lt;0.9999, $A25/((1+$CJ$2*$A25*($L25-1))*(1-$A25)),200)</f>
        <v>0</v>
      </c>
      <c r="R23" s="1611"/>
      <c r="S23" s="3118">
        <f>IF(LEFT(B21,3)=S21,VLOOKUP(B21,HWRange,10,FALSE),0)</f>
        <v>0</v>
      </c>
      <c r="T23" s="940" t="str">
        <f>U23</f>
        <v>Data</v>
      </c>
      <c r="U23" s="1595" t="s">
        <v>329</v>
      </c>
      <c r="V23" s="1918">
        <f>IF(A21&gt;0,B23&amp;" "&amp;C23&amp;IF(B23="",""," GB RAM"),0)</f>
        <v>0</v>
      </c>
      <c r="W23" s="1819"/>
      <c r="X23" s="1819"/>
      <c r="Y23" s="1819"/>
      <c r="Z23" s="1819"/>
      <c r="AA23" s="1819"/>
      <c r="AB23" s="1819"/>
      <c r="AC23" s="1819"/>
      <c r="AD23" s="1819"/>
      <c r="AE23" s="1919">
        <f>IF(A21&gt;0,F21,0)</f>
        <v>0</v>
      </c>
      <c r="AF23" s="2876">
        <f>IF(A20=0,0,IF(LEFT(B21,3)=S21,VLOOKUP(B21,HWRange,12,FALSE),0)*F22)</f>
        <v>0</v>
      </c>
      <c r="AG23" s="2877" t="str">
        <f>IF(AF23&gt;0,S21&amp;" 3-yr Pricing","")</f>
        <v/>
      </c>
      <c r="AH23" s="2878"/>
      <c r="AI23" s="1613"/>
      <c r="AJ23" s="1613"/>
      <c r="AK23" s="1613"/>
      <c r="AL23" s="1613"/>
      <c r="AM23" s="1613"/>
      <c r="AN23" s="1613"/>
      <c r="AO23" s="1613"/>
      <c r="AP23" s="1613"/>
      <c r="AQ23" s="1613"/>
      <c r="AR23" s="1613"/>
      <c r="AS23" s="1613"/>
      <c r="AT23" s="1613"/>
      <c r="AU23" s="1591"/>
      <c r="AV23" s="1591"/>
      <c r="AW23" s="1591"/>
      <c r="AX23" s="1601"/>
      <c r="AY23" s="1601"/>
      <c r="BC23" s="1614"/>
      <c r="BF23" s="1592"/>
      <c r="BG23" s="1601"/>
      <c r="BH23" s="1601"/>
      <c r="BI23" s="1601"/>
      <c r="BJ23" s="1601"/>
      <c r="BK23" s="1601"/>
      <c r="BL23" s="1601"/>
      <c r="BM23" s="1601"/>
      <c r="BN23" s="1601"/>
      <c r="BO23" s="1601"/>
      <c r="BP23" s="1738"/>
      <c r="BQ23" s="1612"/>
      <c r="BR23" s="1612"/>
      <c r="BS23" s="1612"/>
      <c r="BT23" s="1612"/>
      <c r="BU23" s="1612"/>
      <c r="BV23" s="1612"/>
      <c r="BW23" s="1612"/>
      <c r="BX23" s="1612"/>
      <c r="BY23" s="1612"/>
      <c r="BZ23" s="1612"/>
      <c r="CA23" s="1612"/>
      <c r="CB23" s="1612"/>
      <c r="CC23" s="1612"/>
      <c r="CD23" s="1612"/>
      <c r="CE23" s="1612"/>
      <c r="CF23" s="1612"/>
      <c r="CG23" s="3403">
        <f>B23</f>
        <v>0</v>
      </c>
      <c r="CH23" s="3404"/>
      <c r="CI23" s="3404"/>
      <c r="CJ23" s="3404"/>
      <c r="CK23" s="2723"/>
      <c r="CL23" s="1592"/>
      <c r="CM23" s="1594"/>
      <c r="CN23" s="1592"/>
      <c r="CQ23" s="1592"/>
      <c r="CR23" s="1594"/>
      <c r="CU23" s="1592"/>
      <c r="DA23" s="1592"/>
      <c r="DB23" s="1594"/>
      <c r="DE23" s="1592"/>
      <c r="DF23" s="1594"/>
      <c r="DI23" s="1592"/>
      <c r="DJ23" s="1614"/>
      <c r="DK23" s="1614"/>
      <c r="DL23" s="1590"/>
      <c r="DM23" s="1614"/>
      <c r="DN23" s="1594"/>
      <c r="DO23" s="1594"/>
      <c r="DP23" s="394"/>
      <c r="DQ23" s="1614"/>
      <c r="DR23" s="1597"/>
      <c r="DS23" s="1597"/>
      <c r="DT23" s="1415"/>
      <c r="DW23" s="1614"/>
      <c r="DX23" s="1597"/>
      <c r="DY23" s="1415"/>
      <c r="EC23" s="1614"/>
      <c r="ED23" s="1415"/>
      <c r="EH23" s="1597"/>
      <c r="EI23" s="1614"/>
      <c r="EJ23" s="1415"/>
      <c r="EN23" s="1597"/>
      <c r="EO23" s="1614"/>
      <c r="EP23" s="1415"/>
      <c r="ET23" s="1597"/>
      <c r="EU23" s="1614"/>
      <c r="EV23" s="1415"/>
      <c r="EZ23" s="1597"/>
      <c r="FA23" s="1614"/>
      <c r="FB23" s="1415"/>
      <c r="FF23" s="1597"/>
      <c r="FG23" s="1614"/>
      <c r="FH23" s="1415"/>
      <c r="FL23" s="1597"/>
      <c r="FM23" s="1614"/>
      <c r="FN23" s="1415"/>
      <c r="FR23" s="1597"/>
      <c r="FS23" s="1614"/>
      <c r="FT23" s="1415"/>
      <c r="FX23" s="1597"/>
      <c r="FY23" s="1614"/>
      <c r="FZ23" s="1415"/>
      <c r="GD23" s="1597"/>
      <c r="GE23" s="1614"/>
      <c r="GG23" s="1415"/>
      <c r="GJ23" s="1597"/>
      <c r="GK23" s="1614"/>
      <c r="GM23" s="1415"/>
      <c r="GO23" s="1415"/>
      <c r="GP23" s="1597"/>
      <c r="GQ23" s="1614"/>
      <c r="GS23" s="1415"/>
      <c r="GT23" s="1415"/>
      <c r="HA23" s="1835">
        <v>622</v>
      </c>
    </row>
    <row r="24" spans="1:210" ht="17" hidden="1" outlineLevel="2" thickBot="1" x14ac:dyDescent="0.25">
      <c r="A24" s="2823">
        <f>IF(O26&gt;0,A26/O26,0)</f>
        <v>0</v>
      </c>
      <c r="B24" s="552" t="s">
        <v>1470</v>
      </c>
      <c r="C24" s="136" t="str">
        <f>VLOOKUP(B25,Hardware!$A$2:$I$632,9,FALSE)</f>
        <v>Intel</v>
      </c>
      <c r="D24" s="137" t="str">
        <f>D20</f>
        <v>Arc18=</v>
      </c>
      <c r="E24" s="138">
        <f>IF(DS$18=0,0,IF(DW$18&gt;0,DW$18/DT$18))</f>
        <v>0</v>
      </c>
      <c r="F24" s="139" t="s">
        <v>328</v>
      </c>
      <c r="G24" s="1585"/>
      <c r="H24" s="1586">
        <v>0.8</v>
      </c>
      <c r="I24" s="1739" t="str">
        <f>I20</f>
        <v>Host01</v>
      </c>
      <c r="J24" s="207">
        <f>IF(K24&gt;0,K24,IF(I26=Calculator!$H$158,1, IF(OR(R24=Calculator!$H$162,R24=Calculator!$H$163), VLOOKUP(I26,VAdjust,2,FALSE),1)))</f>
        <v>1</v>
      </c>
      <c r="K24" s="2456"/>
      <c r="L24" s="722">
        <f>VLOOKUP(B25,HWRange,5,FALSE)</f>
        <v>3500</v>
      </c>
      <c r="M24" s="464" t="str">
        <f>IF(ISERROR(VLOOKUP($K25,$L$5:$L$15,1,FALSE)),"","/"&amp;$L$4)</f>
        <v/>
      </c>
      <c r="N24" s="257" t="str">
        <f>IF(ISERROR(VLOOKUP($K25,$M$5:$M$15,1,FALSE)),IF(ISERROR(VLOOKUP($K25,$M$5:$M$15,1,FALSE)),"","/"&amp;$M$4),"/"&amp;$M$4)</f>
        <v/>
      </c>
      <c r="O24" s="465" t="str">
        <f>IF(ISERROR(VLOOKUP($K25,$N$5:$N$15,1,FALSE)),IF(ISERROR(VLOOKUP($K25,$N$5:$N$15,1,FALSE)),"","/"&amp;$N$4),"/"&amp;$N$4)</f>
        <v/>
      </c>
      <c r="P24" s="1587">
        <f>IF(A25=0,0,IF(P26&gt;0,1000*C25/C26,1000*C25/C26))/2</f>
        <v>0</v>
      </c>
      <c r="Q24" s="1734">
        <f>IF(I26=$J$163,0,VLOOKUP(I24,HostArray,2,FALSE))</f>
        <v>0</v>
      </c>
      <c r="R24" s="1588" t="s">
        <v>412</v>
      </c>
      <c r="S24" s="3071" t="str">
        <f>IF(S25=LEFT(B25,3),_xlfn.NUMBERVALUE(MID(B25,FIND("(",B25,1)+1,FIND(")",B25,1)-FIND("(",B25,1)-3)),"")</f>
        <v/>
      </c>
      <c r="T24" s="135">
        <v>10000</v>
      </c>
      <c r="U24" s="1616">
        <f>IF(E24&gt;0,IF(AND(M26="",N26=""),DU$18/F26,DV$18/F26),0)</f>
        <v>0</v>
      </c>
      <c r="V24" s="1822">
        <f t="shared" ref="V24:AD24" si="8">IF(V26&gt;0,IF($A25&gt;0.5,$A25,""),0)</f>
        <v>0</v>
      </c>
      <c r="W24" s="1823">
        <f>IF(AND($W25=W$163,$H27=I$187),W$164,IF(W26&gt;0,IF($A25&gt;0.5,$A25,""),0))</f>
        <v>0</v>
      </c>
      <c r="X24" s="1823">
        <f t="shared" si="8"/>
        <v>0</v>
      </c>
      <c r="Y24" s="1823">
        <f t="shared" si="8"/>
        <v>0</v>
      </c>
      <c r="Z24" s="1823">
        <f t="shared" si="8"/>
        <v>0</v>
      </c>
      <c r="AA24" s="1823">
        <f t="shared" si="8"/>
        <v>0</v>
      </c>
      <c r="AB24" s="1823">
        <f t="shared" si="8"/>
        <v>0</v>
      </c>
      <c r="AC24" s="1823">
        <f t="shared" si="8"/>
        <v>0</v>
      </c>
      <c r="AD24" s="1824">
        <f t="shared" si="8"/>
        <v>0</v>
      </c>
      <c r="AE24" s="1825">
        <f>L27</f>
        <v>0</v>
      </c>
      <c r="AF24" s="2977" t="str">
        <f>IF(I26=$H$187,$AF$18,"")</f>
        <v/>
      </c>
      <c r="AG24" s="1600"/>
      <c r="AH24" s="1600"/>
      <c r="AI24" s="1600"/>
      <c r="AJ24" s="1600"/>
      <c r="AK24" s="1600"/>
      <c r="AL24" s="1600"/>
      <c r="AM24" s="1600"/>
      <c r="AN24" s="1600"/>
      <c r="AO24" s="1600"/>
      <c r="AP24" s="1600"/>
      <c r="AQ24" s="1600"/>
      <c r="AR24" s="1600"/>
      <c r="AS24" s="1600"/>
      <c r="AT24" s="1600"/>
      <c r="AU24" s="1600"/>
      <c r="AV24" s="1600"/>
      <c r="AX24" s="2"/>
      <c r="AY24" s="2"/>
      <c r="BC24" s="1"/>
      <c r="BF24" s="1592"/>
      <c r="BG24" s="1593"/>
      <c r="BH24" s="1593"/>
      <c r="BI24" s="1593"/>
      <c r="BJ24" s="1593"/>
      <c r="BK24" s="1593"/>
      <c r="BL24" s="1593"/>
      <c r="BM24" s="1593"/>
      <c r="BN24" s="1593"/>
      <c r="BO24" s="1593"/>
      <c r="BP24" s="889"/>
      <c r="BQ24" s="889"/>
      <c r="BR24" s="889"/>
      <c r="BS24" s="889"/>
      <c r="BT24" s="889"/>
      <c r="BU24" s="889"/>
      <c r="BV24" s="1615"/>
      <c r="BW24" s="1615"/>
      <c r="BX24" s="1615"/>
      <c r="BY24" s="1615"/>
      <c r="BZ24" s="1615"/>
      <c r="CA24" s="1615"/>
      <c r="CB24" s="1615"/>
      <c r="CC24" s="1615"/>
      <c r="CD24" s="1615"/>
      <c r="CE24" s="1615"/>
      <c r="CF24" s="1615"/>
      <c r="CG24" s="1689">
        <f t="shared" ref="CG24:CH26" si="9">A24</f>
        <v>0</v>
      </c>
      <c r="CH24" s="1690" t="str">
        <f t="shared" si="9"/>
        <v>Tier02: Platform Tier 02</v>
      </c>
      <c r="CI24" s="1179" t="str">
        <f>F24</f>
        <v>SRint2006</v>
      </c>
      <c r="CJ24" s="2718"/>
      <c r="CK24" s="2724">
        <f>T24</f>
        <v>10000</v>
      </c>
      <c r="CL24" s="1592"/>
      <c r="CM24" s="1594"/>
      <c r="CN24" s="1592"/>
      <c r="CQ24" s="1592"/>
      <c r="CR24" s="1594"/>
      <c r="CU24" s="1592"/>
      <c r="DA24" s="1592"/>
      <c r="DB24" s="1594"/>
      <c r="DE24" s="1592"/>
      <c r="DF24" s="1594"/>
      <c r="DI24" s="1592"/>
      <c r="DJ24" s="1"/>
      <c r="DK24" s="1"/>
      <c r="DL24" s="1590"/>
      <c r="DM24" s="1"/>
      <c r="DN24" s="1594"/>
      <c r="DO24" s="1595"/>
      <c r="DP24" s="394"/>
      <c r="DQ24" s="1"/>
      <c r="DR24" s="1593"/>
      <c r="DS24" s="1593"/>
      <c r="DT24" s="1415"/>
      <c r="DW24" s="1"/>
      <c r="DX24" s="1593"/>
      <c r="DY24" s="1415"/>
      <c r="EC24" s="1"/>
      <c r="ED24" s="1415"/>
      <c r="EH24" s="1593"/>
      <c r="EI24" s="1"/>
      <c r="EJ24" s="1415"/>
      <c r="EN24" s="1593"/>
      <c r="EO24" s="1"/>
      <c r="EP24" s="1415"/>
      <c r="ET24" s="1593"/>
      <c r="EU24" s="1"/>
      <c r="EV24" s="1415"/>
      <c r="EZ24" s="1593"/>
      <c r="FA24" s="1"/>
      <c r="FB24" s="1415"/>
      <c r="FF24" s="1593"/>
      <c r="FG24" s="1"/>
      <c r="FH24" s="1415"/>
      <c r="FL24" s="1593"/>
      <c r="FM24" s="1"/>
      <c r="FN24" s="1415"/>
      <c r="FR24" s="1593"/>
      <c r="FS24" s="1"/>
      <c r="FT24" s="1415"/>
      <c r="FX24" s="1593"/>
      <c r="FY24" s="1"/>
      <c r="FZ24" s="1415"/>
      <c r="GD24" s="1593"/>
      <c r="GE24" s="1"/>
      <c r="GG24" s="1415"/>
      <c r="GJ24" s="1593"/>
      <c r="GK24" s="1"/>
      <c r="GM24" s="1415"/>
      <c r="GO24" s="1415"/>
      <c r="GP24" s="1593"/>
      <c r="GQ24" s="1"/>
      <c r="GS24" s="1415"/>
      <c r="GT24" s="1415"/>
      <c r="HA24" s="1835">
        <v>310</v>
      </c>
    </row>
    <row r="25" spans="1:210" ht="15" hidden="1" outlineLevel="2" x14ac:dyDescent="0.2">
      <c r="A25" s="2824">
        <f>IF(E24=0,0,A26/G26)</f>
        <v>0</v>
      </c>
      <c r="B25" s="156" t="str">
        <f>B21</f>
        <v>Xeon E5-2637v4 4 core (1 chip) 3500 MHz</v>
      </c>
      <c r="C25" s="206">
        <f>ROUND(IF(P26&gt;0,2*P26*C26/1000, IF(L26=0,0, IF(I26=Calculator!$H$160, Calculator!$J$160*(1+L25), IF(K26=4, 4*H24*G25/13.4,L25*Calculator!$J$151)))),0)</f>
        <v>0</v>
      </c>
      <c r="D25" s="205">
        <f>F26*L25</f>
        <v>0</v>
      </c>
      <c r="E25" s="70">
        <f>IF(I26=J$163,F26*VLOOKUP(B25,HWRange,8,FALSE),"Virtual Server")</f>
        <v>0</v>
      </c>
      <c r="F25" s="71">
        <f>IF(I26=$J$163,VLOOKUP(B25,HWRange,7,FALSE),IF(I25&gt;VLOOKUP(B25,HWRange,3,FALSE),VLOOKUP(B25,HWRange,7,FALSE)*VLOOKUP(B25,HWRange,3,FALSE)/I25,VLOOKUP(B25,HWRange,7,FALSE)))</f>
        <v>60</v>
      </c>
      <c r="G25" s="157">
        <f>IF(I26=$J$163,VLOOKUP(B25,HWRange,6,FALSE),VLOOKUP(B25,HWRange,6,FALSE)*I25/VLOOKUP(B25,HWRange,3,FALSE))</f>
        <v>240</v>
      </c>
      <c r="H25" s="161" t="s">
        <v>365</v>
      </c>
      <c r="I25" s="1247">
        <v>2</v>
      </c>
      <c r="J25" s="1881"/>
      <c r="K25" s="756" t="str">
        <f>A166</f>
        <v>Tier02</v>
      </c>
      <c r="L25" s="491">
        <f>IF(I26=$J$163,VLOOKUP(B25,HWRange,3,FALSE),I25)</f>
        <v>4</v>
      </c>
      <c r="M25" s="466" t="str">
        <f>IF(ISERROR(VLOOKUP($K25,$J$5:$J$15,1,FALSE)),IF(ISERROR(VLOOKUP($K25,$J$5:$J$15,1,FALSE)),"","/"&amp;$J$4),"/"&amp;$J$4)</f>
        <v/>
      </c>
      <c r="N25" s="467" t="str">
        <f>IF(ISERROR(VLOOKUP($K25,$K$5:$K$15,1,FALSE)),"","/"&amp;$K$4)</f>
        <v/>
      </c>
      <c r="O25" s="468">
        <f>IF(AND(O24="",M26=""),0,D25)</f>
        <v>0</v>
      </c>
      <c r="P25" s="1596" t="str">
        <f>IF(NOT(M25=""),Calculator!$A$158,IF(NOT(N25=""),Calculator!$B$158,IF(NOT(O24=""), Calculator!$C$158,Calculator!$G$158)))</f>
        <v>WindowsLinuxSolarisAIXHPUX</v>
      </c>
      <c r="Q25" s="1246" t="str">
        <f>VLOOKUP(B25,HWRange,2,FALSE)</f>
        <v>Xeon E5-2637v4</v>
      </c>
      <c r="R25" s="1187">
        <f>F26*VLOOKUP(B25,HWRange,8,FALSE)</f>
        <v>0</v>
      </c>
      <c r="S25" s="3070">
        <f>IF(OR(LEFT(B25,3)="AMI",LEFT(B25,3)="AZI"),LEFT(B25,3),0)</f>
        <v>0</v>
      </c>
      <c r="T25" s="1617" t="s">
        <v>366</v>
      </c>
      <c r="U25" s="1599" t="s">
        <v>307</v>
      </c>
      <c r="V25" s="822">
        <f t="shared" ref="V25:AD25" si="10">IF(V26=0,0,IF($A25&lt;0.5,$A25,"+"))</f>
        <v>0</v>
      </c>
      <c r="W25" s="2063">
        <f>IF(AND($N26="/"&amp;$Q$4,$H27=I$187,$H26=0),W$163,IF(W26=0,0,IF($A25&lt;0.5,$A25,"+")))</f>
        <v>0</v>
      </c>
      <c r="X25" s="318">
        <f t="shared" si="10"/>
        <v>0</v>
      </c>
      <c r="Y25" s="318">
        <f t="shared" si="10"/>
        <v>0</v>
      </c>
      <c r="Z25" s="318">
        <f t="shared" si="10"/>
        <v>0</v>
      </c>
      <c r="AA25" s="318">
        <f t="shared" si="10"/>
        <v>0</v>
      </c>
      <c r="AB25" s="318">
        <f t="shared" si="10"/>
        <v>0</v>
      </c>
      <c r="AC25" s="318">
        <f t="shared" si="10"/>
        <v>0</v>
      </c>
      <c r="AD25" s="823">
        <f t="shared" si="10"/>
        <v>0</v>
      </c>
      <c r="AE25" s="1185">
        <f>D25</f>
        <v>0</v>
      </c>
      <c r="AF25" s="2998">
        <f>AF$19</f>
        <v>24</v>
      </c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X25" s="1601"/>
      <c r="AY25" s="1601"/>
      <c r="BC25" s="1602"/>
      <c r="BF25" s="1592"/>
      <c r="BG25" s="1601"/>
      <c r="BH25" s="1601"/>
      <c r="BI25" s="1601"/>
      <c r="BJ25" s="1601"/>
      <c r="BK25" s="1601"/>
      <c r="BL25" s="1601"/>
      <c r="BM25" s="1601"/>
      <c r="BN25" s="1601"/>
      <c r="BO25" s="1601"/>
      <c r="BP25" s="885">
        <f>IF(A25&gt;0,1,0)</f>
        <v>0</v>
      </c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1691">
        <f t="shared" si="9"/>
        <v>0</v>
      </c>
      <c r="CH25" s="1590" t="str">
        <f t="shared" si="9"/>
        <v>Xeon E5-2637v4 4 core (1 chip) 3500 MHz</v>
      </c>
      <c r="CI25" s="1180">
        <f>F25</f>
        <v>60</v>
      </c>
      <c r="CJ25" s="1180">
        <f>G25</f>
        <v>240</v>
      </c>
      <c r="CK25" s="2723"/>
      <c r="CL25" s="1592"/>
      <c r="CM25" s="1594"/>
      <c r="CN25" s="1592"/>
      <c r="CQ25" s="1592"/>
      <c r="CR25" s="1594"/>
      <c r="CU25" s="1592"/>
      <c r="DA25" s="1592"/>
      <c r="DB25" s="1594"/>
      <c r="DE25" s="1592"/>
      <c r="DF25" s="1594"/>
      <c r="DI25" s="1592"/>
      <c r="DJ25" s="1602"/>
      <c r="DK25" s="1602"/>
      <c r="DL25" s="1590"/>
      <c r="DM25" s="1602"/>
      <c r="DN25" s="1594"/>
      <c r="DO25" s="1594"/>
      <c r="DP25" s="394"/>
      <c r="DQ25" s="1602"/>
      <c r="DR25" s="1594"/>
      <c r="DS25" s="1594"/>
      <c r="DT25" s="1415"/>
      <c r="DW25" s="1602"/>
      <c r="DX25" s="1594"/>
      <c r="DY25" s="1415"/>
      <c r="EC25" s="1602"/>
      <c r="ED25" s="1415"/>
      <c r="EH25" s="1594"/>
      <c r="EI25" s="1602"/>
      <c r="EJ25" s="1415"/>
      <c r="EN25" s="1594"/>
      <c r="EO25" s="1602"/>
      <c r="EP25" s="1415"/>
      <c r="ET25" s="1594"/>
      <c r="EU25" s="1602"/>
      <c r="EV25" s="1415"/>
      <c r="EZ25" s="1594"/>
      <c r="FA25" s="1602"/>
      <c r="FB25" s="1415"/>
      <c r="FF25" s="1594"/>
      <c r="FG25" s="1602"/>
      <c r="FH25" s="1415"/>
      <c r="FL25" s="1594"/>
      <c r="FM25" s="1602"/>
      <c r="FN25" s="1415"/>
      <c r="FR25" s="1594"/>
      <c r="FS25" s="1602"/>
      <c r="FT25" s="1415"/>
      <c r="FX25" s="1594"/>
      <c r="FY25" s="1602"/>
      <c r="FZ25" s="1415"/>
      <c r="GD25" s="1594"/>
      <c r="GE25" s="1602"/>
      <c r="GG25" s="1415"/>
      <c r="GJ25" s="1594"/>
      <c r="GK25" s="1602"/>
      <c r="GM25" s="1415"/>
      <c r="GO25" s="1415"/>
      <c r="GP25" s="1594"/>
      <c r="GQ25" s="1602"/>
      <c r="GS25" s="1415"/>
      <c r="GT25" s="1415"/>
      <c r="HA25" s="1835">
        <v>155</v>
      </c>
    </row>
    <row r="26" spans="1:210" ht="14" hidden="1" outlineLevel="2" thickBot="1" x14ac:dyDescent="0.2">
      <c r="A26" s="2825">
        <f>IF(E24=0,0,$DT$18)</f>
        <v>0</v>
      </c>
      <c r="B26" s="3075" t="str">
        <f>"Install ("&amp;C27&amp;M24&amp;N24&amp;O24&amp;M25&amp;N25&amp;M26&amp;N26&amp;")"</f>
        <v>Install (Physical)</v>
      </c>
      <c r="C26" s="258">
        <f>IF(E24=0,0, IF(I26=Calculator!$H$160,1,E26/O26)*H24)</f>
        <v>0</v>
      </c>
      <c r="D26" s="140">
        <f>IF(J26=$H$188,J27,0)+IF(E24=0,0,J24*E24)*($BO$2/F25)</f>
        <v>0</v>
      </c>
      <c r="E26" s="141">
        <f>IF(E24=0,0,L25*60/D26)</f>
        <v>0</v>
      </c>
      <c r="F26" s="142">
        <f>IF(L26=0,0,IF(H26,H26,IF(I26=Calculator!$H$160,A24,IF(N26="/DBMS",1,IF(H27=$I$187,IF(N25="",IF(L26=1,2,L26),L26+1),L26)))))</f>
        <v>0</v>
      </c>
      <c r="G26" s="158">
        <f>IF(E24=0,0,IF(F26&gt;0,+E26*F26,"Nodes?"))</f>
        <v>0</v>
      </c>
      <c r="H26" s="143"/>
      <c r="I26" s="1248" t="s">
        <v>408</v>
      </c>
      <c r="J26" s="3227" t="str">
        <f>J22</f>
        <v xml:space="preserve">Siloed </v>
      </c>
      <c r="K26" s="1604">
        <f>IF(AND(N26="",N25=""),2,4)</f>
        <v>2</v>
      </c>
      <c r="L26" s="1605">
        <f>IF(H26,H26,IF(E24=0,0,IF(A26&gt;0,+INT(A26/(E26*H24))+1,0)))</f>
        <v>0</v>
      </c>
      <c r="M26" s="469" t="str">
        <f>IF(ISERROR(VLOOKUP($K25,$O$5:$O$15,1,FALSE)),IF(ISERROR(VLOOKUP($K25,$O$5:$O$15,1,FALSE)),"","/"&amp;$O$4),"/"&amp;$O$4)</f>
        <v/>
      </c>
      <c r="N26" s="470" t="str">
        <f>IF(ISERROR(VLOOKUP($K25,$Q$5:$Q$15,1,FALSE)),IF(ISERROR(VLOOKUP($K25,$Q$5:$Q$15,1,FALSE)),"","/"&amp;$Q$4),"/"&amp;$Q$4)</f>
        <v/>
      </c>
      <c r="O26" s="471">
        <f>IF($DS$18&gt;0,$DT$18/$DS$18,0)</f>
        <v>0</v>
      </c>
      <c r="P26" s="886"/>
      <c r="Q26" s="1714">
        <f>D25/VLOOKUP(B25,HWRange,3,FALSE)</f>
        <v>0</v>
      </c>
      <c r="R26" s="1877">
        <f>P166</f>
        <v>0</v>
      </c>
      <c r="S26" s="1982">
        <f>IF(E24=0,0,H24*A24/A25)</f>
        <v>0</v>
      </c>
      <c r="T26" s="135">
        <v>10000</v>
      </c>
      <c r="U26" s="1608">
        <f>IF(E24=0,0,IF(U27=$I$188,U24,DV$18/F26))</f>
        <v>0</v>
      </c>
      <c r="V26" s="1826">
        <f>IF(G26&gt;0,1,0)</f>
        <v>0</v>
      </c>
      <c r="W26" s="1827">
        <f t="shared" ref="W26:AC26" si="11">IF(V26&gt;0,IF($F26&gt;V26,V26+1,0),0)</f>
        <v>0</v>
      </c>
      <c r="X26" s="1827">
        <f t="shared" si="11"/>
        <v>0</v>
      </c>
      <c r="Y26" s="1827">
        <f t="shared" si="11"/>
        <v>0</v>
      </c>
      <c r="Z26" s="1827">
        <f t="shared" si="11"/>
        <v>0</v>
      </c>
      <c r="AA26" s="1827">
        <f t="shared" si="11"/>
        <v>0</v>
      </c>
      <c r="AB26" s="1827">
        <f t="shared" si="11"/>
        <v>0</v>
      </c>
      <c r="AC26" s="1827">
        <f t="shared" si="11"/>
        <v>0</v>
      </c>
      <c r="AD26" s="1828">
        <f>IF(AC26&gt;0,IF($F26&gt;AC26,"…"&amp;$F26,0),0)</f>
        <v>0</v>
      </c>
      <c r="AE26" s="1829">
        <f>A25</f>
        <v>0</v>
      </c>
      <c r="AF26" s="2978">
        <f>IF(AF25="","",IF(H26=0,0,H26/AF25+IF(H27=$I$187,1,0)))</f>
        <v>0</v>
      </c>
      <c r="AG26" s="1591"/>
      <c r="AH26" s="1591"/>
      <c r="AI26" s="1591"/>
      <c r="AJ26" s="1591"/>
      <c r="AK26" s="1591"/>
      <c r="AL26" s="1591"/>
      <c r="AM26" s="1591"/>
      <c r="AN26" s="1591"/>
      <c r="AO26" s="1591"/>
      <c r="AP26" s="1591"/>
      <c r="AQ26" s="1591"/>
      <c r="AR26" s="1591"/>
      <c r="AS26" s="1591"/>
      <c r="AT26" s="1591"/>
      <c r="AU26" s="1591"/>
      <c r="AV26" s="1591"/>
      <c r="BC26" s="1602"/>
      <c r="BF26" s="1592"/>
      <c r="BG26" s="1601"/>
      <c r="BH26" s="1601"/>
      <c r="BI26" s="1601"/>
      <c r="BJ26" s="1601"/>
      <c r="BK26" s="1601"/>
      <c r="BL26" s="1601"/>
      <c r="BM26" s="1601"/>
      <c r="BN26" s="1601"/>
      <c r="BO26" s="1601"/>
      <c r="BP26" s="1606"/>
      <c r="BQ26" s="1606"/>
      <c r="BR26" s="1606"/>
      <c r="BS26" s="1606"/>
      <c r="BT26" s="1606"/>
      <c r="BU26" s="1606"/>
      <c r="BV26" s="1606"/>
      <c r="BW26" s="1606"/>
      <c r="BX26" s="1606"/>
      <c r="BY26" s="1606"/>
      <c r="BZ26" s="1606"/>
      <c r="CA26" s="1606"/>
      <c r="CB26" s="1606"/>
      <c r="CC26" s="1606"/>
      <c r="CD26" s="1606"/>
      <c r="CE26" s="1606"/>
      <c r="CF26" s="1606"/>
      <c r="CG26" s="1692">
        <f t="shared" si="9"/>
        <v>0</v>
      </c>
      <c r="CH26" s="1693" t="str">
        <f t="shared" si="9"/>
        <v>Install (Physical)</v>
      </c>
      <c r="CI26" s="1181">
        <f>F26</f>
        <v>0</v>
      </c>
      <c r="CJ26" s="2719">
        <f>D25</f>
        <v>0</v>
      </c>
      <c r="CK26" s="2724">
        <f>T26</f>
        <v>10000</v>
      </c>
      <c r="CL26" s="1592"/>
      <c r="CM26" s="1594"/>
      <c r="CN26" s="1592"/>
      <c r="CQ26" s="1592"/>
      <c r="CR26" s="1594"/>
      <c r="CU26" s="1592"/>
      <c r="DA26" s="1592"/>
      <c r="DB26" s="1594"/>
      <c r="DE26" s="1592"/>
      <c r="DF26" s="1594"/>
      <c r="DI26" s="1592"/>
      <c r="DJ26" s="1602"/>
      <c r="DK26" s="1602"/>
      <c r="DL26" s="1590"/>
      <c r="DM26" s="1602"/>
      <c r="DN26" s="1594"/>
      <c r="DO26" s="1594"/>
      <c r="DP26" s="394"/>
      <c r="DQ26" s="1602"/>
      <c r="DR26" s="1597"/>
      <c r="DS26" s="1597"/>
      <c r="DT26" s="1415"/>
      <c r="DW26" s="1602"/>
      <c r="DX26" s="1597"/>
      <c r="DY26" s="1415"/>
      <c r="EC26" s="1602"/>
      <c r="ED26" s="1415"/>
      <c r="EH26" s="1597"/>
      <c r="EI26" s="1602"/>
      <c r="EJ26" s="1415"/>
      <c r="EN26" s="1597"/>
      <c r="EO26" s="1602"/>
      <c r="EP26" s="1415"/>
      <c r="ET26" s="1597"/>
      <c r="EU26" s="1602"/>
      <c r="EV26" s="1415"/>
      <c r="EZ26" s="1597"/>
      <c r="FA26" s="1602"/>
      <c r="FB26" s="1415"/>
      <c r="FF26" s="1597"/>
      <c r="FG26" s="1602"/>
      <c r="FH26" s="1415"/>
      <c r="FL26" s="1597"/>
      <c r="FM26" s="1602"/>
      <c r="FN26" s="1415"/>
      <c r="FR26" s="1597"/>
      <c r="FS26" s="1602"/>
      <c r="FT26" s="1415"/>
      <c r="FX26" s="1597"/>
      <c r="FY26" s="1602"/>
      <c r="FZ26" s="1415"/>
      <c r="GD26" s="1597"/>
      <c r="GE26" s="1602"/>
      <c r="GG26" s="1415"/>
      <c r="GJ26" s="1597"/>
      <c r="GK26" s="1602"/>
      <c r="GM26" s="1415"/>
      <c r="GO26" s="1415"/>
      <c r="GP26" s="1597"/>
      <c r="GQ26" s="1602"/>
      <c r="GS26" s="1415"/>
      <c r="GT26" s="1415"/>
      <c r="HA26" s="1835">
        <v>135</v>
      </c>
    </row>
    <row r="27" spans="1:210" ht="15" hidden="1" outlineLevel="1" collapsed="1" x14ac:dyDescent="0.15">
      <c r="A27" s="916">
        <f>IF(A26=0,0,ROUND(100*A25,0)&amp;"% CPU")</f>
        <v>0</v>
      </c>
      <c r="B27" s="917">
        <f>IF(A26&gt;0,IF(I26=$J$163,K25&amp;": "&amp;F26&amp;"x "&amp;B25&amp;" "&amp;C25&amp;" GB RAM",$K25&amp;": "&amp;$F26&amp;"x VM ("&amp;I25&amp;" core "&amp;C25&amp;" GB RAM) "&amp;Q25&amp;" "&amp;L24&amp;" MHz"),0)</f>
        <v>0</v>
      </c>
      <c r="C27" s="1609" t="str">
        <f>IF(I26=$H$185,I26,I24)</f>
        <v>Physical</v>
      </c>
      <c r="D27" s="918">
        <f>A24</f>
        <v>0</v>
      </c>
      <c r="E27" s="919">
        <f>IF(E26&gt;0,ROUND(E26*60/1000,0)&amp;"K TPH",0)</f>
        <v>0</v>
      </c>
      <c r="F27" s="920">
        <f>+L26</f>
        <v>0</v>
      </c>
      <c r="G27" s="919">
        <f>IF(G26&gt;0,ROUND(G26*60/1000,0)&amp;"K TPH",0)</f>
        <v>0</v>
      </c>
      <c r="H27" s="921" t="str">
        <f>H$19</f>
        <v>Minimum</v>
      </c>
      <c r="I27" s="1736">
        <f>IF(I26=$J$163,0,I24)</f>
        <v>0</v>
      </c>
      <c r="J27" s="2086">
        <f>IF(AND(O24="/"&amp;$N$4,J26=$H$188),IF(F26&gt;0,(F26-1)*A26/(60*$H$190),0),0)</f>
        <v>0</v>
      </c>
      <c r="K27" s="2086">
        <f>IF(E24&gt;0,D26/E24,0)</f>
        <v>0</v>
      </c>
      <c r="L27" s="2080">
        <f>IF($W25=$W$163,2,F26)</f>
        <v>0</v>
      </c>
      <c r="M27" s="3134">
        <f>IF(AND(S27&gt;0,I26=$H$185),1,0)</f>
        <v>0</v>
      </c>
      <c r="N27" s="3134">
        <f>IF(I26 =$H$187,IF(N25="/"&amp;$K$4,0,1),0)</f>
        <v>0</v>
      </c>
      <c r="O27" s="1618"/>
      <c r="P27" s="922"/>
      <c r="Q27" s="1737">
        <f>IF($A29&lt;0.9999, $A29/((1+$CJ$2*$A29*($L29-1))*(1-$A29)),200)</f>
        <v>0</v>
      </c>
      <c r="R27" s="1618"/>
      <c r="S27" s="3118">
        <f>IF(LEFT(B25,3)=S25,VLOOKUP(B25,HWRange,10,FALSE),0)</f>
        <v>0</v>
      </c>
      <c r="T27" s="940" t="str">
        <f>U27</f>
        <v>Data</v>
      </c>
      <c r="U27" s="1595" t="s">
        <v>329</v>
      </c>
      <c r="V27" s="1918">
        <f>IF(A25&gt;0,B27&amp;" "&amp;C27&amp;IF(B27="",""," GB RAM"),0)</f>
        <v>0</v>
      </c>
      <c r="W27" s="1819"/>
      <c r="X27" s="1819"/>
      <c r="Y27" s="1819"/>
      <c r="Z27" s="1819"/>
      <c r="AA27" s="1819"/>
      <c r="AB27" s="1819"/>
      <c r="AC27" s="1819"/>
      <c r="AD27" s="1819"/>
      <c r="AE27" s="1919">
        <f>IF(A25&gt;0,F25,0)</f>
        <v>0</v>
      </c>
      <c r="AF27" s="2876">
        <f>IF(A24=0,0,IF(LEFT(B25,3)=S25,VLOOKUP(B25,HWRange,12,FALSE),0)*F26)</f>
        <v>0</v>
      </c>
      <c r="AG27" s="2877" t="str">
        <f>IF(AF27&gt;0,S25&amp;" 3-yr Pricing","")</f>
        <v/>
      </c>
      <c r="AH27" s="2878"/>
      <c r="AI27" s="1591"/>
      <c r="AJ27" s="1591"/>
      <c r="AK27" s="1591"/>
      <c r="AL27" s="1591"/>
      <c r="AM27" s="1591"/>
      <c r="AN27" s="1591"/>
      <c r="AO27" s="1591"/>
      <c r="AP27" s="1591"/>
      <c r="AQ27" s="1591"/>
      <c r="AR27" s="1591"/>
      <c r="AS27" s="1591"/>
      <c r="AT27" s="1591"/>
      <c r="AU27" s="1591"/>
      <c r="AV27" s="1591"/>
      <c r="AX27" s="1601"/>
      <c r="AY27" s="1601"/>
      <c r="BC27" s="1614"/>
      <c r="BF27" s="1592"/>
      <c r="BG27" s="1601"/>
      <c r="BH27" s="1601"/>
      <c r="BI27" s="1601"/>
      <c r="BJ27" s="1601"/>
      <c r="BK27" s="1601"/>
      <c r="BL27" s="1601"/>
      <c r="BM27" s="1601"/>
      <c r="BN27" s="1601"/>
      <c r="BO27" s="1601"/>
      <c r="BP27" s="1619"/>
      <c r="BQ27" s="1619"/>
      <c r="BR27" s="1619"/>
      <c r="BS27" s="1619"/>
      <c r="BT27" s="1619"/>
      <c r="BU27" s="1619"/>
      <c r="BV27" s="1619"/>
      <c r="BW27" s="1619"/>
      <c r="BX27" s="1619"/>
      <c r="BY27" s="1619"/>
      <c r="BZ27" s="1619"/>
      <c r="CA27" s="1619"/>
      <c r="CB27" s="1619"/>
      <c r="CC27" s="1619"/>
      <c r="CD27" s="1619"/>
      <c r="CE27" s="1619"/>
      <c r="CF27" s="1619"/>
      <c r="CG27" s="3403">
        <f>B27</f>
        <v>0</v>
      </c>
      <c r="CH27" s="3404"/>
      <c r="CI27" s="3404"/>
      <c r="CJ27" s="3404"/>
      <c r="CK27" s="2723"/>
      <c r="CL27" s="1592"/>
      <c r="CM27" s="1594"/>
      <c r="CN27" s="1592"/>
      <c r="CQ27" s="1592"/>
      <c r="CR27" s="1594"/>
      <c r="CU27" s="1592"/>
      <c r="DA27" s="1592"/>
      <c r="DB27" s="1594"/>
      <c r="DE27" s="1592"/>
      <c r="DF27" s="1594"/>
      <c r="DI27" s="1592"/>
      <c r="DJ27" s="1614"/>
      <c r="DK27" s="1614"/>
      <c r="DL27" s="1614"/>
      <c r="DM27" s="1614"/>
      <c r="DN27" s="1594"/>
      <c r="DO27" s="1594"/>
      <c r="DP27" s="394"/>
      <c r="DQ27" s="1614"/>
      <c r="DR27" s="1597"/>
      <c r="DS27" s="1597"/>
      <c r="DT27" s="1415"/>
      <c r="DW27" s="1614"/>
      <c r="DX27" s="1597"/>
      <c r="DY27" s="1415"/>
      <c r="EC27" s="1614"/>
      <c r="ED27" s="1415"/>
      <c r="EH27" s="1597"/>
      <c r="EI27" s="1614"/>
      <c r="EJ27" s="1415"/>
      <c r="EN27" s="1597"/>
      <c r="EO27" s="1614"/>
      <c r="EP27" s="1415"/>
      <c r="ET27" s="1597"/>
      <c r="EU27" s="1614"/>
      <c r="EV27" s="1415"/>
      <c r="EZ27" s="1597"/>
      <c r="FA27" s="1614"/>
      <c r="FB27" s="1415"/>
      <c r="FF27" s="1597"/>
      <c r="FG27" s="1614"/>
      <c r="FH27" s="1415"/>
      <c r="FL27" s="1597"/>
      <c r="FM27" s="1614"/>
      <c r="FN27" s="1415"/>
      <c r="FR27" s="1597"/>
      <c r="FS27" s="1614"/>
      <c r="FT27" s="1415"/>
      <c r="FX27" s="1597"/>
      <c r="FY27" s="1614"/>
      <c r="FZ27" s="1415"/>
      <c r="GD27" s="1597"/>
      <c r="GE27" s="1614"/>
      <c r="GG27" s="1415"/>
      <c r="GJ27" s="1597"/>
      <c r="GK27" s="1614"/>
      <c r="GM27" s="1415"/>
      <c r="GO27" s="1415"/>
      <c r="GP27" s="1597"/>
      <c r="GQ27" s="1614"/>
      <c r="GS27" s="1415"/>
      <c r="GT27" s="1415"/>
      <c r="HA27" s="1835">
        <v>90</v>
      </c>
    </row>
    <row r="28" spans="1:210" ht="17" hidden="1" outlineLevel="2" thickBot="1" x14ac:dyDescent="0.25">
      <c r="A28" s="2823">
        <f>IF(O30&gt;0,A30/O30,0)</f>
        <v>0</v>
      </c>
      <c r="B28" s="552" t="s">
        <v>129</v>
      </c>
      <c r="C28" s="136" t="str">
        <f>VLOOKUP(B29,Hardware!$A$2:$I$632,9,FALSE)</f>
        <v>Intel</v>
      </c>
      <c r="D28" s="137" t="str">
        <f>D24</f>
        <v>Arc18=</v>
      </c>
      <c r="E28" s="138">
        <f>IF(DY$18=0,0,IF(EC$18&gt;0,EC$18/DZ$18))</f>
        <v>0</v>
      </c>
      <c r="F28" s="139" t="s">
        <v>328</v>
      </c>
      <c r="G28" s="1585"/>
      <c r="H28" s="1586">
        <v>0.8</v>
      </c>
      <c r="I28" s="1739" t="str">
        <f>I24</f>
        <v>Host01</v>
      </c>
      <c r="J28" s="207">
        <f>IF(K28&gt;0,K28,IF(I30=Calculator!$H$158,1, IF(OR(R28=Calculator!$H$162,R28=Calculator!$H$163), VLOOKUP(I30,VAdjust,2,FALSE),1)))</f>
        <v>1</v>
      </c>
      <c r="K28" s="2456"/>
      <c r="L28" s="722">
        <f>VLOOKUP(B29,HWRange,5,FALSE)</f>
        <v>3500</v>
      </c>
      <c r="M28" s="464" t="str">
        <f>IF(ISERROR(VLOOKUP($K29,$L$5:$L$15,1,FALSE)),"","/"&amp;$L$4)</f>
        <v/>
      </c>
      <c r="N28" s="257" t="str">
        <f>IF(ISERROR(VLOOKUP($K29,$M$5:$M$15,1,FALSE)),IF(ISERROR(VLOOKUP($K29,$M$5:$M$15,1,FALSE)),"","/"&amp;$M$4),"/"&amp;$M$4)</f>
        <v/>
      </c>
      <c r="O28" s="465" t="str">
        <f>IF(ISERROR(VLOOKUP($K29,$N$5:$N$15,1,FALSE)),IF(ISERROR(VLOOKUP($K29,$N$5:$N$15,1,FALSE)),"","/"&amp;$N$4),"/"&amp;$N$4)</f>
        <v/>
      </c>
      <c r="P28" s="1587">
        <f>IF(A29=0,0,IF(P30&gt;0,1000*C29/C30,1000*C29/C30))/2</f>
        <v>0</v>
      </c>
      <c r="Q28" s="1734">
        <f>IF(I30=$J$163,0,VLOOKUP(I28,HostArray,2,FALSE))</f>
        <v>0</v>
      </c>
      <c r="R28" s="1588" t="s">
        <v>412</v>
      </c>
      <c r="S28" s="3071" t="str">
        <f>IF(S29=LEFT(B29,3),_xlfn.NUMBERVALUE(MID(B29,FIND("(",B29,1)+1,FIND(")",B29,1)-FIND("(",B29,1)-3)),"")</f>
        <v/>
      </c>
      <c r="T28" s="135">
        <v>10000</v>
      </c>
      <c r="U28" s="1616">
        <f>IF(E28&gt;0,IF(AND(M30="",N30=""),EA$18/F30,EB$18/F30),0)</f>
        <v>0</v>
      </c>
      <c r="V28" s="1822">
        <f t="shared" ref="V28:AD28" si="12">IF(V30&gt;0,IF($A29&gt;0.5,$A29,""),0)</f>
        <v>0</v>
      </c>
      <c r="W28" s="1823">
        <f>IF(AND($W29=W$163,$H31=I$187),W$164,IF(W30&gt;0,IF($A29&gt;0.5,$A29,""),0))</f>
        <v>0</v>
      </c>
      <c r="X28" s="1823">
        <f t="shared" si="12"/>
        <v>0</v>
      </c>
      <c r="Y28" s="1823">
        <f t="shared" si="12"/>
        <v>0</v>
      </c>
      <c r="Z28" s="1823">
        <f t="shared" si="12"/>
        <v>0</v>
      </c>
      <c r="AA28" s="1823">
        <f t="shared" si="12"/>
        <v>0</v>
      </c>
      <c r="AB28" s="1823">
        <f t="shared" si="12"/>
        <v>0</v>
      </c>
      <c r="AC28" s="1823">
        <f t="shared" si="12"/>
        <v>0</v>
      </c>
      <c r="AD28" s="1824">
        <f t="shared" si="12"/>
        <v>0</v>
      </c>
      <c r="AE28" s="1825">
        <f>L31</f>
        <v>0</v>
      </c>
      <c r="AF28" s="2977" t="str">
        <f>IF(I30=$H$187,$AF$18,"")</f>
        <v/>
      </c>
      <c r="AG28" s="1600"/>
      <c r="AH28" s="1600"/>
      <c r="AI28" s="1600"/>
      <c r="AJ28" s="1600"/>
      <c r="AK28" s="1600"/>
      <c r="AL28" s="1600"/>
      <c r="AM28" s="1600"/>
      <c r="AN28" s="1600"/>
      <c r="AO28" s="1600"/>
      <c r="AP28" s="1600"/>
      <c r="AQ28" s="1600"/>
      <c r="AR28" s="1600"/>
      <c r="AS28" s="1600"/>
      <c r="AT28" s="1600"/>
      <c r="AU28" s="1600"/>
      <c r="AV28" s="1600"/>
      <c r="AX28" s="2"/>
      <c r="AY28" s="2"/>
      <c r="BC28" s="1"/>
      <c r="BF28" s="1592"/>
      <c r="BG28" s="1593"/>
      <c r="BH28" s="1593"/>
      <c r="BI28" s="1593"/>
      <c r="BJ28" s="1593"/>
      <c r="BK28" s="1593"/>
      <c r="BL28" s="1593"/>
      <c r="BM28" s="1593"/>
      <c r="BN28" s="1593"/>
      <c r="BO28" s="1593"/>
      <c r="BP28" s="889"/>
      <c r="BQ28" s="889"/>
      <c r="BR28" s="889"/>
      <c r="BS28" s="889"/>
      <c r="BT28" s="889"/>
      <c r="BU28" s="889"/>
      <c r="BV28" s="1615"/>
      <c r="BW28" s="1615"/>
      <c r="BX28" s="1615"/>
      <c r="BY28" s="1615"/>
      <c r="BZ28" s="1615"/>
      <c r="CA28" s="1615"/>
      <c r="CB28" s="1615"/>
      <c r="CC28" s="1615"/>
      <c r="CD28" s="1615"/>
      <c r="CE28" s="1615"/>
      <c r="CF28" s="1615"/>
      <c r="CG28" s="1689">
        <f t="shared" ref="CG28:CH30" si="13">A28</f>
        <v>0</v>
      </c>
      <c r="CH28" s="1690" t="str">
        <f t="shared" si="13"/>
        <v>Tier03: Platform Tier 03</v>
      </c>
      <c r="CI28" s="1179" t="str">
        <f>F28</f>
        <v>SRint2006</v>
      </c>
      <c r="CJ28" s="2718"/>
      <c r="CK28" s="2724">
        <f>T28</f>
        <v>10000</v>
      </c>
      <c r="CL28" s="1592"/>
      <c r="CM28" s="1594"/>
      <c r="CN28" s="1592"/>
      <c r="CQ28" s="1592"/>
      <c r="CR28" s="1594"/>
      <c r="CU28" s="1592"/>
      <c r="DA28" s="1592"/>
      <c r="DB28" s="1594"/>
      <c r="DE28" s="1592"/>
      <c r="DF28" s="1594"/>
      <c r="DI28" s="1592"/>
      <c r="DJ28" s="1"/>
      <c r="DK28" s="1"/>
      <c r="DL28" s="1590"/>
      <c r="DM28" s="1"/>
      <c r="DN28" s="1594"/>
      <c r="DO28" s="1595"/>
      <c r="DP28" s="394"/>
      <c r="DQ28" s="1"/>
      <c r="DR28" s="1593"/>
      <c r="DS28" s="1593"/>
      <c r="DT28" s="1415"/>
      <c r="DW28" s="1"/>
      <c r="DX28" s="1593"/>
      <c r="DY28" s="1415"/>
      <c r="EC28" s="1"/>
      <c r="ED28" s="1415"/>
      <c r="EH28" s="1593"/>
      <c r="EI28" s="1"/>
      <c r="EJ28" s="1415"/>
      <c r="EN28" s="1593"/>
      <c r="EO28" s="1"/>
      <c r="EP28" s="1415"/>
      <c r="ET28" s="1593"/>
      <c r="EU28" s="1"/>
      <c r="EV28" s="1415"/>
      <c r="EZ28" s="1593"/>
      <c r="FA28" s="1"/>
      <c r="FB28" s="1415"/>
      <c r="FF28" s="1593"/>
      <c r="FG28" s="1"/>
      <c r="FH28" s="1415"/>
      <c r="FL28" s="1593"/>
      <c r="FM28" s="1"/>
      <c r="FN28" s="1415"/>
      <c r="FR28" s="1593"/>
      <c r="FS28" s="1"/>
      <c r="FT28" s="1415"/>
      <c r="FX28" s="1593"/>
      <c r="FY28" s="1"/>
      <c r="FZ28" s="1415"/>
      <c r="GD28" s="1593"/>
      <c r="GE28" s="1"/>
      <c r="GG28" s="1415"/>
      <c r="GJ28" s="1593"/>
      <c r="GK28" s="1"/>
      <c r="GM28" s="1415"/>
      <c r="GO28" s="1415"/>
      <c r="GP28" s="1593"/>
      <c r="GQ28" s="1"/>
      <c r="GS28" s="1415"/>
      <c r="GT28" s="1415"/>
      <c r="HA28" s="1835">
        <v>45</v>
      </c>
    </row>
    <row r="29" spans="1:210" ht="15" hidden="1" outlineLevel="2" x14ac:dyDescent="0.2">
      <c r="A29" s="2824">
        <f>IF(E28=0,0,A30/G30)</f>
        <v>0</v>
      </c>
      <c r="B29" s="156" t="str">
        <f>B25</f>
        <v>Xeon E5-2637v4 4 core (1 chip) 3500 MHz</v>
      </c>
      <c r="C29" s="206">
        <f>ROUND(IF(P30&gt;0,2*P30*C30/1000, IF(L30=0,0, IF(I30=Calculator!$H$160, Calculator!$J$160*(1+L29), IF(K30=4, 4*H28*G29/13.4,L29*Calculator!$J$151)))),0)</f>
        <v>0</v>
      </c>
      <c r="D29" s="205">
        <f>F30*L29</f>
        <v>0</v>
      </c>
      <c r="E29" s="70">
        <f>IF(I30=J163,F30*VLOOKUP(B29,HWRange,8,FALSE),"Virtual Server")</f>
        <v>0</v>
      </c>
      <c r="F29" s="71">
        <f>IF(I30=$J$163,VLOOKUP(B29,HWRange,7,FALSE),IF(I29&gt;VLOOKUP(B29,HWRange,3,FALSE),VLOOKUP(B29,HWRange,7,FALSE)*VLOOKUP(B29,HWRange,3,FALSE)/I29,VLOOKUP(B29,HWRange,7,FALSE)))</f>
        <v>60</v>
      </c>
      <c r="G29" s="157">
        <f>IF(I30=$J$163,VLOOKUP(B29,HWRange,6,FALSE),VLOOKUP(B29,HWRange,6,FALSE)*I29/VLOOKUP(B29,HWRange,3,FALSE))</f>
        <v>240</v>
      </c>
      <c r="H29" s="161" t="s">
        <v>365</v>
      </c>
      <c r="I29" s="1247">
        <v>2</v>
      </c>
      <c r="J29" s="1881"/>
      <c r="K29" s="756" t="str">
        <f>A167</f>
        <v>Tier03</v>
      </c>
      <c r="L29" s="491">
        <f>IF(I30=$J$163,VLOOKUP(B29,HWRange,3,FALSE),I29)</f>
        <v>4</v>
      </c>
      <c r="M29" s="466" t="str">
        <f>IF(ISERROR(VLOOKUP($K29,$J$5:$J$15,1,FALSE)),IF(ISERROR(VLOOKUP($K29,$J$5:$J$15,1,FALSE)),"","/"&amp;$J$4),"/"&amp;$J$4)</f>
        <v/>
      </c>
      <c r="N29" s="467" t="str">
        <f>IF(ISERROR(VLOOKUP($K29,$K$5:$K$15,1,FALSE)),"","/"&amp;$K$4)</f>
        <v/>
      </c>
      <c r="O29" s="468">
        <f>IF(AND(O28="",M30=""),0,D29)</f>
        <v>0</v>
      </c>
      <c r="P29" s="1596" t="str">
        <f>IF(NOT(M29=""),Calculator!$A$158,IF(NOT(N29=""),Calculator!$B$158,IF(NOT(O28=""), Calculator!$C$158,Calculator!$G$158)))</f>
        <v>WindowsLinuxSolarisAIXHPUX</v>
      </c>
      <c r="Q29" s="1246" t="str">
        <f>VLOOKUP(B29,HWRange,2,FALSE)</f>
        <v>Xeon E5-2637v4</v>
      </c>
      <c r="R29" s="1187">
        <f>F30*VLOOKUP(B29,HWRange,8,FALSE)</f>
        <v>0</v>
      </c>
      <c r="S29" s="3070">
        <f>IF(OR(LEFT(B29,3)="AMI",LEFT(B29,3)="AZI"),LEFT(B29,3),0)</f>
        <v>0</v>
      </c>
      <c r="T29" s="1620" t="s">
        <v>366</v>
      </c>
      <c r="U29" s="1599" t="s">
        <v>307</v>
      </c>
      <c r="V29" s="822">
        <f t="shared" ref="V29:AD29" si="14">IF(V30=0,0,IF($A29&lt;0.5,$A29,"+"))</f>
        <v>0</v>
      </c>
      <c r="W29" s="2063">
        <f>IF(AND($N30="/"&amp;$Q$4,$H31=I$187,$H30=0),W$163,IF(W30=0,0,IF($A29&lt;0.5,$A29,"+")))</f>
        <v>0</v>
      </c>
      <c r="X29" s="318">
        <f t="shared" si="14"/>
        <v>0</v>
      </c>
      <c r="Y29" s="318">
        <f t="shared" si="14"/>
        <v>0</v>
      </c>
      <c r="Z29" s="318">
        <f t="shared" si="14"/>
        <v>0</v>
      </c>
      <c r="AA29" s="318">
        <f t="shared" si="14"/>
        <v>0</v>
      </c>
      <c r="AB29" s="318">
        <f t="shared" si="14"/>
        <v>0</v>
      </c>
      <c r="AC29" s="318">
        <f t="shared" si="14"/>
        <v>0</v>
      </c>
      <c r="AD29" s="823">
        <f t="shared" si="14"/>
        <v>0</v>
      </c>
      <c r="AE29" s="1185">
        <f>D29</f>
        <v>0</v>
      </c>
      <c r="AF29" s="2998">
        <f>AF$19</f>
        <v>24</v>
      </c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X29" s="1601"/>
      <c r="AY29" s="1601"/>
      <c r="BC29" s="1602"/>
      <c r="BF29" s="1592"/>
      <c r="BG29" s="1601"/>
      <c r="BH29" s="1601"/>
      <c r="BI29" s="1601"/>
      <c r="BJ29" s="1601"/>
      <c r="BK29" s="1601"/>
      <c r="BL29" s="1601"/>
      <c r="BM29" s="1601"/>
      <c r="BN29" s="1601"/>
      <c r="BO29" s="1601"/>
      <c r="BP29" s="885">
        <f>IF(A29&gt;0,1,0)</f>
        <v>0</v>
      </c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1691">
        <f t="shared" si="13"/>
        <v>0</v>
      </c>
      <c r="CH29" s="1590" t="str">
        <f t="shared" si="13"/>
        <v>Xeon E5-2637v4 4 core (1 chip) 3500 MHz</v>
      </c>
      <c r="CI29" s="1180">
        <f>F29</f>
        <v>60</v>
      </c>
      <c r="CJ29" s="1180">
        <f>G29</f>
        <v>240</v>
      </c>
      <c r="CK29" s="2723"/>
      <c r="CL29" s="1592"/>
      <c r="CM29" s="1594"/>
      <c r="CN29" s="1592"/>
      <c r="CQ29" s="1592"/>
      <c r="CR29" s="1594"/>
      <c r="CU29" s="1592"/>
      <c r="DA29" s="1592"/>
      <c r="DB29" s="1594"/>
      <c r="DE29" s="1592"/>
      <c r="DF29" s="1594"/>
      <c r="DI29" s="1592"/>
      <c r="DJ29" s="1602"/>
      <c r="DK29" s="1602"/>
      <c r="DL29" s="1590"/>
      <c r="DM29" s="1602"/>
      <c r="DN29" s="1594"/>
      <c r="DO29" s="1594"/>
      <c r="DP29" s="394"/>
      <c r="DQ29" s="1602"/>
      <c r="DR29" s="1594"/>
      <c r="DS29" s="1594"/>
      <c r="DT29" s="1415"/>
      <c r="DW29" s="1602"/>
      <c r="DX29" s="1594"/>
      <c r="DY29" s="1415"/>
      <c r="EC29" s="1602"/>
      <c r="ED29" s="1415"/>
      <c r="EH29" s="1594"/>
      <c r="EI29" s="1602"/>
      <c r="EJ29" s="1415"/>
      <c r="EN29" s="1594"/>
      <c r="EO29" s="1602"/>
      <c r="EP29" s="1415"/>
      <c r="ET29" s="1594"/>
      <c r="EU29" s="1602"/>
      <c r="EV29" s="1415"/>
      <c r="EZ29" s="1594"/>
      <c r="FA29" s="1602"/>
      <c r="FB29" s="1415"/>
      <c r="FF29" s="1594"/>
      <c r="FG29" s="1602"/>
      <c r="FH29" s="1415"/>
      <c r="FL29" s="1594"/>
      <c r="FM29" s="1602"/>
      <c r="FN29" s="1415"/>
      <c r="FR29" s="1594"/>
      <c r="FS29" s="1602"/>
      <c r="FT29" s="1415"/>
      <c r="FX29" s="1594"/>
      <c r="FY29" s="1602"/>
      <c r="FZ29" s="1415"/>
      <c r="GD29" s="1594"/>
      <c r="GE29" s="1602"/>
      <c r="GG29" s="1415"/>
      <c r="GJ29" s="1594"/>
      <c r="GK29" s="1602"/>
      <c r="GM29" s="1415"/>
      <c r="GO29" s="1415"/>
      <c r="GP29" s="1594"/>
      <c r="GQ29" s="1602"/>
      <c r="GS29" s="1415"/>
      <c r="GT29" s="1415"/>
      <c r="HA29" s="1835">
        <v>24</v>
      </c>
    </row>
    <row r="30" spans="1:210" ht="14" hidden="1" outlineLevel="2" thickBot="1" x14ac:dyDescent="0.2">
      <c r="A30" s="2825">
        <f>IF(E28=0,0,DZ$18)</f>
        <v>0</v>
      </c>
      <c r="B30" s="3076" t="str">
        <f>"Install ("&amp;C31&amp;M28&amp;N28&amp;O28&amp;M29&amp;N29&amp;M30&amp;N30&amp;")"</f>
        <v>Install (Physical)</v>
      </c>
      <c r="C30" s="258">
        <f>IF(E28=0,0, IF(I30=Calculator!$H$160,1,E30/O30)*H28)</f>
        <v>0</v>
      </c>
      <c r="D30" s="140">
        <f>IF(J30=$H$188,J31,0)+IF(E28=0,0,J28*E28)*($BO$2/F29)</f>
        <v>0</v>
      </c>
      <c r="E30" s="141">
        <f>IF(E28=0,0,L29*60/D30)</f>
        <v>0</v>
      </c>
      <c r="F30" s="142">
        <f>IF(L30=0,0,IF(H30,H30,IF(I30=Calculator!$H$160,A28,IF(N30="/DBMS",1,IF(H31=$I$187,IF(N29="",IF(L30=1,2,L30),L30+1),L30)))))</f>
        <v>0</v>
      </c>
      <c r="G30" s="158">
        <f>IF(E28=0,0,IF(F30&gt;0,+E30*F30,"Nodes?"))</f>
        <v>0</v>
      </c>
      <c r="H30" s="143"/>
      <c r="I30" s="1248" t="s">
        <v>408</v>
      </c>
      <c r="J30" s="3227" t="str">
        <f>J26</f>
        <v xml:space="preserve">Siloed </v>
      </c>
      <c r="K30" s="1604">
        <f>IF(AND(N30="",N29=""),2,4)</f>
        <v>2</v>
      </c>
      <c r="L30" s="1605">
        <f>IF(H30,H30,IF(E28=0,0,IF(A30&gt;0,+INT(A30/(E30*H28))+1,0)))</f>
        <v>0</v>
      </c>
      <c r="M30" s="469" t="str">
        <f>IF(ISERROR(VLOOKUP($K29,$O$5:$O$15,1,FALSE)),IF(ISERROR(VLOOKUP($K29,$O$5:$O$15,1,FALSE)),"","/"&amp;$O$4),"/"&amp;$O$4)</f>
        <v/>
      </c>
      <c r="N30" s="470" t="str">
        <f>IF(ISERROR(VLOOKUP($K29,$Q$5:$Q$15,1,FALSE)),IF(ISERROR(VLOOKUP($K29,$Q$5:$Q$15,1,FALSE)),"","/"&amp;$Q$4),"/"&amp;$Q$4)</f>
        <v/>
      </c>
      <c r="O30" s="471">
        <f>IF($DY$18&gt;0,$DZ$18/$DY$18,0)</f>
        <v>0</v>
      </c>
      <c r="P30" s="886"/>
      <c r="Q30" s="1714">
        <f>D29/VLOOKUP(B29,HWRange,3,FALSE)</f>
        <v>0</v>
      </c>
      <c r="R30" s="1877">
        <f>P167</f>
        <v>0</v>
      </c>
      <c r="S30" s="1982">
        <f>IF(E28=0,0,H28*A28/A29)</f>
        <v>0</v>
      </c>
      <c r="T30" s="135">
        <v>10000</v>
      </c>
      <c r="U30" s="1608">
        <f>IF(E28=0,0,IF(U31=$I$188,U28,EB$18/F30))</f>
        <v>0</v>
      </c>
      <c r="V30" s="1826">
        <f>IF(G30&gt;0,1,0)</f>
        <v>0</v>
      </c>
      <c r="W30" s="1827">
        <f t="shared" ref="W30:AC30" si="15">IF(V30&gt;0,IF($F30&gt;V30,V30+1,0),0)</f>
        <v>0</v>
      </c>
      <c r="X30" s="1827">
        <f t="shared" si="15"/>
        <v>0</v>
      </c>
      <c r="Y30" s="1827">
        <f t="shared" si="15"/>
        <v>0</v>
      </c>
      <c r="Z30" s="1827">
        <f t="shared" si="15"/>
        <v>0</v>
      </c>
      <c r="AA30" s="1827">
        <f t="shared" si="15"/>
        <v>0</v>
      </c>
      <c r="AB30" s="1827">
        <f t="shared" si="15"/>
        <v>0</v>
      </c>
      <c r="AC30" s="1827">
        <f t="shared" si="15"/>
        <v>0</v>
      </c>
      <c r="AD30" s="1828">
        <f>IF(AC30&gt;0,IF($F30&gt;AC30,"…"&amp;$F30,0),0)</f>
        <v>0</v>
      </c>
      <c r="AE30" s="1829">
        <f>A29</f>
        <v>0</v>
      </c>
      <c r="AF30" s="2978">
        <f>IF(AF29="","",IF(H30=0,0,H30/AF29+IF(H31=$I$187,1,0)))</f>
        <v>0</v>
      </c>
      <c r="AG30" s="1591"/>
      <c r="AH30" s="1591"/>
      <c r="AI30" s="1591"/>
      <c r="AJ30" s="1591"/>
      <c r="AK30" s="1591"/>
      <c r="AL30" s="1591"/>
      <c r="AM30" s="1591"/>
      <c r="AN30" s="1591"/>
      <c r="AO30" s="1591"/>
      <c r="AP30" s="1591"/>
      <c r="AQ30" s="1591"/>
      <c r="AR30" s="1591"/>
      <c r="AS30" s="1591"/>
      <c r="AT30" s="1591"/>
      <c r="AU30" s="1591"/>
      <c r="AV30" s="1591"/>
      <c r="BC30" s="1602"/>
      <c r="BF30" s="1592"/>
      <c r="BG30" s="1601"/>
      <c r="BH30" s="1601"/>
      <c r="BI30" s="1601"/>
      <c r="BJ30" s="1601"/>
      <c r="BK30" s="1601"/>
      <c r="BL30" s="1601"/>
      <c r="BM30" s="1601"/>
      <c r="BN30" s="1601"/>
      <c r="BO30" s="1601"/>
      <c r="BP30" s="1606"/>
      <c r="BQ30" s="1606"/>
      <c r="BR30" s="1606"/>
      <c r="BS30" s="1606"/>
      <c r="BT30" s="1606"/>
      <c r="BU30" s="1606"/>
      <c r="BV30" s="1606"/>
      <c r="BW30" s="1606"/>
      <c r="BX30" s="1606"/>
      <c r="BY30" s="1606"/>
      <c r="BZ30" s="1606"/>
      <c r="CA30" s="1606"/>
      <c r="CB30" s="1606"/>
      <c r="CC30" s="1606"/>
      <c r="CD30" s="1606"/>
      <c r="CE30" s="1606"/>
      <c r="CF30" s="1606"/>
      <c r="CG30" s="1692">
        <f t="shared" si="13"/>
        <v>0</v>
      </c>
      <c r="CH30" s="1693" t="str">
        <f t="shared" si="13"/>
        <v>Install (Physical)</v>
      </c>
      <c r="CI30" s="1181">
        <f>F30</f>
        <v>0</v>
      </c>
      <c r="CJ30" s="2719">
        <f>D29</f>
        <v>0</v>
      </c>
      <c r="CK30" s="2724">
        <f>T30</f>
        <v>10000</v>
      </c>
      <c r="CL30" s="1592"/>
      <c r="CM30" s="1594"/>
      <c r="CN30" s="1592"/>
      <c r="CQ30" s="1592"/>
      <c r="CR30" s="1594"/>
      <c r="CU30" s="1592"/>
      <c r="DA30" s="1592"/>
      <c r="DB30" s="1594"/>
      <c r="DE30" s="1592"/>
      <c r="DF30" s="1594"/>
      <c r="DI30" s="1592"/>
      <c r="DJ30" s="1602"/>
      <c r="DK30" s="1602"/>
      <c r="DL30" s="1590"/>
      <c r="DM30" s="1602"/>
      <c r="DN30" s="1594"/>
      <c r="DO30" s="1594"/>
      <c r="DP30" s="394"/>
      <c r="DQ30" s="1602"/>
      <c r="DR30" s="1597"/>
      <c r="DS30" s="1597"/>
      <c r="DT30" s="1415"/>
      <c r="DW30" s="1602"/>
      <c r="DX30" s="1597"/>
      <c r="DY30" s="1415"/>
      <c r="EC30" s="1602"/>
      <c r="ED30" s="1415"/>
      <c r="EH30" s="1597"/>
      <c r="EI30" s="1602"/>
      <c r="EJ30" s="1415"/>
      <c r="EN30" s="1597"/>
      <c r="EO30" s="1602"/>
      <c r="EP30" s="1415"/>
      <c r="ET30" s="1597"/>
      <c r="EU30" s="1602"/>
      <c r="EV30" s="1415"/>
      <c r="EZ30" s="1597"/>
      <c r="FA30" s="1602"/>
      <c r="FB30" s="1415"/>
      <c r="FF30" s="1597"/>
      <c r="FG30" s="1602"/>
      <c r="FH30" s="1415"/>
      <c r="FL30" s="1597"/>
      <c r="FM30" s="1602"/>
      <c r="FN30" s="1415"/>
      <c r="FR30" s="1597"/>
      <c r="FS30" s="1602"/>
      <c r="FT30" s="1415"/>
      <c r="FX30" s="1597"/>
      <c r="FY30" s="1602"/>
      <c r="FZ30" s="1415"/>
      <c r="GD30" s="1597"/>
      <c r="GE30" s="1602"/>
      <c r="GG30" s="1415"/>
      <c r="GJ30" s="1597"/>
      <c r="GK30" s="1602"/>
      <c r="GM30" s="1415"/>
      <c r="GO30" s="1415"/>
      <c r="GP30" s="1597"/>
      <c r="GQ30" s="1602"/>
      <c r="GS30" s="1415"/>
      <c r="GT30" s="1415"/>
      <c r="HA30" s="1835">
        <v>18</v>
      </c>
    </row>
    <row r="31" spans="1:210" ht="15" hidden="1" outlineLevel="1" collapsed="1" x14ac:dyDescent="0.15">
      <c r="A31" s="916">
        <f>IF(A30=0,0,ROUND(100*A29,0)&amp;"% CPU")</f>
        <v>0</v>
      </c>
      <c r="B31" s="917">
        <f>IF(A30&gt;0,IF(I30=$J$163,K29&amp;": "&amp;F30&amp;"x "&amp;B29&amp;" "&amp;C29&amp;" GB RAM",$K29&amp;": "&amp;$F30&amp;"x VM ("&amp;I29&amp;" core "&amp;C29&amp;" GB RAM) "&amp;Q29&amp;" "&amp;L28&amp;" MHz"),0)</f>
        <v>0</v>
      </c>
      <c r="C31" s="1609" t="str">
        <f>IF(I30=$H$185,I30,I28)</f>
        <v>Physical</v>
      </c>
      <c r="D31" s="918">
        <f>A28</f>
        <v>0</v>
      </c>
      <c r="E31" s="919">
        <f>IF(E30&gt;0,ROUND(E30*60/1000,0)&amp;"K TPH",0)</f>
        <v>0</v>
      </c>
      <c r="F31" s="920">
        <f>+L30</f>
        <v>0</v>
      </c>
      <c r="G31" s="919">
        <f>IF(G30&gt;0,ROUND(G30*60/1000,0)&amp;"K TPH",0)</f>
        <v>0</v>
      </c>
      <c r="H31" s="921" t="str">
        <f>H$19</f>
        <v>Minimum</v>
      </c>
      <c r="I31" s="1736">
        <f>IF(I30=$J$163,0,I28)</f>
        <v>0</v>
      </c>
      <c r="J31" s="2086">
        <f>IF(AND(O28="/"&amp;$N$4,J30=$H$188),IF(F30&gt;0,(F30-1)*A30/(60*$H$190),0),0)</f>
        <v>0</v>
      </c>
      <c r="K31" s="2086">
        <f>IF(E28&gt;0,D30/E28,0)</f>
        <v>0</v>
      </c>
      <c r="L31" s="2080">
        <f>IF($W29=$W$163,2,F30)</f>
        <v>0</v>
      </c>
      <c r="M31" s="3134">
        <f>IF(AND(S31&gt;0,I30=$H$185),1,0)</f>
        <v>0</v>
      </c>
      <c r="N31" s="1618"/>
      <c r="O31" s="1618"/>
      <c r="P31" s="922"/>
      <c r="Q31" s="1737">
        <f>IF($A33&lt;0.9999, $A33/((1+$CJ$2*$A33*($L33-1))*(1-$A33)),200)</f>
        <v>0</v>
      </c>
      <c r="R31" s="1618"/>
      <c r="S31" s="3118">
        <f>IF(LEFT(B29,3)=S29,VLOOKUP(B29,HWRange,10,FALSE),0)</f>
        <v>0</v>
      </c>
      <c r="T31" s="940" t="str">
        <f>U31</f>
        <v>Data</v>
      </c>
      <c r="U31" s="1595" t="s">
        <v>329</v>
      </c>
      <c r="V31" s="1918">
        <f>IF(A29&gt;0,B31&amp;" "&amp;C31&amp;IF(B31="",""," GB RAM"),0)</f>
        <v>0</v>
      </c>
      <c r="W31" s="1819"/>
      <c r="X31" s="1819"/>
      <c r="Y31" s="1819"/>
      <c r="Z31" s="1819"/>
      <c r="AA31" s="1819"/>
      <c r="AB31" s="1819"/>
      <c r="AC31" s="1819"/>
      <c r="AD31" s="1819"/>
      <c r="AE31" s="1919">
        <f>IF(A29&gt;0,F29,0)</f>
        <v>0</v>
      </c>
      <c r="AF31" s="2876">
        <f>IF(A28=0,0,IF(LEFT(B29,3)=S29,VLOOKUP(B29,HWRange,12,FALSE),0)*F30)</f>
        <v>0</v>
      </c>
      <c r="AG31" s="2877" t="str">
        <f>IF(AF31&gt;0,S29&amp;" 3-yr Pricing","")</f>
        <v/>
      </c>
      <c r="AH31" s="2878"/>
      <c r="AI31" s="1591"/>
      <c r="AJ31" s="1591"/>
      <c r="AK31" s="1591"/>
      <c r="AL31" s="1591"/>
      <c r="AM31" s="1591"/>
      <c r="AN31" s="1591"/>
      <c r="AO31" s="1591"/>
      <c r="AP31" s="1591"/>
      <c r="AQ31" s="1591"/>
      <c r="AR31" s="1591"/>
      <c r="AS31" s="1591"/>
      <c r="AT31" s="1591"/>
      <c r="AU31" s="1591"/>
      <c r="AV31" s="1591"/>
      <c r="AX31" s="1601"/>
      <c r="BC31" s="1614"/>
      <c r="BF31" s="1592"/>
      <c r="BG31" s="1601"/>
      <c r="BH31" s="1601"/>
      <c r="BI31" s="1601"/>
      <c r="BJ31" s="1601"/>
      <c r="BK31" s="1601"/>
      <c r="BL31" s="1601"/>
      <c r="BM31" s="1601"/>
      <c r="BN31" s="1601"/>
      <c r="BO31" s="1601"/>
      <c r="BP31" s="1619"/>
      <c r="BQ31" s="1619"/>
      <c r="BR31" s="1619"/>
      <c r="BS31" s="1619"/>
      <c r="BT31" s="1619"/>
      <c r="BU31" s="1619"/>
      <c r="BV31" s="1619"/>
      <c r="BW31" s="1619"/>
      <c r="BX31" s="1619"/>
      <c r="BY31" s="1619"/>
      <c r="BZ31" s="1619"/>
      <c r="CA31" s="1619"/>
      <c r="CB31" s="1619"/>
      <c r="CC31" s="1619"/>
      <c r="CD31" s="1619"/>
      <c r="CE31" s="1619"/>
      <c r="CF31" s="1619"/>
      <c r="CG31" s="3403">
        <f>B31</f>
        <v>0</v>
      </c>
      <c r="CH31" s="3404"/>
      <c r="CI31" s="3404"/>
      <c r="CJ31" s="3404"/>
      <c r="CK31" s="2723"/>
      <c r="CL31" s="1592"/>
      <c r="CM31" s="1594"/>
      <c r="CN31" s="1592"/>
      <c r="CQ31" s="1592"/>
      <c r="CR31" s="1594"/>
      <c r="CU31" s="1592"/>
      <c r="DA31" s="1592"/>
      <c r="DB31" s="1594"/>
      <c r="DE31" s="1592"/>
      <c r="DF31" s="1594"/>
      <c r="DI31" s="1592"/>
      <c r="DJ31" s="1614"/>
      <c r="DK31" s="1614"/>
      <c r="DL31" s="1614"/>
      <c r="DM31" s="1614"/>
      <c r="DN31" s="1594"/>
      <c r="DO31" s="1594"/>
      <c r="DP31" s="394"/>
      <c r="DQ31" s="1614"/>
      <c r="DR31" s="1597"/>
      <c r="DS31" s="1597"/>
      <c r="DT31" s="1415"/>
      <c r="DW31" s="1614"/>
      <c r="DX31" s="1597"/>
      <c r="DY31" s="1415"/>
      <c r="EC31" s="1614"/>
      <c r="ED31" s="1415"/>
      <c r="EH31" s="1597"/>
      <c r="EI31" s="1614"/>
      <c r="EJ31" s="1415"/>
      <c r="EN31" s="1597"/>
      <c r="EO31" s="1614"/>
      <c r="EP31" s="1415"/>
      <c r="ET31" s="1597"/>
      <c r="EU31" s="1614"/>
      <c r="EV31" s="1415"/>
      <c r="EZ31" s="1597"/>
      <c r="FA31" s="1614"/>
      <c r="FB31" s="1415"/>
      <c r="FF31" s="1597"/>
      <c r="FG31" s="1614"/>
      <c r="FH31" s="1415"/>
      <c r="FL31" s="1597"/>
      <c r="FM31" s="1614"/>
      <c r="FN31" s="1415"/>
      <c r="FR31" s="1597"/>
      <c r="FS31" s="1614"/>
      <c r="FT31" s="1415"/>
      <c r="FX31" s="1597"/>
      <c r="FY31" s="1614"/>
      <c r="FZ31" s="1415"/>
      <c r="GD31" s="1597"/>
      <c r="GE31" s="1614"/>
      <c r="GG31" s="1415"/>
      <c r="GJ31" s="1597"/>
      <c r="GK31" s="1614"/>
      <c r="GM31" s="1415"/>
      <c r="GO31" s="1415"/>
      <c r="GP31" s="1597"/>
      <c r="GQ31" s="1614"/>
      <c r="GS31" s="1415"/>
      <c r="GT31" s="1415"/>
      <c r="HA31" s="1835">
        <v>12</v>
      </c>
    </row>
    <row r="32" spans="1:210" ht="17" hidden="1" outlineLevel="2" thickBot="1" x14ac:dyDescent="0.25">
      <c r="A32" s="2823">
        <f>IF(O34&gt;0,A34/O34,0)</f>
        <v>0</v>
      </c>
      <c r="B32" s="552" t="s">
        <v>130</v>
      </c>
      <c r="C32" s="136" t="str">
        <f>VLOOKUP(B33,Hardware!$A$2:$I$632,9,FALSE)</f>
        <v>Intel</v>
      </c>
      <c r="D32" s="137" t="str">
        <f>D28</f>
        <v>Arc18=</v>
      </c>
      <c r="E32" s="138">
        <f>IF(EE$18=0,0,IF(EI$18&gt;0,EI$18/EF$18))</f>
        <v>0</v>
      </c>
      <c r="F32" s="139" t="s">
        <v>328</v>
      </c>
      <c r="G32" s="1585"/>
      <c r="H32" s="1586">
        <v>0.8</v>
      </c>
      <c r="I32" s="1739" t="str">
        <f>I28</f>
        <v>Host01</v>
      </c>
      <c r="J32" s="207">
        <f>IF(K32&gt;0,K32,IF(I34=Calculator!$H$158,1, IF(OR(R32=Calculator!$H$162,R32=Calculator!$H$163), VLOOKUP(I34,VAdjust,2,FALSE),1)))</f>
        <v>1</v>
      </c>
      <c r="K32" s="2456"/>
      <c r="L32" s="722">
        <f>VLOOKUP(B33,HWRange,5,FALSE)</f>
        <v>3500</v>
      </c>
      <c r="M32" s="464" t="str">
        <f>IF(ISERROR(VLOOKUP($K33,$L$5:$L$15,1,FALSE)),"","/"&amp;$L$4)</f>
        <v/>
      </c>
      <c r="N32" s="257" t="str">
        <f>IF(ISERROR(VLOOKUP($K33,$M$5:$M$15,1,FALSE)),IF(ISERROR(VLOOKUP($K33,$M$5:$M$15,1,FALSE)),"","/"&amp;$M$4),"/"&amp;$M$4)</f>
        <v/>
      </c>
      <c r="O32" s="465" t="str">
        <f>IF(ISERROR(VLOOKUP($K33,$N$5:$N$15,1,FALSE)),IF(ISERROR(VLOOKUP($K33,$N$5:$N$15,1,FALSE)),"","/"&amp;$N$4),"/"&amp;$N$4)</f>
        <v/>
      </c>
      <c r="P32" s="1587">
        <f>IF(A33=0,0,IF(P34&gt;0,1000*C33/C34,1000*C33/C34))/2</f>
        <v>0</v>
      </c>
      <c r="Q32" s="1734">
        <f>IF(I34=$J$163,0,VLOOKUP(I32,HostArray,2,FALSE))</f>
        <v>0</v>
      </c>
      <c r="R32" s="1588" t="s">
        <v>412</v>
      </c>
      <c r="S32" s="3071" t="str">
        <f>IF(S33=LEFT(B33,3),_xlfn.NUMBERVALUE(MID(B33,FIND("(",B33,1)+1,FIND(")",B33,1)-FIND("(",B33,1)-3)),"")</f>
        <v/>
      </c>
      <c r="T32" s="135">
        <v>10000</v>
      </c>
      <c r="U32" s="1616">
        <f>IF(E32&gt;0,IF(AND(M34="",N34=""),EG$18/F34,EH$18/F34),0)</f>
        <v>0</v>
      </c>
      <c r="V32" s="1822">
        <f t="shared" ref="V32:AD32" si="16">IF(V34&gt;0,IF($A33&gt;0.5,$A33,""),0)</f>
        <v>0</v>
      </c>
      <c r="W32" s="1823">
        <f>IF(AND($W33=W$163,$H35=I$187),W$164,IF(W34&gt;0,IF($A33&gt;0.5,$A33,""),0))</f>
        <v>0</v>
      </c>
      <c r="X32" s="1823">
        <f t="shared" si="16"/>
        <v>0</v>
      </c>
      <c r="Y32" s="1823">
        <f t="shared" si="16"/>
        <v>0</v>
      </c>
      <c r="Z32" s="1823">
        <f t="shared" si="16"/>
        <v>0</v>
      </c>
      <c r="AA32" s="1823">
        <f t="shared" si="16"/>
        <v>0</v>
      </c>
      <c r="AB32" s="1823">
        <f t="shared" si="16"/>
        <v>0</v>
      </c>
      <c r="AC32" s="1823">
        <f t="shared" si="16"/>
        <v>0</v>
      </c>
      <c r="AD32" s="1824">
        <f t="shared" si="16"/>
        <v>0</v>
      </c>
      <c r="AE32" s="1825">
        <f>L35</f>
        <v>0</v>
      </c>
      <c r="AF32" s="2977" t="str">
        <f>IF(I34=$H$187,$AF$18,"")</f>
        <v/>
      </c>
      <c r="AG32" s="1600"/>
      <c r="AH32" s="1600"/>
      <c r="AI32" s="1600"/>
      <c r="AJ32" s="1600"/>
      <c r="AK32" s="1600"/>
      <c r="AL32" s="1600"/>
      <c r="AM32" s="1600"/>
      <c r="AN32" s="1600"/>
      <c r="AO32" s="1600"/>
      <c r="AP32" s="1600"/>
      <c r="AQ32" s="1600"/>
      <c r="AR32" s="1600"/>
      <c r="AS32" s="1600"/>
      <c r="AT32" s="1600"/>
      <c r="AU32" s="1600"/>
      <c r="AV32" s="1600"/>
      <c r="AX32" s="2"/>
      <c r="BC32" s="1"/>
      <c r="BF32" s="1592"/>
      <c r="BG32" s="1593"/>
      <c r="BH32" s="1593"/>
      <c r="BI32" s="1593"/>
      <c r="BJ32" s="1593"/>
      <c r="BK32" s="1593"/>
      <c r="BL32" s="1593"/>
      <c r="BM32" s="1593"/>
      <c r="BN32" s="1593"/>
      <c r="BO32" s="1593"/>
      <c r="BP32" s="889"/>
      <c r="BQ32" s="889"/>
      <c r="BR32" s="889"/>
      <c r="BS32" s="889"/>
      <c r="BT32" s="889"/>
      <c r="BU32" s="889"/>
      <c r="BV32" s="1615"/>
      <c r="BW32" s="1615"/>
      <c r="BX32" s="1615"/>
      <c r="BY32" s="1615"/>
      <c r="BZ32" s="1615"/>
      <c r="CA32" s="1615"/>
      <c r="CB32" s="1615"/>
      <c r="CC32" s="1615"/>
      <c r="CD32" s="1615"/>
      <c r="CE32" s="1615"/>
      <c r="CF32" s="1615"/>
      <c r="CG32" s="1689">
        <f t="shared" ref="CG32:CH34" si="17">A32</f>
        <v>0</v>
      </c>
      <c r="CH32" s="1690" t="str">
        <f t="shared" si="17"/>
        <v>Tier04: Platform Tier 04</v>
      </c>
      <c r="CI32" s="1179" t="str">
        <f>F32</f>
        <v>SRint2006</v>
      </c>
      <c r="CJ32" s="2718"/>
      <c r="CK32" s="2724">
        <f>T32</f>
        <v>10000</v>
      </c>
      <c r="CL32" s="1592"/>
      <c r="CM32" s="1594"/>
      <c r="CN32" s="1592"/>
      <c r="CQ32" s="1592"/>
      <c r="CR32" s="1594"/>
      <c r="CU32" s="1592"/>
      <c r="DA32" s="1592"/>
      <c r="DB32" s="1594"/>
      <c r="DE32" s="1592"/>
      <c r="DF32" s="1594"/>
      <c r="DI32" s="1592"/>
      <c r="DJ32" s="1"/>
      <c r="DK32" s="1"/>
      <c r="DL32" s="1590"/>
      <c r="DM32" s="1"/>
      <c r="DN32" s="1594"/>
      <c r="DO32" s="1595"/>
      <c r="DP32" s="394"/>
      <c r="DQ32" s="1"/>
      <c r="DR32" s="1593"/>
      <c r="DS32" s="1593"/>
      <c r="DT32" s="1415"/>
      <c r="DW32" s="1"/>
      <c r="DX32" s="1593"/>
      <c r="DY32" s="1415"/>
      <c r="EC32" s="1"/>
      <c r="ED32" s="1415"/>
      <c r="EH32" s="1593"/>
      <c r="EI32" s="1"/>
      <c r="EJ32" s="1415"/>
      <c r="EN32" s="1593"/>
      <c r="EO32" s="1"/>
      <c r="EP32" s="1415"/>
      <c r="ET32" s="1593"/>
      <c r="EU32" s="1"/>
      <c r="EV32" s="1415"/>
      <c r="EZ32" s="1593"/>
      <c r="FA32" s="1"/>
      <c r="FB32" s="1415"/>
      <c r="FF32" s="1593"/>
      <c r="FG32" s="1"/>
      <c r="FH32" s="1415"/>
      <c r="FL32" s="1593"/>
      <c r="FM32" s="1"/>
      <c r="FN32" s="1415"/>
      <c r="FR32" s="1593"/>
      <c r="FS32" s="1"/>
      <c r="FT32" s="1415"/>
      <c r="FX32" s="1593"/>
      <c r="FY32" s="1"/>
      <c r="FZ32" s="1415"/>
      <c r="GD32" s="1593"/>
      <c r="GE32" s="1"/>
      <c r="GG32" s="1415"/>
      <c r="GJ32" s="1593"/>
      <c r="GK32" s="1"/>
      <c r="GM32" s="1415"/>
      <c r="GO32" s="1415"/>
      <c r="GP32" s="1593"/>
      <c r="GQ32" s="1"/>
      <c r="GS32" s="1415"/>
      <c r="GT32" s="1415"/>
      <c r="HA32" s="1835">
        <v>3</v>
      </c>
    </row>
    <row r="33" spans="1:209" ht="15" hidden="1" outlineLevel="2" x14ac:dyDescent="0.2">
      <c r="A33" s="2824">
        <f>IF(E32=0,0,A34/G34)</f>
        <v>0</v>
      </c>
      <c r="B33" s="156" t="str">
        <f>B29</f>
        <v>Xeon E5-2637v4 4 core (1 chip) 3500 MHz</v>
      </c>
      <c r="C33" s="206">
        <f>ROUND(IF(P34&gt;0,2*P34*C34/1000, IF(L34=0,0, IF(I34=Calculator!$H$160, Calculator!$J$160*(1+L33), IF(K34=4, 4*H32*G33/13.4,L33*Calculator!$J$151)))),0)</f>
        <v>0</v>
      </c>
      <c r="D33" s="205">
        <f>F34*L33</f>
        <v>0</v>
      </c>
      <c r="E33" s="70">
        <f>IF(I34=J163,F34*VLOOKUP(B33,HWRange,8,FALSE),"Virtual Server")</f>
        <v>0</v>
      </c>
      <c r="F33" s="71">
        <f>IF(I34=$J$163,VLOOKUP(B33,HWRange,7,FALSE),IF(I33&gt;VLOOKUP(B33,HWRange,3,FALSE),VLOOKUP(B33,HWRange,7,FALSE)*VLOOKUP(B33,HWRange,3,FALSE)/I33,VLOOKUP(B33,HWRange,7,FALSE)))</f>
        <v>60</v>
      </c>
      <c r="G33" s="157">
        <f>IF(I34=$J$163,VLOOKUP(B33,HWRange,6,FALSE),VLOOKUP(B33,HWRange,6,FALSE)*I33/VLOOKUP(B33,HWRange,3,FALSE))</f>
        <v>240</v>
      </c>
      <c r="H33" s="161" t="s">
        <v>365</v>
      </c>
      <c r="I33" s="1247">
        <v>2</v>
      </c>
      <c r="J33" s="1881"/>
      <c r="K33" s="756" t="str">
        <f>A168</f>
        <v>Tier04</v>
      </c>
      <c r="L33" s="491">
        <f>IF(I34=$J$163,VLOOKUP(B33,HWRange,3,FALSE),I33)</f>
        <v>4</v>
      </c>
      <c r="M33" s="466" t="str">
        <f>IF(ISERROR(VLOOKUP($K33,$J$5:$J$15,1,FALSE)),IF(ISERROR(VLOOKUP($K33,$J$5:$J$15,1,FALSE)),"","/"&amp;$J$4),"/"&amp;$J$4)</f>
        <v/>
      </c>
      <c r="N33" s="467" t="str">
        <f>IF(ISERROR(VLOOKUP($K33,$K$5:$K$15,1,FALSE)),"","/"&amp;$K$4)</f>
        <v/>
      </c>
      <c r="O33" s="468">
        <f>IF(AND(O32="",M34=""),0,D33)</f>
        <v>0</v>
      </c>
      <c r="P33" s="1596" t="str">
        <f>IF(NOT(M33=""),Calculator!$A$158,IF(NOT(N33=""),Calculator!$B$158,IF(NOT(O32=""), Calculator!$C$158,Calculator!$G$158)))</f>
        <v>WindowsLinuxSolarisAIXHPUX</v>
      </c>
      <c r="Q33" s="1246" t="str">
        <f>VLOOKUP(B33,HWRange,2,FALSE)</f>
        <v>Xeon E5-2637v4</v>
      </c>
      <c r="R33" s="1187">
        <f>F34*VLOOKUP(B33,HWRange,8,FALSE)</f>
        <v>0</v>
      </c>
      <c r="S33" s="3070">
        <f>IF(OR(LEFT(B33,3)="AMI",LEFT(B33,3)="AZI"),LEFT(B33,3),0)</f>
        <v>0</v>
      </c>
      <c r="T33" s="1621" t="s">
        <v>366</v>
      </c>
      <c r="U33" s="1599" t="s">
        <v>307</v>
      </c>
      <c r="V33" s="822">
        <f t="shared" ref="V33:AD33" si="18">IF(V34=0,0,IF($A33&lt;0.5,$A33,"+"))</f>
        <v>0</v>
      </c>
      <c r="W33" s="2063">
        <f>IF(AND($N34="/"&amp;$Q$4,$H35=I$187,$H34=0),W$163,IF(W34=0,0,IF($A33&lt;0.5,$A33,"+")))</f>
        <v>0</v>
      </c>
      <c r="X33" s="318">
        <f t="shared" si="18"/>
        <v>0</v>
      </c>
      <c r="Y33" s="318">
        <f t="shared" si="18"/>
        <v>0</v>
      </c>
      <c r="Z33" s="318">
        <f t="shared" si="18"/>
        <v>0</v>
      </c>
      <c r="AA33" s="318">
        <f t="shared" si="18"/>
        <v>0</v>
      </c>
      <c r="AB33" s="318">
        <f t="shared" si="18"/>
        <v>0</v>
      </c>
      <c r="AC33" s="318">
        <f t="shared" si="18"/>
        <v>0</v>
      </c>
      <c r="AD33" s="823">
        <f t="shared" si="18"/>
        <v>0</v>
      </c>
      <c r="AE33" s="1185">
        <f>D33</f>
        <v>0</v>
      </c>
      <c r="AF33" s="2998">
        <f>AF$19</f>
        <v>24</v>
      </c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X33" s="1601"/>
      <c r="AY33" s="1601"/>
      <c r="BC33" s="1602"/>
      <c r="BF33" s="1592"/>
      <c r="BG33" s="1601"/>
      <c r="BH33" s="1601"/>
      <c r="BI33" s="1601"/>
      <c r="BJ33" s="1601"/>
      <c r="BK33" s="1601"/>
      <c r="BL33" s="1601"/>
      <c r="BM33" s="1601"/>
      <c r="BN33" s="1601"/>
      <c r="BO33" s="1601"/>
      <c r="BP33" s="885">
        <f>IF(A33&gt;0,1,0)</f>
        <v>0</v>
      </c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1691">
        <f t="shared" si="17"/>
        <v>0</v>
      </c>
      <c r="CH33" s="1590" t="str">
        <f t="shared" si="17"/>
        <v>Xeon E5-2637v4 4 core (1 chip) 3500 MHz</v>
      </c>
      <c r="CI33" s="1180">
        <f>F33</f>
        <v>60</v>
      </c>
      <c r="CJ33" s="1180">
        <f>G33</f>
        <v>240</v>
      </c>
      <c r="CK33" s="2723"/>
      <c r="CL33" s="1592"/>
      <c r="CM33" s="1594"/>
      <c r="CN33" s="1592"/>
      <c r="CQ33" s="1592"/>
      <c r="CR33" s="1594"/>
      <c r="CU33" s="1592"/>
      <c r="DA33" s="1592"/>
      <c r="DB33" s="1594"/>
      <c r="DE33" s="1592"/>
      <c r="DF33" s="1594"/>
      <c r="DI33" s="1592"/>
      <c r="DJ33" s="1602"/>
      <c r="DK33" s="1602"/>
      <c r="DL33" s="1592"/>
      <c r="DM33" s="1602"/>
      <c r="DN33" s="1594"/>
      <c r="DO33" s="1594"/>
      <c r="DP33" s="394"/>
      <c r="DQ33" s="1602"/>
      <c r="DR33" s="1594"/>
      <c r="DS33" s="1594"/>
      <c r="DT33" s="1415"/>
      <c r="DW33" s="1602"/>
      <c r="DX33" s="1594"/>
      <c r="DY33" s="1415"/>
      <c r="EC33" s="1602"/>
      <c r="ED33" s="1415"/>
      <c r="EH33" s="1594"/>
      <c r="EI33" s="1602"/>
      <c r="EJ33" s="1415"/>
      <c r="EN33" s="1594"/>
      <c r="EO33" s="1602"/>
      <c r="EP33" s="1415"/>
      <c r="ET33" s="1594"/>
      <c r="EU33" s="1602"/>
      <c r="EV33" s="1415"/>
      <c r="EZ33" s="1594"/>
      <c r="FA33" s="1602"/>
      <c r="FB33" s="1415"/>
      <c r="FF33" s="1594"/>
      <c r="FG33" s="1602"/>
      <c r="FH33" s="1415"/>
      <c r="FL33" s="1594"/>
      <c r="FM33" s="1602"/>
      <c r="FN33" s="1415"/>
      <c r="FR33" s="1594"/>
      <c r="FS33" s="1602"/>
      <c r="FT33" s="1415"/>
      <c r="FX33" s="1594"/>
      <c r="FY33" s="1602"/>
      <c r="FZ33" s="1415"/>
      <c r="GD33" s="1594"/>
      <c r="GE33" s="1602"/>
      <c r="GG33" s="1415"/>
      <c r="GJ33" s="1594"/>
      <c r="GK33" s="1602"/>
      <c r="GM33" s="1415"/>
      <c r="GO33" s="1415"/>
      <c r="GP33" s="1594"/>
      <c r="GQ33" s="1602"/>
      <c r="GS33" s="1415"/>
      <c r="GT33" s="1415"/>
      <c r="HA33" s="1835">
        <v>1.5</v>
      </c>
    </row>
    <row r="34" spans="1:209" ht="14" hidden="1" outlineLevel="2" thickBot="1" x14ac:dyDescent="0.2">
      <c r="A34" s="2825">
        <f>IF(E32=0,0,EF$18)</f>
        <v>0</v>
      </c>
      <c r="B34" s="3077" t="str">
        <f>"Install ("&amp;C35&amp;M32&amp;N32&amp;O32&amp;M33&amp;N33&amp;M34&amp;N34&amp;")"</f>
        <v>Install (Physical)</v>
      </c>
      <c r="C34" s="258">
        <f>IF(E32=0,0, IF(I34=Calculator!$H$160,1,E34/O34)*H32)</f>
        <v>0</v>
      </c>
      <c r="D34" s="140">
        <f>IF(J34=$H$188,J35,0)+IF(E32=0,0,J32*E32)*($BO$2/F33)</f>
        <v>0</v>
      </c>
      <c r="E34" s="141">
        <f>IF(E32=0,0,L33*60/D34)</f>
        <v>0</v>
      </c>
      <c r="F34" s="142">
        <f>IF(L34=0,0,IF(H34,H34,IF(I34=Calculator!$H$160,A32,IF(N34="/DBMS",1,IF(H35=$I$187,IF(N33="",IF(L34=1,2,L34),L34+1),L34)))))</f>
        <v>0</v>
      </c>
      <c r="G34" s="158">
        <f>IF(E32=0,0,IF(F34&gt;0,+E34*F34,"Nodes?"))</f>
        <v>0</v>
      </c>
      <c r="H34" s="143"/>
      <c r="I34" s="1248" t="s">
        <v>408</v>
      </c>
      <c r="J34" s="3227" t="str">
        <f>J30</f>
        <v xml:space="preserve">Siloed </v>
      </c>
      <c r="K34" s="1604">
        <f>IF(AND(N34="",N33=""),2,4)</f>
        <v>2</v>
      </c>
      <c r="L34" s="1605">
        <f>IF(H34,H34,IF(E32=0,0,IF(A34&gt;0,+INT(A34/(E34*H32))+1,0)))</f>
        <v>0</v>
      </c>
      <c r="M34" s="469" t="str">
        <f>IF(ISERROR(VLOOKUP($K33,$O$5:$O$15,1,FALSE)),IF(ISERROR(VLOOKUP($K33,$O$5:$O$15,1,FALSE)),"","/"&amp;$O$4),"/"&amp;$O$4)</f>
        <v/>
      </c>
      <c r="N34" s="470" t="str">
        <f>IF(ISERROR(VLOOKUP($K33,$Q$5:$Q$15,1,FALSE)),IF(ISERROR(VLOOKUP($K33,$Q$5:$Q$15,1,FALSE)),"","/"&amp;$Q$4),"/"&amp;$Q$4)</f>
        <v/>
      </c>
      <c r="O34" s="471">
        <f>IF($EE$18&gt;0,$EF$18/$EE$18,0)</f>
        <v>0</v>
      </c>
      <c r="P34" s="886"/>
      <c r="Q34" s="1714">
        <f>D33/VLOOKUP(B33,HWRange,3,FALSE)</f>
        <v>0</v>
      </c>
      <c r="R34" s="1877">
        <f>P168</f>
        <v>0</v>
      </c>
      <c r="S34" s="1982">
        <f>IF(E32=0,0,H32*A32/A33)</f>
        <v>0</v>
      </c>
      <c r="T34" s="135">
        <v>10000</v>
      </c>
      <c r="U34" s="1608">
        <f>IF(E32=0,0,IF(U35=$I$188,U32,EH$18/F34))</f>
        <v>0</v>
      </c>
      <c r="V34" s="1826">
        <f>IF(G34&gt;0,1,0)</f>
        <v>0</v>
      </c>
      <c r="W34" s="1827">
        <f t="shared" ref="W34:AC34" si="19">IF(V34&gt;0,IF($F34&gt;V34,V34+1,0),0)</f>
        <v>0</v>
      </c>
      <c r="X34" s="1827">
        <f t="shared" si="19"/>
        <v>0</v>
      </c>
      <c r="Y34" s="1827">
        <f t="shared" si="19"/>
        <v>0</v>
      </c>
      <c r="Z34" s="1827">
        <f t="shared" si="19"/>
        <v>0</v>
      </c>
      <c r="AA34" s="1827">
        <f t="shared" si="19"/>
        <v>0</v>
      </c>
      <c r="AB34" s="1827">
        <f t="shared" si="19"/>
        <v>0</v>
      </c>
      <c r="AC34" s="1827">
        <f t="shared" si="19"/>
        <v>0</v>
      </c>
      <c r="AD34" s="1828">
        <f>IF(AC34&gt;0,IF($F34&gt;AC34,"…"&amp;$F34,0),0)</f>
        <v>0</v>
      </c>
      <c r="AE34" s="1829">
        <f>A33</f>
        <v>0</v>
      </c>
      <c r="AF34" s="2978">
        <f>IF(AF33="","",IF(H34=0,0,H34/AF33+IF(H35=$I$187,1,0)))</f>
        <v>0</v>
      </c>
      <c r="AG34" s="1591"/>
      <c r="AH34" s="1591"/>
      <c r="AI34" s="1591"/>
      <c r="AJ34" s="1591"/>
      <c r="AK34" s="1591"/>
      <c r="AL34" s="1591"/>
      <c r="AM34" s="1591"/>
      <c r="AN34" s="1591"/>
      <c r="AO34" s="1591"/>
      <c r="AP34" s="1591"/>
      <c r="AQ34" s="1591"/>
      <c r="AR34" s="1591"/>
      <c r="AS34" s="1591"/>
      <c r="AT34" s="1591"/>
      <c r="AU34" s="1591"/>
      <c r="AV34" s="1591"/>
      <c r="BC34" s="1602"/>
      <c r="BF34" s="1592"/>
      <c r="BG34" s="1601"/>
      <c r="BH34" s="1601"/>
      <c r="BI34" s="1601"/>
      <c r="BJ34" s="1601"/>
      <c r="BK34" s="1601"/>
      <c r="BL34" s="1601"/>
      <c r="BM34" s="1601"/>
      <c r="BN34" s="1601"/>
      <c r="BO34" s="1601"/>
      <c r="BP34" s="1606"/>
      <c r="BQ34" s="1606"/>
      <c r="BR34" s="1606"/>
      <c r="BS34" s="1606"/>
      <c r="BT34" s="1606"/>
      <c r="BU34" s="1606"/>
      <c r="BV34" s="1606"/>
      <c r="BW34" s="1606"/>
      <c r="BX34" s="1606"/>
      <c r="BY34" s="1606"/>
      <c r="BZ34" s="1606"/>
      <c r="CA34" s="1606"/>
      <c r="CB34" s="1606"/>
      <c r="CC34" s="1606"/>
      <c r="CD34" s="1606"/>
      <c r="CE34" s="1606"/>
      <c r="CF34" s="1606"/>
      <c r="CG34" s="1692">
        <f t="shared" si="17"/>
        <v>0</v>
      </c>
      <c r="CH34" s="1693" t="str">
        <f t="shared" si="17"/>
        <v>Install (Physical)</v>
      </c>
      <c r="CI34" s="1181">
        <f>F34</f>
        <v>0</v>
      </c>
      <c r="CJ34" s="2719">
        <f>D33</f>
        <v>0</v>
      </c>
      <c r="CK34" s="2724">
        <f>T34</f>
        <v>10000</v>
      </c>
      <c r="CL34" s="1592"/>
      <c r="CM34" s="1594"/>
      <c r="CN34" s="1592"/>
      <c r="CQ34" s="1592"/>
      <c r="CR34" s="1594"/>
      <c r="CU34" s="1592"/>
      <c r="DA34" s="1592"/>
      <c r="DB34" s="1594"/>
      <c r="DE34" s="1592"/>
      <c r="DF34" s="1594"/>
      <c r="DI34" s="1592"/>
      <c r="DJ34" s="1602"/>
      <c r="DK34" s="1602"/>
      <c r="DL34" s="1592"/>
      <c r="DM34" s="1602"/>
      <c r="DN34" s="1594"/>
      <c r="DO34" s="1594"/>
      <c r="DP34" s="394"/>
      <c r="DQ34" s="1602"/>
      <c r="DR34" s="1597"/>
      <c r="DS34" s="1597"/>
      <c r="DT34" s="1415"/>
      <c r="DW34" s="1602"/>
      <c r="DX34" s="1597"/>
      <c r="DY34" s="1415"/>
      <c r="EC34" s="1602"/>
      <c r="ED34" s="1415"/>
      <c r="EH34" s="1597"/>
      <c r="EI34" s="1602"/>
      <c r="EJ34" s="1415"/>
      <c r="EN34" s="1597"/>
      <c r="EO34" s="1602"/>
      <c r="EP34" s="1415"/>
      <c r="ET34" s="1597"/>
      <c r="EU34" s="1602"/>
      <c r="EV34" s="1415"/>
      <c r="EZ34" s="1597"/>
      <c r="FA34" s="1602"/>
      <c r="FB34" s="1415"/>
      <c r="FF34" s="1597"/>
      <c r="FG34" s="1602"/>
      <c r="FH34" s="1415"/>
      <c r="FL34" s="1597"/>
      <c r="FM34" s="1602"/>
      <c r="FN34" s="1415"/>
      <c r="FR34" s="1597"/>
      <c r="FS34" s="1602"/>
      <c r="FT34" s="1415"/>
      <c r="FX34" s="1597"/>
      <c r="FY34" s="1602"/>
      <c r="FZ34" s="1415"/>
      <c r="GD34" s="1597"/>
      <c r="GE34" s="1602"/>
      <c r="GG34" s="1415"/>
      <c r="GJ34" s="1597"/>
      <c r="GK34" s="1602"/>
      <c r="GM34" s="1415"/>
      <c r="GO34" s="1415"/>
      <c r="GP34" s="1597"/>
      <c r="GQ34" s="1602"/>
      <c r="GS34" s="1415"/>
      <c r="GT34" s="1415"/>
      <c r="HA34" s="1835">
        <v>0.75</v>
      </c>
    </row>
    <row r="35" spans="1:209" ht="15" hidden="1" outlineLevel="1" collapsed="1" x14ac:dyDescent="0.15">
      <c r="A35" s="916">
        <f>IF(A34=0,0,ROUND(100*A33,0)&amp;"% CPU")</f>
        <v>0</v>
      </c>
      <c r="B35" s="917">
        <f>IF(A34&gt;0,IF(I34=$J$163,K33&amp;": "&amp;F34&amp;"x "&amp;B33&amp;" "&amp;C33&amp;" GB RAM",$K33&amp;": "&amp;$F34&amp;"x VM ("&amp;I33&amp;" core "&amp;C33&amp;" GB RAM) "&amp;Q33&amp;" "&amp;L32&amp;" MHz"),0)</f>
        <v>0</v>
      </c>
      <c r="C35" s="1609" t="str">
        <f>IF(I34=$H$185,I34,I32)</f>
        <v>Physical</v>
      </c>
      <c r="D35" s="918">
        <f>A32</f>
        <v>0</v>
      </c>
      <c r="E35" s="919">
        <f>IF(E34&gt;0,ROUND(E34*60/1000,0)&amp;"K TPH",0)</f>
        <v>0</v>
      </c>
      <c r="F35" s="920">
        <f>+L34</f>
        <v>0</v>
      </c>
      <c r="G35" s="919">
        <f>IF(G34&gt;0,ROUND(G34*60/1000,0)&amp;"K TPH",0)</f>
        <v>0</v>
      </c>
      <c r="H35" s="921" t="str">
        <f>H$19</f>
        <v>Minimum</v>
      </c>
      <c r="I35" s="1736">
        <f>IF(I34=$J$163,0,I32)</f>
        <v>0</v>
      </c>
      <c r="J35" s="2086">
        <f>IF(AND(O32="/"&amp;$N$4,J34=$H$188),IF(F34&gt;0,(F34-1)*A34/(60*$H$190),0),0)</f>
        <v>0</v>
      </c>
      <c r="K35" s="2086">
        <f>IF(E32&gt;0,D34/E32,0)</f>
        <v>0</v>
      </c>
      <c r="L35" s="2080">
        <f>IF($W33=$W$163,2,F34)</f>
        <v>0</v>
      </c>
      <c r="M35" s="3134">
        <f>IF(AND(S35&gt;0,I34=$H$185),1,0)</f>
        <v>0</v>
      </c>
      <c r="N35" s="1618"/>
      <c r="O35" s="1618"/>
      <c r="P35" s="922"/>
      <c r="Q35" s="1737">
        <f>IF($A37&lt;0.9999, $A37/((1+$CJ$2*$A37*($L37-1))*(1-$A37)),200)</f>
        <v>0</v>
      </c>
      <c r="R35" s="1618"/>
      <c r="S35" s="3118">
        <f>IF(LEFT(B33,3)=S33,VLOOKUP(B33,HWRange,10,FALSE),0)</f>
        <v>0</v>
      </c>
      <c r="T35" s="940" t="str">
        <f>U35</f>
        <v>Data</v>
      </c>
      <c r="U35" s="1595" t="s">
        <v>329</v>
      </c>
      <c r="V35" s="1918">
        <f>IF(A33&gt;0,B35&amp;" "&amp;C35&amp;IF(B35="",""," GB RAM"),0)</f>
        <v>0</v>
      </c>
      <c r="W35" s="1819"/>
      <c r="X35" s="1819"/>
      <c r="Y35" s="1819"/>
      <c r="Z35" s="1819"/>
      <c r="AA35" s="1819"/>
      <c r="AB35" s="1819"/>
      <c r="AC35" s="1819"/>
      <c r="AD35" s="1819"/>
      <c r="AE35" s="1919">
        <f>IF(A33&gt;0,F33,0)</f>
        <v>0</v>
      </c>
      <c r="AF35" s="2876">
        <f>IF(A32=0,0,IF(LEFT(B33,3)=S33,VLOOKUP(B33,HWRange,12,FALSE),0)*F34)</f>
        <v>0</v>
      </c>
      <c r="AG35" s="2877" t="str">
        <f>IF(AF35&gt;0,S33&amp;" 3-yr Pricing","")</f>
        <v/>
      </c>
      <c r="AH35" s="2878"/>
      <c r="AI35" s="1591"/>
      <c r="AJ35" s="1591"/>
      <c r="AK35" s="1591"/>
      <c r="AL35" s="1591"/>
      <c r="AM35" s="1591"/>
      <c r="AN35" s="1591"/>
      <c r="AO35" s="1591"/>
      <c r="AP35" s="1591"/>
      <c r="AQ35" s="1591"/>
      <c r="AR35" s="1591"/>
      <c r="AS35" s="1591"/>
      <c r="AT35" s="1591"/>
      <c r="AU35" s="1591"/>
      <c r="AV35" s="1591"/>
      <c r="AX35" s="1601"/>
      <c r="AY35" s="1601"/>
      <c r="BC35" s="1614"/>
      <c r="BF35" s="1592"/>
      <c r="BG35" s="1601"/>
      <c r="BH35" s="1601"/>
      <c r="BI35" s="1601"/>
      <c r="BJ35" s="1601"/>
      <c r="BK35" s="1601"/>
      <c r="BL35" s="1601"/>
      <c r="BM35" s="1601"/>
      <c r="BN35" s="1601"/>
      <c r="BO35" s="1601"/>
      <c r="BP35" s="1619"/>
      <c r="BQ35" s="1619"/>
      <c r="BR35" s="1619"/>
      <c r="BS35" s="1619"/>
      <c r="BT35" s="1619"/>
      <c r="BU35" s="1619"/>
      <c r="BV35" s="1619"/>
      <c r="BW35" s="1619"/>
      <c r="BX35" s="1619"/>
      <c r="BY35" s="1619"/>
      <c r="BZ35" s="1619"/>
      <c r="CA35" s="1619"/>
      <c r="CB35" s="1619"/>
      <c r="CC35" s="1619"/>
      <c r="CD35" s="1619"/>
      <c r="CE35" s="1619"/>
      <c r="CF35" s="1619"/>
      <c r="CG35" s="3403">
        <f>B35</f>
        <v>0</v>
      </c>
      <c r="CH35" s="3404"/>
      <c r="CI35" s="3404"/>
      <c r="CJ35" s="3404"/>
      <c r="CK35" s="2723"/>
      <c r="CL35" s="1592"/>
      <c r="CM35" s="1594"/>
      <c r="CN35" s="1592"/>
      <c r="CQ35" s="1592"/>
      <c r="CR35" s="1594"/>
      <c r="CU35" s="1592"/>
      <c r="DA35" s="1592"/>
      <c r="DB35" s="1594"/>
      <c r="DE35" s="1592"/>
      <c r="DF35" s="1594"/>
      <c r="DI35" s="1592"/>
      <c r="DJ35" s="1614"/>
      <c r="DK35" s="1614"/>
      <c r="DL35" s="1592"/>
      <c r="DM35" s="1614"/>
      <c r="DN35" s="1594"/>
      <c r="DO35" s="1594"/>
      <c r="DP35" s="394"/>
      <c r="DQ35" s="1614"/>
      <c r="DR35" s="1597"/>
      <c r="DS35" s="1597"/>
      <c r="DT35" s="1415"/>
      <c r="DW35" s="1614"/>
      <c r="DX35" s="1597"/>
      <c r="DY35" s="1415"/>
      <c r="EC35" s="1614"/>
      <c r="ED35" s="1415"/>
      <c r="EH35" s="1597"/>
      <c r="EI35" s="1614"/>
      <c r="EJ35" s="1415"/>
      <c r="EN35" s="1597"/>
      <c r="EO35" s="1614"/>
      <c r="EP35" s="1415"/>
      <c r="ET35" s="1597"/>
      <c r="EU35" s="1614"/>
      <c r="EV35" s="1415"/>
      <c r="EZ35" s="1597"/>
      <c r="FA35" s="1614"/>
      <c r="FB35" s="1415"/>
      <c r="FF35" s="1597"/>
      <c r="FG35" s="1614"/>
      <c r="FH35" s="1415"/>
      <c r="FL35" s="1597"/>
      <c r="FM35" s="1614"/>
      <c r="FN35" s="1415"/>
      <c r="FR35" s="1597"/>
      <c r="FS35" s="1614"/>
      <c r="FT35" s="1415"/>
      <c r="FX35" s="1597"/>
      <c r="FY35" s="1614"/>
      <c r="FZ35" s="1415"/>
      <c r="GD35" s="1597"/>
      <c r="GE35" s="1614"/>
      <c r="GG35" s="1415"/>
      <c r="GJ35" s="1597"/>
      <c r="GK35" s="1614"/>
      <c r="GM35" s="1415"/>
      <c r="GO35" s="1415"/>
      <c r="GP35" s="1597"/>
      <c r="GQ35" s="1614"/>
      <c r="GS35" s="1415"/>
      <c r="GT35" s="1415"/>
      <c r="HA35" s="1835">
        <v>5.6000000000000001E-2</v>
      </c>
    </row>
    <row r="36" spans="1:209" ht="17" hidden="1" outlineLevel="2" thickBot="1" x14ac:dyDescent="0.25">
      <c r="A36" s="2823">
        <f>IF(O38&gt;0,A38/O38,0)</f>
        <v>0</v>
      </c>
      <c r="B36" s="552" t="s">
        <v>450</v>
      </c>
      <c r="C36" s="136" t="str">
        <f>VLOOKUP(B37,Hardware!$A$2:$I$632,9,FALSE)</f>
        <v>Intel</v>
      </c>
      <c r="D36" s="137" t="str">
        <f>D32</f>
        <v>Arc18=</v>
      </c>
      <c r="E36" s="138">
        <f>IF(EK$18=0,0,IF(EO$18&gt;0,EO$18/EL$18))</f>
        <v>0</v>
      </c>
      <c r="F36" s="139" t="s">
        <v>328</v>
      </c>
      <c r="G36" s="1585"/>
      <c r="H36" s="1586">
        <v>0.8</v>
      </c>
      <c r="I36" s="1739" t="str">
        <f>I32</f>
        <v>Host01</v>
      </c>
      <c r="J36" s="207">
        <f>IF(K36&gt;0,K36,IF(I38=Calculator!$H$158,1, IF(OR(R36=Calculator!$H$162,R36=Calculator!$H$163), VLOOKUP(I38,VAdjust,2,FALSE),1)))</f>
        <v>1</v>
      </c>
      <c r="K36" s="2456"/>
      <c r="L36" s="722">
        <f>VLOOKUP(B37,HWRange,5,FALSE)</f>
        <v>3500</v>
      </c>
      <c r="M36" s="464" t="str">
        <f>IF(ISERROR(VLOOKUP($K37,$L$5:$L$15,1,FALSE)),"","/"&amp;$L$4)</f>
        <v/>
      </c>
      <c r="N36" s="257" t="str">
        <f>IF(ISERROR(VLOOKUP($K37,$M$5:$M$15,1,FALSE)),IF(ISERROR(VLOOKUP($K37,$M$5:$M$15,1,FALSE)),"","/"&amp;$M$4),"/"&amp;$M$4)</f>
        <v/>
      </c>
      <c r="O36" s="465" t="str">
        <f>IF(ISERROR(VLOOKUP($K37,$N$5:$N$15,1,FALSE)),IF(ISERROR(VLOOKUP($K37,$N$5:$N$15,1,FALSE)),"","/"&amp;$N$4),"/"&amp;$N$4)</f>
        <v/>
      </c>
      <c r="P36" s="1587">
        <f>IF(A37=0,0,IF(P38&gt;0,1000*C37/C38,1000*C37/C38))/2</f>
        <v>0</v>
      </c>
      <c r="Q36" s="1734">
        <f>IF(I38=$J$163,0,VLOOKUP(I36,HostArray,2,FALSE))</f>
        <v>0</v>
      </c>
      <c r="R36" s="1588" t="s">
        <v>412</v>
      </c>
      <c r="S36" s="3071" t="str">
        <f>IF(S37=LEFT(B37,3),_xlfn.NUMBERVALUE(MID(B37,FIND("(",B37,1)+1,FIND(")",B37,1)-FIND("(",B37,1)-3)),"")</f>
        <v/>
      </c>
      <c r="T36" s="135">
        <v>10000</v>
      </c>
      <c r="U36" s="1616">
        <f>IF(E36&gt;0,IF(AND(M38="",N38=""),EM$18/F38,EN$18/F38),0)</f>
        <v>0</v>
      </c>
      <c r="V36" s="1822">
        <f t="shared" ref="V36:AD36" si="20">IF(V38&gt;0,IF($A37&gt;0.5,$A37,""),0)</f>
        <v>0</v>
      </c>
      <c r="W36" s="1823">
        <f>IF(AND($W37=W$163,$H39=I$187),W$164,IF(W38&gt;0,IF($A37&gt;0.5,$A37,""),0))</f>
        <v>0</v>
      </c>
      <c r="X36" s="1823">
        <f t="shared" si="20"/>
        <v>0</v>
      </c>
      <c r="Y36" s="1823">
        <f t="shared" si="20"/>
        <v>0</v>
      </c>
      <c r="Z36" s="1823">
        <f t="shared" si="20"/>
        <v>0</v>
      </c>
      <c r="AA36" s="1823">
        <f t="shared" si="20"/>
        <v>0</v>
      </c>
      <c r="AB36" s="1823">
        <f t="shared" si="20"/>
        <v>0</v>
      </c>
      <c r="AC36" s="1823">
        <f t="shared" si="20"/>
        <v>0</v>
      </c>
      <c r="AD36" s="1824">
        <f t="shared" si="20"/>
        <v>0</v>
      </c>
      <c r="AE36" s="1825">
        <f>L39</f>
        <v>0</v>
      </c>
      <c r="AF36" s="2977" t="str">
        <f>IF(I38=$H$187,$AF$18,"")</f>
        <v/>
      </c>
      <c r="AG36" s="1600"/>
      <c r="AH36" s="1600"/>
      <c r="AI36" s="1600"/>
      <c r="AJ36" s="1600"/>
      <c r="AK36" s="1600"/>
      <c r="AL36" s="1600"/>
      <c r="AM36" s="1600"/>
      <c r="AN36" s="1600"/>
      <c r="AO36" s="1600"/>
      <c r="AP36" s="1600"/>
      <c r="AQ36" s="1600"/>
      <c r="AR36" s="1600"/>
      <c r="AS36" s="1600"/>
      <c r="AT36" s="1600"/>
      <c r="AU36" s="1600"/>
      <c r="AV36" s="1600"/>
      <c r="AX36" s="2"/>
      <c r="AY36" s="2"/>
      <c r="BC36" s="1"/>
      <c r="BF36" s="1592"/>
      <c r="BG36" s="1593"/>
      <c r="BH36" s="1593"/>
      <c r="BI36" s="1593"/>
      <c r="BJ36" s="1593"/>
      <c r="BK36" s="1593"/>
      <c r="BL36" s="1593"/>
      <c r="BM36" s="1593"/>
      <c r="BN36" s="1593"/>
      <c r="BO36" s="1593"/>
      <c r="BP36" s="889"/>
      <c r="BQ36" s="889"/>
      <c r="BR36" s="889"/>
      <c r="BS36" s="889"/>
      <c r="BT36" s="889"/>
      <c r="BU36" s="889"/>
      <c r="BV36" s="1615"/>
      <c r="BW36" s="1615"/>
      <c r="BX36" s="1615"/>
      <c r="BY36" s="1615"/>
      <c r="BZ36" s="1615"/>
      <c r="CA36" s="1615"/>
      <c r="CB36" s="1615"/>
      <c r="CC36" s="1615"/>
      <c r="CD36" s="1615"/>
      <c r="CE36" s="1615"/>
      <c r="CF36" s="1615"/>
      <c r="CG36" s="1689">
        <f t="shared" ref="CG36:CH38" si="21">A36</f>
        <v>0</v>
      </c>
      <c r="CH36" s="1690" t="str">
        <f t="shared" si="21"/>
        <v>Tier05: Platform Tier 05</v>
      </c>
      <c r="CI36" s="1179" t="str">
        <f>F36</f>
        <v>SRint2006</v>
      </c>
      <c r="CJ36" s="2718"/>
      <c r="CK36" s="2724">
        <f>T36</f>
        <v>10000</v>
      </c>
      <c r="CL36" s="1592"/>
      <c r="CM36" s="1594"/>
      <c r="CN36" s="1592"/>
      <c r="CQ36" s="1592"/>
      <c r="CR36" s="1594"/>
      <c r="CU36" s="1592"/>
      <c r="DA36" s="1592"/>
      <c r="DB36" s="1594"/>
      <c r="DE36" s="1592"/>
      <c r="DF36" s="1594"/>
      <c r="DI36" s="1592"/>
      <c r="DJ36" s="1"/>
      <c r="DK36" s="1"/>
      <c r="DL36" s="1592"/>
      <c r="DM36" s="1"/>
      <c r="DN36" s="1594"/>
      <c r="DO36" s="1595"/>
      <c r="DP36" s="394"/>
      <c r="DQ36" s="1"/>
      <c r="DR36" s="1593"/>
      <c r="DS36" s="1593"/>
      <c r="DT36" s="1415"/>
      <c r="DW36" s="1"/>
      <c r="DX36" s="1593"/>
      <c r="DY36" s="1415"/>
      <c r="EC36" s="1"/>
      <c r="ED36" s="1415"/>
      <c r="EH36" s="1593"/>
      <c r="EI36" s="1"/>
      <c r="EJ36" s="1415"/>
      <c r="EN36" s="1593"/>
      <c r="EO36" s="1"/>
      <c r="EP36" s="1415"/>
      <c r="ET36" s="1593"/>
      <c r="EU36" s="1"/>
      <c r="EV36" s="1415"/>
      <c r="EZ36" s="1593"/>
      <c r="FA36" s="1"/>
      <c r="FB36" s="1415"/>
      <c r="FF36" s="1593"/>
      <c r="FG36" s="1"/>
      <c r="FH36" s="1415"/>
      <c r="FL36" s="1593"/>
      <c r="FM36" s="1"/>
      <c r="FN36" s="1415"/>
      <c r="FR36" s="1593"/>
      <c r="FS36" s="1"/>
      <c r="FT36" s="1415"/>
      <c r="FX36" s="1593"/>
      <c r="FY36" s="1"/>
      <c r="FZ36" s="1415"/>
      <c r="GD36" s="1593"/>
      <c r="GE36" s="1"/>
      <c r="GG36" s="1415"/>
      <c r="GJ36" s="1593"/>
      <c r="GK36" s="1"/>
      <c r="GM36" s="1415"/>
      <c r="GO36" s="1415"/>
      <c r="GP36" s="1593"/>
      <c r="GQ36" s="1"/>
      <c r="GS36" s="1415"/>
      <c r="GT36" s="1415"/>
      <c r="HA36" s="1835">
        <v>2.8000000000000001E-2</v>
      </c>
    </row>
    <row r="37" spans="1:209" ht="15" hidden="1" outlineLevel="2" x14ac:dyDescent="0.2">
      <c r="A37" s="2824">
        <f>IF(E36=0,0,A38/G38)</f>
        <v>0</v>
      </c>
      <c r="B37" s="156" t="str">
        <f>B33</f>
        <v>Xeon E5-2637v4 4 core (1 chip) 3500 MHz</v>
      </c>
      <c r="C37" s="206">
        <f>ROUND(IF(P38&gt;0,2*P38*C38/1000, IF(L38=0,0, IF(I38=Calculator!$H$160, Calculator!$J$160*(1+L37), IF(K38=4, 4*H36*G37/13.4,L37*Calculator!$J$151)))),0)</f>
        <v>0</v>
      </c>
      <c r="D37" s="205">
        <f>F38*L37</f>
        <v>0</v>
      </c>
      <c r="E37" s="70">
        <f>IF(I38=J163,F38*VLOOKUP(B37,HWRange,8,FALSE),"Virtual Server")</f>
        <v>0</v>
      </c>
      <c r="F37" s="71">
        <f>IF(I38=$J$163,VLOOKUP(B37,HWRange,7,FALSE),IF(I37&gt;VLOOKUP(B37,HWRange,3,FALSE),VLOOKUP(B37,HWRange,7,FALSE)*VLOOKUP(B37,HWRange,3,FALSE)/I37,VLOOKUP(B37,HWRange,7,FALSE)))</f>
        <v>60</v>
      </c>
      <c r="G37" s="157">
        <f>IF(I38=$J$163,VLOOKUP(B37,HWRange,6,FALSE),VLOOKUP(B37,HWRange,6,FALSE)*I37/VLOOKUP(B37,HWRange,3,FALSE))</f>
        <v>240</v>
      </c>
      <c r="H37" s="161" t="s">
        <v>365</v>
      </c>
      <c r="I37" s="1247">
        <v>2</v>
      </c>
      <c r="J37" s="1881"/>
      <c r="K37" s="756" t="str">
        <f>A169</f>
        <v>Tier05</v>
      </c>
      <c r="L37" s="491">
        <f>IF(I38=$J$163,VLOOKUP(B37,HWRange,3,FALSE),I37)</f>
        <v>4</v>
      </c>
      <c r="M37" s="466" t="str">
        <f>IF(ISERROR(VLOOKUP($K37,$J$5:$J$15,1,FALSE)),IF(ISERROR(VLOOKUP($K37,$J$5:$J$15,1,FALSE)),"","/"&amp;$J$4),"/"&amp;$J$4)</f>
        <v/>
      </c>
      <c r="N37" s="467" t="str">
        <f>IF(ISERROR(VLOOKUP($K37,$K$5:$K$15,1,FALSE)),"","/"&amp;$K$4)</f>
        <v/>
      </c>
      <c r="O37" s="468">
        <f>IF(AND(O36="",M38=""),0,D37)</f>
        <v>0</v>
      </c>
      <c r="P37" s="1596" t="str">
        <f>IF(NOT(M37=""),Calculator!$A$158,IF(NOT(N37=""),Calculator!$B$158,IF(NOT(O36=""), Calculator!$C$158,Calculator!$G$158)))</f>
        <v>WindowsLinuxSolarisAIXHPUX</v>
      </c>
      <c r="Q37" s="1246" t="str">
        <f>VLOOKUP(B37,HWRange,2,FALSE)</f>
        <v>Xeon E5-2637v4</v>
      </c>
      <c r="R37" s="1187">
        <f>F38*VLOOKUP(B37,HWRange,8,FALSE)</f>
        <v>0</v>
      </c>
      <c r="S37" s="3070">
        <f>IF(OR(LEFT(B37,3)="AMI",LEFT(B37,3)="AZI"),LEFT(B37,3),0)</f>
        <v>0</v>
      </c>
      <c r="T37" s="1622" t="s">
        <v>366</v>
      </c>
      <c r="U37" s="1599" t="s">
        <v>307</v>
      </c>
      <c r="V37" s="822">
        <f t="shared" ref="V37:AD37" si="22">IF(V38=0,0,IF($A37&lt;0.5,$A37,"+"))</f>
        <v>0</v>
      </c>
      <c r="W37" s="2063">
        <f>IF(AND($N38="/"&amp;$Q$4,$H39=I$187,$H38=0),W$163,IF(W38=0,0,IF($A37&lt;0.5,$A37,"+")))</f>
        <v>0</v>
      </c>
      <c r="X37" s="318">
        <f t="shared" si="22"/>
        <v>0</v>
      </c>
      <c r="Y37" s="318">
        <f t="shared" si="22"/>
        <v>0</v>
      </c>
      <c r="Z37" s="318">
        <f t="shared" si="22"/>
        <v>0</v>
      </c>
      <c r="AA37" s="318">
        <f t="shared" si="22"/>
        <v>0</v>
      </c>
      <c r="AB37" s="318">
        <f t="shared" si="22"/>
        <v>0</v>
      </c>
      <c r="AC37" s="318">
        <f t="shared" si="22"/>
        <v>0</v>
      </c>
      <c r="AD37" s="823">
        <f t="shared" si="22"/>
        <v>0</v>
      </c>
      <c r="AE37" s="1185">
        <f>D37</f>
        <v>0</v>
      </c>
      <c r="AF37" s="2998">
        <f>AF$19</f>
        <v>24</v>
      </c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X37" s="1601"/>
      <c r="AY37" s="1601"/>
      <c r="BC37" s="1602"/>
      <c r="BF37" s="1592"/>
      <c r="BG37" s="1601"/>
      <c r="BH37" s="1601"/>
      <c r="BI37" s="1601"/>
      <c r="BJ37" s="1601"/>
      <c r="BK37" s="1601"/>
      <c r="BL37" s="1601"/>
      <c r="BM37" s="1601"/>
      <c r="BN37" s="1601"/>
      <c r="BO37" s="1601"/>
      <c r="BP37" s="885">
        <f>IF(A37&gt;0,1,0)</f>
        <v>0</v>
      </c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1691">
        <f t="shared" si="21"/>
        <v>0</v>
      </c>
      <c r="CH37" s="1590" t="str">
        <f t="shared" si="21"/>
        <v>Xeon E5-2637v4 4 core (1 chip) 3500 MHz</v>
      </c>
      <c r="CI37" s="1180">
        <f>F37</f>
        <v>60</v>
      </c>
      <c r="CJ37" s="1180">
        <f>G37</f>
        <v>240</v>
      </c>
      <c r="CK37" s="2723"/>
      <c r="CL37" s="1592"/>
      <c r="CM37" s="1594"/>
      <c r="CN37" s="1592"/>
      <c r="CQ37" s="1592"/>
      <c r="CR37" s="1594"/>
      <c r="CU37" s="1592"/>
      <c r="DA37" s="1592"/>
      <c r="DB37" s="1594"/>
      <c r="DE37" s="1592"/>
      <c r="DF37" s="1594"/>
      <c r="DI37" s="1592"/>
      <c r="DJ37" s="1602"/>
      <c r="DK37" s="1602"/>
      <c r="DL37" s="1592"/>
      <c r="DM37" s="1602"/>
      <c r="DN37" s="1594"/>
      <c r="DO37" s="1594"/>
      <c r="DP37" s="394"/>
      <c r="DQ37" s="1602"/>
      <c r="DR37" s="1594"/>
      <c r="DS37" s="1594"/>
      <c r="DT37" s="1415"/>
      <c r="DW37" s="1602"/>
      <c r="DX37" s="1594"/>
      <c r="DY37" s="1415"/>
      <c r="EC37" s="1602"/>
      <c r="ED37" s="1415"/>
      <c r="EH37" s="1594"/>
      <c r="EI37" s="1602"/>
      <c r="EJ37" s="1415"/>
      <c r="EN37" s="1594"/>
      <c r="EO37" s="1602"/>
      <c r="EP37" s="1415"/>
      <c r="ET37" s="1594"/>
      <c r="EU37" s="1602"/>
      <c r="EV37" s="1415"/>
      <c r="EZ37" s="1594"/>
      <c r="FA37" s="1602"/>
      <c r="FB37" s="1415"/>
      <c r="FF37" s="1594"/>
      <c r="FG37" s="1602"/>
      <c r="FH37" s="1415"/>
      <c r="FL37" s="1594"/>
      <c r="FM37" s="1602"/>
      <c r="FN37" s="1415"/>
      <c r="FR37" s="1594"/>
      <c r="FS37" s="1602"/>
      <c r="FT37" s="1415"/>
      <c r="FX37" s="1594"/>
      <c r="FY37" s="1602"/>
      <c r="FZ37" s="1415"/>
      <c r="GD37" s="1594"/>
      <c r="GE37" s="1602"/>
      <c r="GG37" s="1415"/>
      <c r="GJ37" s="1594"/>
      <c r="GK37" s="1602"/>
      <c r="GM37" s="1415"/>
      <c r="GO37" s="1415"/>
      <c r="GP37" s="1594"/>
      <c r="GQ37" s="1602"/>
      <c r="GS37" s="1415"/>
      <c r="GT37" s="1415"/>
    </row>
    <row r="38" spans="1:209" ht="14" hidden="1" outlineLevel="2" thickBot="1" x14ac:dyDescent="0.2">
      <c r="A38" s="2825">
        <f>IF(E36=0,0,EL$18)</f>
        <v>0</v>
      </c>
      <c r="B38" s="3078" t="str">
        <f>"Install ("&amp;C39&amp;M36&amp;N36&amp;O36&amp;M37&amp;N37&amp;M38&amp;N38&amp;")"</f>
        <v>Install (Physical)</v>
      </c>
      <c r="C38" s="258">
        <f>IF(E36=0,0, IF(I38=Calculator!$H$160,1,E38/O38)*H36)</f>
        <v>0</v>
      </c>
      <c r="D38" s="140">
        <f>IF(J38=$H$188,J39,0)+IF(E36=0,0,J36*E36)*($BO$2/F37)</f>
        <v>0</v>
      </c>
      <c r="E38" s="141">
        <f>IF(E36=0,0,L37*60/D38)</f>
        <v>0</v>
      </c>
      <c r="F38" s="142">
        <f>IF(L38=0,0,IF(H38,H38,IF(I38=Calculator!$H$160,A36,IF(N38="/DBMS",1,IF(H39=$I$187,IF(N37="",IF(L38=1,2,L38),L38+1),L38)))))</f>
        <v>0</v>
      </c>
      <c r="G38" s="158">
        <f>IF(E36=0,0,IF(F38&gt;0,+E38*F38,"Nodes?"))</f>
        <v>0</v>
      </c>
      <c r="H38" s="143"/>
      <c r="I38" s="1248" t="s">
        <v>408</v>
      </c>
      <c r="J38" s="3227" t="str">
        <f>J34</f>
        <v xml:space="preserve">Siloed </v>
      </c>
      <c r="K38" s="1604">
        <f>IF(AND(N38="",N37=""),2,4)</f>
        <v>2</v>
      </c>
      <c r="L38" s="1605">
        <f>IF(H38,H38,IF(E36=0,0,IF(A38&gt;0,+INT(A38/(E38*H36))+1,0)))</f>
        <v>0</v>
      </c>
      <c r="M38" s="469" t="str">
        <f>IF(ISERROR(VLOOKUP($K37,$O$5:$O$15,1,FALSE)),IF(ISERROR(VLOOKUP($K37,$O$5:$O$15,1,FALSE)),"","/"&amp;$O$4),"/"&amp;$O$4)</f>
        <v/>
      </c>
      <c r="N38" s="470" t="str">
        <f>IF(ISERROR(VLOOKUP($K37,$Q$5:$Q$15,1,FALSE)),IF(ISERROR(VLOOKUP($K37,$Q$5:$Q$15,1,FALSE)),"","/"&amp;$Q$4),"/"&amp;$Q$4)</f>
        <v/>
      </c>
      <c r="O38" s="471">
        <f>IF($EK$18&gt;0,$EL$18/$EK$18,0)</f>
        <v>0</v>
      </c>
      <c r="P38" s="886"/>
      <c r="Q38" s="1714">
        <f>D37/VLOOKUP(B37,HWRange,3,FALSE)</f>
        <v>0</v>
      </c>
      <c r="R38" s="1877">
        <f>P169</f>
        <v>0</v>
      </c>
      <c r="S38" s="1982">
        <f>IF(E36=0,0,H36*A36/A37)</f>
        <v>0</v>
      </c>
      <c r="T38" s="135">
        <v>10000</v>
      </c>
      <c r="U38" s="1608">
        <f>IF(E36=0,0,IF(U39=$I$188,U36,EN$18/F38))</f>
        <v>0</v>
      </c>
      <c r="V38" s="1826">
        <f>IF(G38&gt;0,1,0)</f>
        <v>0</v>
      </c>
      <c r="W38" s="1827">
        <f t="shared" ref="W38:AC38" si="23">IF(V38&gt;0,IF($F38&gt;V38,V38+1,0),0)</f>
        <v>0</v>
      </c>
      <c r="X38" s="1827">
        <f t="shared" si="23"/>
        <v>0</v>
      </c>
      <c r="Y38" s="1827">
        <f t="shared" si="23"/>
        <v>0</v>
      </c>
      <c r="Z38" s="1827">
        <f t="shared" si="23"/>
        <v>0</v>
      </c>
      <c r="AA38" s="1827">
        <f t="shared" si="23"/>
        <v>0</v>
      </c>
      <c r="AB38" s="1827">
        <f t="shared" si="23"/>
        <v>0</v>
      </c>
      <c r="AC38" s="1827">
        <f t="shared" si="23"/>
        <v>0</v>
      </c>
      <c r="AD38" s="1828">
        <f>IF(AC38&gt;0,IF($F38&gt;AC38,"…"&amp;$F38,0),0)</f>
        <v>0</v>
      </c>
      <c r="AE38" s="1829">
        <f>A37</f>
        <v>0</v>
      </c>
      <c r="AF38" s="2978">
        <f>IF(AF37="","",IF(H38=0,0,H38/AF37+IF(H39=$I$187,1,0)))</f>
        <v>0</v>
      </c>
      <c r="AG38" s="1591"/>
      <c r="AH38" s="1591"/>
      <c r="AI38" s="1591"/>
      <c r="AJ38" s="1591"/>
      <c r="AK38" s="1591"/>
      <c r="AL38" s="1591"/>
      <c r="AM38" s="1591"/>
      <c r="AN38" s="1591"/>
      <c r="AO38" s="1591"/>
      <c r="AP38" s="1591"/>
      <c r="AQ38" s="1591"/>
      <c r="AR38" s="1591"/>
      <c r="AS38" s="1591"/>
      <c r="AT38" s="1591"/>
      <c r="AU38" s="1591"/>
      <c r="AV38" s="1591"/>
      <c r="BC38" s="1602"/>
      <c r="BF38" s="1592"/>
      <c r="BG38" s="1601"/>
      <c r="BH38" s="1601"/>
      <c r="BI38" s="1601"/>
      <c r="BJ38" s="1601"/>
      <c r="BK38" s="1601"/>
      <c r="BL38" s="1601"/>
      <c r="BM38" s="1601"/>
      <c r="BN38" s="1601"/>
      <c r="BO38" s="1601"/>
      <c r="BP38" s="1606"/>
      <c r="BQ38" s="1606"/>
      <c r="BR38" s="1606"/>
      <c r="BS38" s="1606"/>
      <c r="BT38" s="1606"/>
      <c r="BU38" s="1606"/>
      <c r="BV38" s="1606"/>
      <c r="BW38" s="1606"/>
      <c r="BX38" s="1606"/>
      <c r="BY38" s="1606"/>
      <c r="BZ38" s="1606"/>
      <c r="CA38" s="1606"/>
      <c r="CB38" s="1606"/>
      <c r="CC38" s="1606"/>
      <c r="CD38" s="1606"/>
      <c r="CE38" s="1606"/>
      <c r="CF38" s="1606"/>
      <c r="CG38" s="1692">
        <f t="shared" si="21"/>
        <v>0</v>
      </c>
      <c r="CH38" s="1693" t="str">
        <f t="shared" si="21"/>
        <v>Install (Physical)</v>
      </c>
      <c r="CI38" s="1181">
        <f>F38</f>
        <v>0</v>
      </c>
      <c r="CJ38" s="2719">
        <f>D37</f>
        <v>0</v>
      </c>
      <c r="CK38" s="2724">
        <f>T38</f>
        <v>10000</v>
      </c>
      <c r="CL38" s="1592"/>
      <c r="CM38" s="1594"/>
      <c r="CN38" s="1592"/>
      <c r="CQ38" s="1592"/>
      <c r="CR38" s="1594"/>
      <c r="CU38" s="1592"/>
      <c r="DA38" s="1592"/>
      <c r="DB38" s="1594"/>
      <c r="DE38" s="1592"/>
      <c r="DF38" s="1594"/>
      <c r="DI38" s="1592"/>
      <c r="DJ38" s="1602"/>
      <c r="DK38" s="1602"/>
      <c r="DL38" s="1592"/>
      <c r="DM38" s="1602"/>
      <c r="DN38" s="1594"/>
      <c r="DO38" s="1594"/>
      <c r="DP38" s="394"/>
      <c r="DQ38" s="1602"/>
      <c r="DR38" s="1597"/>
      <c r="DS38" s="1597"/>
      <c r="DT38" s="1415"/>
      <c r="DW38" s="1602"/>
      <c r="DX38" s="1597"/>
      <c r="DY38" s="1415"/>
      <c r="EC38" s="1602"/>
      <c r="ED38" s="1415"/>
      <c r="EH38" s="1597"/>
      <c r="EI38" s="1602"/>
      <c r="EJ38" s="1415"/>
      <c r="EN38" s="1597"/>
      <c r="EO38" s="1602"/>
      <c r="EP38" s="1415"/>
      <c r="ET38" s="1597"/>
      <c r="EU38" s="1602"/>
      <c r="EV38" s="1415"/>
      <c r="EZ38" s="1597"/>
      <c r="FA38" s="1602"/>
      <c r="FB38" s="1415"/>
      <c r="FF38" s="1597"/>
      <c r="FG38" s="1602"/>
      <c r="FH38" s="1415"/>
      <c r="FL38" s="1597"/>
      <c r="FM38" s="1602"/>
      <c r="FN38" s="1415"/>
      <c r="FR38" s="1597"/>
      <c r="FS38" s="1602"/>
      <c r="FT38" s="1415"/>
      <c r="FX38" s="1597"/>
      <c r="FY38" s="1602"/>
      <c r="FZ38" s="1415"/>
      <c r="GD38" s="1597"/>
      <c r="GE38" s="1602"/>
      <c r="GG38" s="1415"/>
      <c r="GJ38" s="1597"/>
      <c r="GK38" s="1602"/>
      <c r="GM38" s="1415"/>
      <c r="GO38" s="1415"/>
      <c r="GP38" s="1597"/>
      <c r="GQ38" s="1602"/>
      <c r="GS38" s="1415"/>
      <c r="GT38" s="1415"/>
    </row>
    <row r="39" spans="1:209" ht="15" hidden="1" outlineLevel="1" collapsed="1" x14ac:dyDescent="0.15">
      <c r="A39" s="916">
        <f>IF(A38=0,0,ROUND(100*A37,0)&amp;"% CPU")</f>
        <v>0</v>
      </c>
      <c r="B39" s="917">
        <f>IF(A38&gt;0,IF(I38=$J$163,K37&amp;": "&amp;F38&amp;"x "&amp;B37&amp;" "&amp;C37&amp;" GB RAM",$K37&amp;": "&amp;$F38&amp;"x VM ("&amp;I37&amp;" core "&amp;C37&amp;" GB RAM) "&amp;Q37&amp;" "&amp;L36&amp;" MHz"),0)</f>
        <v>0</v>
      </c>
      <c r="C39" s="1609" t="str">
        <f>IF(I38=$H$185,I38,I36)</f>
        <v>Physical</v>
      </c>
      <c r="D39" s="918">
        <f>A36</f>
        <v>0</v>
      </c>
      <c r="E39" s="919">
        <f>IF(E38&gt;0,ROUND(E38*60/1000,0)&amp;"K TPH",0)</f>
        <v>0</v>
      </c>
      <c r="F39" s="920">
        <f>+L38</f>
        <v>0</v>
      </c>
      <c r="G39" s="919">
        <f>IF(G38&gt;0,ROUND(G38*60/1000,0)&amp;"K TPH",0)</f>
        <v>0</v>
      </c>
      <c r="H39" s="921" t="str">
        <f>H$19</f>
        <v>Minimum</v>
      </c>
      <c r="I39" s="1736">
        <f>IF(I38=$J$163,0,I36)</f>
        <v>0</v>
      </c>
      <c r="J39" s="2086">
        <f>IF(AND(O36="/"&amp;$N$4,J38=$H$188),IF(F38&gt;0,(F38-1)*A38/(60*$H$190),0),0)</f>
        <v>0</v>
      </c>
      <c r="K39" s="2086">
        <f>IF(E36&gt;0,D38/E36,0)</f>
        <v>0</v>
      </c>
      <c r="L39" s="2080">
        <f>IF($W37=$W$163,2,F38)</f>
        <v>0</v>
      </c>
      <c r="M39" s="3134">
        <f>IF(AND(S39&gt;0,I38=$H$185),1,0)</f>
        <v>0</v>
      </c>
      <c r="N39" s="1618"/>
      <c r="O39" s="1618"/>
      <c r="P39" s="922"/>
      <c r="Q39" s="1737">
        <f>IF($A42&lt;0.9999, $A42/((1+$CJ$2*$A42*($L42-1))*(1-$A42)),200)</f>
        <v>0</v>
      </c>
      <c r="R39" s="1618"/>
      <c r="S39" s="3118">
        <f>IF(LEFT(B37,3)=S37,VLOOKUP(B37,HWRange,10,FALSE),0)</f>
        <v>0</v>
      </c>
      <c r="T39" s="940" t="str">
        <f>U39</f>
        <v>Client</v>
      </c>
      <c r="U39" s="1595" t="s">
        <v>303</v>
      </c>
      <c r="V39" s="1918">
        <f>IF(A37&gt;0,B39&amp;" "&amp;C39&amp;IF(B39="",""," GB RAM"),0)</f>
        <v>0</v>
      </c>
      <c r="W39" s="1819"/>
      <c r="X39" s="1819"/>
      <c r="Y39" s="1819"/>
      <c r="Z39" s="1819"/>
      <c r="AA39" s="1819"/>
      <c r="AB39" s="1819"/>
      <c r="AC39" s="1819"/>
      <c r="AD39" s="1819"/>
      <c r="AE39" s="1919">
        <f>IF(A37&gt;0,F37,0)</f>
        <v>0</v>
      </c>
      <c r="AF39" s="2876">
        <f>IF(A36=0,0,IF(LEFT(B37,3)=S37,VLOOKUP(B37,HWRange,12,FALSE),0)*F38)</f>
        <v>0</v>
      </c>
      <c r="AG39" s="2877" t="str">
        <f>IF(AF39&gt;0,S37&amp;" 3-yr Pricing","")</f>
        <v/>
      </c>
      <c r="AH39" s="2878"/>
      <c r="AI39" s="1591"/>
      <c r="AJ39" s="1591"/>
      <c r="AK39" s="1591"/>
      <c r="AL39" s="1591"/>
      <c r="AM39" s="1591"/>
      <c r="AN39" s="1591"/>
      <c r="AO39" s="1591"/>
      <c r="AP39" s="1591"/>
      <c r="AQ39" s="1591"/>
      <c r="AR39" s="1591"/>
      <c r="AS39" s="1591"/>
      <c r="AT39" s="1591"/>
      <c r="AU39" s="1591"/>
      <c r="AV39" s="1591"/>
      <c r="AX39" s="1601"/>
      <c r="AY39" s="1601"/>
      <c r="BC39" s="1614"/>
      <c r="BF39" s="1592"/>
      <c r="BG39" s="1601"/>
      <c r="BH39" s="1601"/>
      <c r="BI39" s="1601"/>
      <c r="BJ39" s="1601"/>
      <c r="BK39" s="1601"/>
      <c r="BL39" s="1601"/>
      <c r="BM39" s="1601"/>
      <c r="BN39" s="1601"/>
      <c r="BO39" s="1601"/>
      <c r="BP39" s="1619"/>
      <c r="BQ39" s="1619"/>
      <c r="BR39" s="1619"/>
      <c r="BS39" s="1619"/>
      <c r="BT39" s="1619"/>
      <c r="BU39" s="1619"/>
      <c r="BV39" s="1619"/>
      <c r="BW39" s="1619"/>
      <c r="BX39" s="1619"/>
      <c r="BY39" s="1619"/>
      <c r="BZ39" s="1619"/>
      <c r="CA39" s="1619"/>
      <c r="CB39" s="1619"/>
      <c r="CC39" s="1619"/>
      <c r="CD39" s="1619"/>
      <c r="CE39" s="1619"/>
      <c r="CF39" s="1619"/>
      <c r="CG39" s="3403">
        <f>B39</f>
        <v>0</v>
      </c>
      <c r="CH39" s="3404"/>
      <c r="CI39" s="3404"/>
      <c r="CJ39" s="3404"/>
      <c r="CK39" s="2723"/>
      <c r="CL39" s="1592"/>
      <c r="CM39" s="1594"/>
      <c r="CN39" s="1592"/>
      <c r="CQ39" s="1592"/>
      <c r="CR39" s="1594"/>
      <c r="CU39" s="1592"/>
      <c r="DA39" s="1592"/>
      <c r="DB39" s="1594"/>
      <c r="DE39" s="1592"/>
      <c r="DF39" s="1594"/>
      <c r="DI39" s="1592"/>
      <c r="DJ39" s="1614"/>
      <c r="DK39" s="1614"/>
      <c r="DL39" s="1592"/>
      <c r="DM39" s="1614"/>
      <c r="DN39" s="1594"/>
      <c r="DO39" s="1594"/>
      <c r="DP39" s="394"/>
      <c r="DQ39" s="1614"/>
      <c r="DR39" s="1597"/>
      <c r="DS39" s="1597"/>
      <c r="DT39" s="1415"/>
      <c r="DW39" s="1614"/>
      <c r="DX39" s="1597"/>
      <c r="DY39" s="1415"/>
      <c r="EC39" s="1614"/>
      <c r="ED39" s="1415"/>
      <c r="EH39" s="1597"/>
      <c r="EI39" s="1614"/>
      <c r="EJ39" s="1415"/>
      <c r="EN39" s="1597"/>
      <c r="EO39" s="1614"/>
      <c r="EP39" s="1415"/>
      <c r="ET39" s="1597"/>
      <c r="EU39" s="1614"/>
      <c r="EV39" s="1415"/>
      <c r="EZ39" s="1597"/>
      <c r="FA39" s="1614"/>
      <c r="FB39" s="1415"/>
      <c r="FF39" s="1597"/>
      <c r="FG39" s="1614"/>
      <c r="FH39" s="1415"/>
      <c r="FL39" s="1597"/>
      <c r="FM39" s="1614"/>
      <c r="FN39" s="1415"/>
      <c r="FR39" s="1597"/>
      <c r="FS39" s="1614"/>
      <c r="FT39" s="1415"/>
      <c r="FX39" s="1597"/>
      <c r="FY39" s="1614"/>
      <c r="FZ39" s="1415"/>
      <c r="GD39" s="1597"/>
      <c r="GE39" s="1614"/>
      <c r="GG39" s="1415"/>
      <c r="GJ39" s="1597"/>
      <c r="GK39" s="1614"/>
      <c r="GM39" s="1415"/>
      <c r="GO39" s="1415"/>
      <c r="GP39" s="1597"/>
      <c r="GQ39" s="1614"/>
      <c r="GS39" s="1415"/>
      <c r="GT39" s="1415"/>
    </row>
    <row r="40" spans="1:209" s="390" customFormat="1" collapsed="1" x14ac:dyDescent="0.15">
      <c r="A40" s="2805" t="s">
        <v>1461</v>
      </c>
      <c r="B40" s="2814"/>
      <c r="C40" s="2684"/>
      <c r="D40" s="2684"/>
      <c r="E40" s="2684"/>
      <c r="F40" s="2684"/>
      <c r="G40" s="2684"/>
      <c r="H40" s="2685"/>
      <c r="I40" s="2686"/>
      <c r="J40" s="2684"/>
      <c r="K40" s="2684"/>
      <c r="L40" s="2687"/>
      <c r="M40" s="2687"/>
      <c r="N40" s="2687"/>
      <c r="O40" s="2687"/>
      <c r="P40" s="2687"/>
      <c r="Q40" s="2687"/>
      <c r="R40" s="2688"/>
      <c r="S40" s="2689"/>
      <c r="T40" s="2688"/>
      <c r="U40" s="2688"/>
      <c r="V40" s="2688"/>
      <c r="W40" s="2688"/>
      <c r="X40" s="2688"/>
      <c r="Y40" s="2688"/>
      <c r="Z40" s="2688"/>
      <c r="AA40" s="2688"/>
      <c r="AB40" s="2688"/>
      <c r="AC40" s="2688"/>
      <c r="AD40" s="2687"/>
      <c r="AE40" s="2687"/>
      <c r="AF40" s="2855"/>
      <c r="AG40" s="392"/>
      <c r="AH40" s="392"/>
      <c r="AI40" s="392"/>
      <c r="AJ40" s="392"/>
      <c r="AK40" s="392"/>
      <c r="AL40" s="392"/>
      <c r="AM40" s="392"/>
      <c r="AN40" s="392"/>
      <c r="AO40" s="392"/>
      <c r="AP40" s="392"/>
      <c r="AQ40" s="392"/>
      <c r="AR40" s="392"/>
      <c r="AS40" s="392"/>
      <c r="AT40" s="392"/>
      <c r="AU40" s="392"/>
      <c r="AV40" s="392"/>
      <c r="AW40" s="392"/>
      <c r="AX40" s="392"/>
      <c r="AY40" s="392"/>
      <c r="AZ40" s="392"/>
      <c r="BA40" s="392"/>
      <c r="BB40" s="392"/>
      <c r="BC40" s="392"/>
      <c r="BD40" s="392"/>
      <c r="BG40" s="393"/>
      <c r="BH40" s="393"/>
      <c r="BI40" s="393"/>
      <c r="BJ40" s="393"/>
      <c r="BK40" s="393"/>
      <c r="BL40" s="393"/>
      <c r="BM40" s="393"/>
      <c r="BN40" s="393"/>
      <c r="BO40" s="394"/>
      <c r="BP40" s="394"/>
      <c r="BQ40" s="394"/>
      <c r="BR40" s="394"/>
      <c r="BS40" s="394"/>
      <c r="BT40" s="394"/>
      <c r="BU40" s="392"/>
      <c r="BV40" s="392"/>
      <c r="BW40" s="392"/>
      <c r="BX40" s="392"/>
      <c r="BY40" s="392"/>
      <c r="BZ40" s="392"/>
      <c r="CA40" s="392"/>
      <c r="CB40" s="392"/>
      <c r="CC40" s="392"/>
      <c r="CD40" s="392"/>
      <c r="CE40" s="392"/>
      <c r="CK40" s="2725"/>
      <c r="DI40" s="392"/>
      <c r="DJ40" s="392"/>
      <c r="DK40" s="392"/>
      <c r="DL40" s="392"/>
      <c r="DM40" s="392"/>
      <c r="DN40" s="392"/>
      <c r="DO40" s="392"/>
      <c r="DQ40" s="392"/>
      <c r="DS40" s="394"/>
      <c r="DT40" s="394"/>
      <c r="DW40" s="392"/>
      <c r="DX40" s="394"/>
      <c r="DY40" s="394"/>
      <c r="EC40" s="392"/>
      <c r="ED40" s="394"/>
      <c r="EH40" s="394"/>
      <c r="EI40" s="392"/>
      <c r="EJ40" s="394"/>
      <c r="EN40" s="394"/>
      <c r="EO40" s="392"/>
      <c r="EP40" s="394"/>
      <c r="ET40" s="394"/>
      <c r="EU40" s="392"/>
      <c r="EV40" s="394"/>
      <c r="EZ40" s="394"/>
      <c r="FA40" s="392"/>
      <c r="FB40" s="394"/>
      <c r="FF40" s="394"/>
      <c r="FG40" s="392"/>
      <c r="FH40" s="394"/>
      <c r="FL40" s="394"/>
      <c r="FM40" s="392"/>
      <c r="FN40" s="394"/>
      <c r="FR40" s="394"/>
      <c r="FS40" s="392"/>
      <c r="FT40" s="394"/>
      <c r="FX40" s="394"/>
      <c r="FY40" s="392"/>
      <c r="FZ40" s="394"/>
      <c r="GD40" s="394"/>
      <c r="GE40" s="392"/>
      <c r="GF40" s="392"/>
      <c r="GG40" s="394"/>
      <c r="GJ40" s="394"/>
      <c r="GK40" s="392"/>
      <c r="GL40" s="392"/>
      <c r="GM40" s="394"/>
      <c r="GO40" s="394"/>
      <c r="GP40" s="394"/>
      <c r="GQ40" s="392"/>
      <c r="GR40" s="392"/>
      <c r="GS40" s="394"/>
      <c r="GT40" s="394"/>
      <c r="HA40" s="1835">
        <v>6</v>
      </c>
    </row>
    <row r="41" spans="1:209" ht="17" hidden="1" outlineLevel="2" thickBot="1" x14ac:dyDescent="0.25">
      <c r="A41" s="2823">
        <f>IF(O43&gt;0,A43/O43,0)</f>
        <v>0</v>
      </c>
      <c r="B41" s="552" t="s">
        <v>451</v>
      </c>
      <c r="C41" s="136" t="str">
        <f>VLOOKUP(B42,Hardware!$A$2:$I$632,9,FALSE)</f>
        <v>Intel</v>
      </c>
      <c r="D41" s="137" t="str">
        <f>D36</f>
        <v>Arc18=</v>
      </c>
      <c r="E41" s="138">
        <f>IF(EQ$18=0,0,IF(EU$18&gt;0,EU$18/ER$18))</f>
        <v>0</v>
      </c>
      <c r="F41" s="139" t="s">
        <v>328</v>
      </c>
      <c r="G41" s="1585"/>
      <c r="H41" s="1586">
        <v>0.8</v>
      </c>
      <c r="I41" s="1739" t="str">
        <f>I36</f>
        <v>Host01</v>
      </c>
      <c r="J41" s="207">
        <f>IF(K41&gt;0,K41,IF(I43=Calculator!$H$158,1, IF(OR(R41=Calculator!$H$162,R41=Calculator!$H$163), VLOOKUP(I43,VAdjust,2,FALSE),1)))</f>
        <v>1</v>
      </c>
      <c r="K41" s="2456"/>
      <c r="L41" s="722">
        <f>VLOOKUP(B42,HWRange,5,FALSE)</f>
        <v>3500</v>
      </c>
      <c r="M41" s="464" t="str">
        <f>IF(ISERROR(VLOOKUP($K42,$L$5:$L$15,1,FALSE)),"","/"&amp;$L$4)</f>
        <v/>
      </c>
      <c r="N41" s="257" t="str">
        <f>IF(ISERROR(VLOOKUP($K42,$M$5:$M$15,1,FALSE)),IF(ISERROR(VLOOKUP($K42,$M$5:$M$15,1,FALSE)),"","/"&amp;$M$4),"/"&amp;$M$4)</f>
        <v/>
      </c>
      <c r="O41" s="465" t="str">
        <f>IF(ISERROR(VLOOKUP($K42,$N$5:$N$15,1,FALSE)),IF(ISERROR(VLOOKUP($K42,$N$5:$N$15,1,FALSE)),"","/"&amp;$N$4),"/"&amp;$N$4)</f>
        <v/>
      </c>
      <c r="P41" s="1587">
        <f>IF(A42=0,0,IF(P43&gt;0,1000*C42/C43,1000*C42/C43))/2</f>
        <v>0</v>
      </c>
      <c r="Q41" s="1734">
        <f>IF(I43=$J$163,0,VLOOKUP(I41,HostArray,2,FALSE))</f>
        <v>0</v>
      </c>
      <c r="R41" s="1588" t="s">
        <v>412</v>
      </c>
      <c r="S41" s="3071" t="str">
        <f>IF(S42=LEFT(B42,3),_xlfn.NUMBERVALUE(MID(B42,FIND("(",B42,1)+1,FIND(")",B42,1)-FIND("(",B42,1)-3)),"")</f>
        <v/>
      </c>
      <c r="T41" s="135">
        <v>10000</v>
      </c>
      <c r="U41" s="1616">
        <f>IF(E41&gt;0,IF(AND(M43="",N43=""),ES$18/F43,ET$18/F43),0)</f>
        <v>0</v>
      </c>
      <c r="V41" s="1822">
        <f t="shared" ref="V41:AD41" si="24">IF(V43&gt;0,IF($A42&gt;0.5,$A42,""),0)</f>
        <v>0</v>
      </c>
      <c r="W41" s="1823">
        <f>IF(AND($W42=W$163,$H44=I$187),W$164,IF(W43&gt;0,IF($A42&gt;0.5,$A42,""),0))</f>
        <v>0</v>
      </c>
      <c r="X41" s="1823">
        <f t="shared" si="24"/>
        <v>0</v>
      </c>
      <c r="Y41" s="1823">
        <f t="shared" si="24"/>
        <v>0</v>
      </c>
      <c r="Z41" s="1823">
        <f t="shared" si="24"/>
        <v>0</v>
      </c>
      <c r="AA41" s="1823">
        <f t="shared" si="24"/>
        <v>0</v>
      </c>
      <c r="AB41" s="1823">
        <f t="shared" si="24"/>
        <v>0</v>
      </c>
      <c r="AC41" s="1823">
        <f t="shared" si="24"/>
        <v>0</v>
      </c>
      <c r="AD41" s="1824">
        <f t="shared" si="24"/>
        <v>0</v>
      </c>
      <c r="AE41" s="1825">
        <f>L44</f>
        <v>0</v>
      </c>
      <c r="AF41" s="2977" t="str">
        <f>IF(I43=$H$187,$AF$18,"")</f>
        <v/>
      </c>
      <c r="AG41" s="1600"/>
      <c r="AH41" s="1600"/>
      <c r="AI41" s="1600"/>
      <c r="AJ41" s="1600"/>
      <c r="AK41" s="1600"/>
      <c r="AL41" s="1600"/>
      <c r="AM41" s="1600"/>
      <c r="AN41" s="1600"/>
      <c r="AO41" s="1600"/>
      <c r="AP41" s="1600"/>
      <c r="AQ41" s="1600"/>
      <c r="AR41" s="1600"/>
      <c r="AS41" s="1600"/>
      <c r="AT41" s="1600"/>
      <c r="AU41" s="1600"/>
      <c r="AV41" s="1600"/>
      <c r="AX41" s="2"/>
      <c r="AY41" s="2"/>
      <c r="BC41" s="1"/>
      <c r="BF41" s="1592"/>
      <c r="BG41" s="1593"/>
      <c r="BH41" s="1593"/>
      <c r="BI41" s="1593"/>
      <c r="BJ41" s="1593"/>
      <c r="BK41" s="1593"/>
      <c r="BL41" s="1593"/>
      <c r="BM41" s="1593"/>
      <c r="BN41" s="1593"/>
      <c r="BO41" s="1593"/>
      <c r="BP41" s="889"/>
      <c r="BQ41" s="889"/>
      <c r="BR41" s="889"/>
      <c r="BS41" s="889"/>
      <c r="BT41" s="889"/>
      <c r="BU41" s="889"/>
      <c r="BV41" s="1615"/>
      <c r="BW41" s="1615"/>
      <c r="BX41" s="1615"/>
      <c r="BY41" s="1615"/>
      <c r="BZ41" s="1615"/>
      <c r="CA41" s="1615"/>
      <c r="CB41" s="1615"/>
      <c r="CC41" s="1615"/>
      <c r="CD41" s="1615"/>
      <c r="CE41" s="1615"/>
      <c r="CF41" s="1615"/>
      <c r="CG41" s="1689">
        <f t="shared" ref="CG41:CH43" si="25">A41</f>
        <v>0</v>
      </c>
      <c r="CH41" s="1690" t="str">
        <f t="shared" si="25"/>
        <v>Tier06: Platform Tier 06</v>
      </c>
      <c r="CI41" s="1179" t="str">
        <f>F41</f>
        <v>SRint2006</v>
      </c>
      <c r="CJ41" s="2718"/>
      <c r="CK41" s="2724">
        <f>T41</f>
        <v>10000</v>
      </c>
      <c r="CL41" s="1592"/>
      <c r="CM41" s="1594"/>
      <c r="CN41" s="1592"/>
      <c r="CQ41" s="1592"/>
      <c r="CR41" s="1594"/>
      <c r="CU41" s="1592"/>
      <c r="DA41" s="1592"/>
      <c r="DB41" s="1594"/>
      <c r="DE41" s="1592"/>
      <c r="DF41" s="1594"/>
      <c r="DI41" s="1592"/>
      <c r="DJ41" s="1"/>
      <c r="DK41" s="1"/>
      <c r="DL41" s="1592"/>
      <c r="DM41" s="1"/>
      <c r="DN41" s="1594"/>
      <c r="DO41" s="1595"/>
      <c r="DP41" s="394"/>
      <c r="DQ41" s="1"/>
      <c r="DR41" s="1593"/>
      <c r="DS41" s="1593"/>
      <c r="DT41" s="1415"/>
      <c r="DW41" s="1"/>
      <c r="DX41" s="1593"/>
      <c r="DY41" s="1415"/>
      <c r="EC41" s="1"/>
      <c r="ED41" s="1415"/>
      <c r="EH41" s="1593"/>
      <c r="EI41" s="1"/>
      <c r="EJ41" s="1415"/>
      <c r="EN41" s="1593"/>
      <c r="EO41" s="1"/>
      <c r="EP41" s="1415"/>
      <c r="ET41" s="1593"/>
      <c r="EU41" s="1"/>
      <c r="EV41" s="1415"/>
      <c r="EZ41" s="1593"/>
      <c r="FA41" s="1"/>
      <c r="FB41" s="1415"/>
      <c r="FF41" s="1593"/>
      <c r="FG41" s="1"/>
      <c r="FH41" s="1415"/>
      <c r="FL41" s="1593"/>
      <c r="FM41" s="1"/>
      <c r="FN41" s="1415"/>
      <c r="FR41" s="1593"/>
      <c r="FS41" s="1"/>
      <c r="FT41" s="1415"/>
      <c r="FX41" s="1593"/>
      <c r="FY41" s="1"/>
      <c r="FZ41" s="1415"/>
      <c r="GD41" s="1593"/>
      <c r="GE41" s="1"/>
      <c r="GG41" s="1415"/>
      <c r="GJ41" s="1593"/>
      <c r="GK41" s="1"/>
      <c r="GM41" s="1415"/>
      <c r="GO41" s="1415"/>
      <c r="GP41" s="1593"/>
      <c r="GQ41" s="1"/>
      <c r="GS41" s="1415"/>
      <c r="GT41" s="1415"/>
    </row>
    <row r="42" spans="1:209" ht="15" hidden="1" outlineLevel="2" x14ac:dyDescent="0.2">
      <c r="A42" s="2824">
        <f>IF(E41=0,0,A43/G43)</f>
        <v>0</v>
      </c>
      <c r="B42" s="156" t="str">
        <f>B37</f>
        <v>Xeon E5-2637v4 4 core (1 chip) 3500 MHz</v>
      </c>
      <c r="C42" s="206">
        <f>ROUND(IF(P43&gt;0,2*P43*C43/1000, IF(L43=0,0, IF(I43=Calculator!$H$160, Calculator!$J$160*(1+L42), IF(K43=4, 4*H41*G42/13.4,L42*Calculator!$J$151)))),0)</f>
        <v>0</v>
      </c>
      <c r="D42" s="205">
        <f>F43*L42</f>
        <v>0</v>
      </c>
      <c r="E42" s="70">
        <f>IF(I43=J163,F43*VLOOKUP(B42,HWRange,8,FALSE),"Virtual Server")</f>
        <v>0</v>
      </c>
      <c r="F42" s="71">
        <f>IF(I43=$J$163,VLOOKUP(B42,HWRange,7,FALSE),IF(I42&gt;VLOOKUP(B42,HWRange,3,FALSE),VLOOKUP(B42,HWRange,7,FALSE)*VLOOKUP(B42,HWRange,3,FALSE)/I42,VLOOKUP(B42,HWRange,7,FALSE)))</f>
        <v>60</v>
      </c>
      <c r="G42" s="157">
        <f>IF(I43=$J$163,VLOOKUP(B42,HWRange,6,FALSE),VLOOKUP(B42,HWRange,6,FALSE)*I42/VLOOKUP(B42,HWRange,3,FALSE))</f>
        <v>240</v>
      </c>
      <c r="H42" s="161" t="s">
        <v>365</v>
      </c>
      <c r="I42" s="1247">
        <v>2</v>
      </c>
      <c r="J42" s="1881"/>
      <c r="K42" s="756" t="str">
        <f>A170</f>
        <v>Tier06</v>
      </c>
      <c r="L42" s="491">
        <f>IF(I43=$J$163,VLOOKUP(B42,HWRange,3,FALSE),I42)</f>
        <v>4</v>
      </c>
      <c r="M42" s="466" t="str">
        <f>IF(ISERROR(VLOOKUP($K42,$J$5:$J$15,1,FALSE)),IF(ISERROR(VLOOKUP($K42,$J$5:$J$15,1,FALSE)),"","/"&amp;$J$4),"/"&amp;$J$4)</f>
        <v/>
      </c>
      <c r="N42" s="467" t="str">
        <f>IF(ISERROR(VLOOKUP($K42,$K$5:$K$15,1,FALSE)),"","/"&amp;$K$4)</f>
        <v/>
      </c>
      <c r="O42" s="468">
        <f>IF(AND(O41="",M43=""),0,D42)</f>
        <v>0</v>
      </c>
      <c r="P42" s="1596" t="str">
        <f>IF(NOT(M42=""),Calculator!$A$158,IF(NOT(N42=""),Calculator!$B$158,IF(NOT(O41=""), Calculator!$C$158,Calculator!$G$158)))</f>
        <v>WindowsLinuxSolarisAIXHPUX</v>
      </c>
      <c r="Q42" s="1246" t="str">
        <f>VLOOKUP(B42,HWRange,2,FALSE)</f>
        <v>Xeon E5-2637v4</v>
      </c>
      <c r="R42" s="1187">
        <f>F43*VLOOKUP(B42,HWRange,8,FALSE)</f>
        <v>0</v>
      </c>
      <c r="S42" s="3070">
        <f>IF(OR(LEFT(B42,3)="AMI",LEFT(B42,3)="AZI"),LEFT(B42,3),0)</f>
        <v>0</v>
      </c>
      <c r="T42" s="1623" t="s">
        <v>366</v>
      </c>
      <c r="U42" s="1599" t="s">
        <v>307</v>
      </c>
      <c r="V42" s="822">
        <f t="shared" ref="V42:AD42" si="26">IF(V43=0,0,IF($A42&lt;0.5,$A42,"+"))</f>
        <v>0</v>
      </c>
      <c r="W42" s="2063">
        <f>IF(AND($N43="/"&amp;$Q$4,$H44=I$187,$H43=0),W$163,IF(W43=0,0,IF($A42&lt;0.5,$A42,"+")))</f>
        <v>0</v>
      </c>
      <c r="X42" s="318">
        <f t="shared" si="26"/>
        <v>0</v>
      </c>
      <c r="Y42" s="318">
        <f t="shared" si="26"/>
        <v>0</v>
      </c>
      <c r="Z42" s="318">
        <f t="shared" si="26"/>
        <v>0</v>
      </c>
      <c r="AA42" s="318">
        <f t="shared" si="26"/>
        <v>0</v>
      </c>
      <c r="AB42" s="318">
        <f t="shared" si="26"/>
        <v>0</v>
      </c>
      <c r="AC42" s="318">
        <f t="shared" si="26"/>
        <v>0</v>
      </c>
      <c r="AD42" s="823">
        <f t="shared" si="26"/>
        <v>0</v>
      </c>
      <c r="AE42" s="1185">
        <f>D42</f>
        <v>0</v>
      </c>
      <c r="AF42" s="2998">
        <f>AF$19</f>
        <v>24</v>
      </c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X42" s="1601"/>
      <c r="AY42" s="1601"/>
      <c r="BC42" s="1602"/>
      <c r="BF42" s="1592"/>
      <c r="BG42" s="1601"/>
      <c r="BH42" s="1601"/>
      <c r="BI42" s="1601"/>
      <c r="BJ42" s="1601"/>
      <c r="BK42" s="1601"/>
      <c r="BL42" s="1601"/>
      <c r="BM42" s="1601"/>
      <c r="BN42" s="1601"/>
      <c r="BO42" s="1601"/>
      <c r="BP42" s="885">
        <f>IF(A42&gt;0,1,0)</f>
        <v>0</v>
      </c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1691">
        <f t="shared" si="25"/>
        <v>0</v>
      </c>
      <c r="CH42" s="1590" t="str">
        <f t="shared" si="25"/>
        <v>Xeon E5-2637v4 4 core (1 chip) 3500 MHz</v>
      </c>
      <c r="CI42" s="1180">
        <f>F42</f>
        <v>60</v>
      </c>
      <c r="CJ42" s="1180">
        <f>G42</f>
        <v>240</v>
      </c>
      <c r="CK42" s="2723"/>
      <c r="CL42" s="1592"/>
      <c r="CM42" s="1594"/>
      <c r="CN42" s="1592"/>
      <c r="CQ42" s="1592"/>
      <c r="CR42" s="1594"/>
      <c r="CU42" s="1592"/>
      <c r="DA42" s="1592"/>
      <c r="DB42" s="1594"/>
      <c r="DE42" s="1592"/>
      <c r="DF42" s="1594"/>
      <c r="DI42" s="1592"/>
      <c r="DJ42" s="1602"/>
      <c r="DK42" s="1602"/>
      <c r="DL42" s="1592"/>
      <c r="DM42" s="1602"/>
      <c r="DN42" s="1594"/>
      <c r="DO42" s="1594"/>
      <c r="DP42" s="394"/>
      <c r="DQ42" s="1602"/>
      <c r="DR42" s="1594"/>
      <c r="DS42" s="1594"/>
      <c r="DT42" s="1415"/>
      <c r="DW42" s="1602"/>
      <c r="DX42" s="1594"/>
      <c r="DY42" s="1415"/>
      <c r="EC42" s="1602"/>
      <c r="ED42" s="1415"/>
      <c r="EH42" s="1594"/>
      <c r="EI42" s="1602"/>
      <c r="EJ42" s="1415"/>
      <c r="EN42" s="1594"/>
      <c r="EO42" s="1602"/>
      <c r="EP42" s="1415"/>
      <c r="ET42" s="1594"/>
      <c r="EU42" s="1602"/>
      <c r="EV42" s="1415"/>
      <c r="EZ42" s="1594"/>
      <c r="FA42" s="1602"/>
      <c r="FB42" s="1415"/>
      <c r="FF42" s="1594"/>
      <c r="FG42" s="1602"/>
      <c r="FH42" s="1415"/>
      <c r="FL42" s="1594"/>
      <c r="FM42" s="1602"/>
      <c r="FN42" s="1415"/>
      <c r="FR42" s="1594"/>
      <c r="FS42" s="1602"/>
      <c r="FT42" s="1415"/>
      <c r="FX42" s="1594"/>
      <c r="FY42" s="1602"/>
      <c r="FZ42" s="1415"/>
      <c r="GD42" s="1594"/>
      <c r="GE42" s="1602"/>
      <c r="GG42" s="1415"/>
      <c r="GJ42" s="1594"/>
      <c r="GK42" s="1602"/>
      <c r="GM42" s="1415"/>
      <c r="GO42" s="1415"/>
      <c r="GP42" s="1594"/>
      <c r="GQ42" s="1602"/>
      <c r="GS42" s="1415"/>
      <c r="GT42" s="1415"/>
    </row>
    <row r="43" spans="1:209" ht="14" hidden="1" outlineLevel="2" thickBot="1" x14ac:dyDescent="0.2">
      <c r="A43" s="2825">
        <f>IF(E41=0,0,ER$18)</f>
        <v>0</v>
      </c>
      <c r="B43" s="3079" t="str">
        <f>"Install ("&amp;C44&amp;M41&amp;N41&amp;O41&amp;M42&amp;N42&amp;M43&amp;N43&amp;")"</f>
        <v>Install (Physical)</v>
      </c>
      <c r="C43" s="258">
        <f>IF(E41=0,0, IF(I43=Calculator!$H$160,1,E43/O43)*H41)</f>
        <v>0</v>
      </c>
      <c r="D43" s="140">
        <f>IF(J43=$H$188,J44,0)+IF(E41=0,0,J41*E41)*($BO$2/F42)</f>
        <v>0</v>
      </c>
      <c r="E43" s="141">
        <f>IF(E41=0,0,L42*60/D43)</f>
        <v>0</v>
      </c>
      <c r="F43" s="142">
        <f>IF(L43=0,0,IF(H43,H43,IF(I43=Calculator!$H$160,A41,IF(N43="/DBMS",1,IF(H44=$I$187,IF(N42="",IF(L43=1,2,L43),L43+1),L43)))))</f>
        <v>0</v>
      </c>
      <c r="G43" s="158">
        <f>IF(E41=0,0,IF(F43&gt;0,+E43*F43,"Nodes?"))</f>
        <v>0</v>
      </c>
      <c r="H43" s="143"/>
      <c r="I43" s="1248" t="s">
        <v>408</v>
      </c>
      <c r="J43" s="3227" t="str">
        <f>J38</f>
        <v xml:space="preserve">Siloed </v>
      </c>
      <c r="K43" s="1604">
        <f>IF(AND(N43="",N42=""),2,4)</f>
        <v>2</v>
      </c>
      <c r="L43" s="1605">
        <f>IF(H43,H43,IF(E41=0,0,IF(A43&gt;0,+INT(A43/(E43*H41))+1,0)))</f>
        <v>0</v>
      </c>
      <c r="M43" s="469" t="str">
        <f>IF(ISERROR(VLOOKUP($K42,$O$5:$O$15,1,FALSE)),IF(ISERROR(VLOOKUP($K42,$O$5:$O$15,1,FALSE)),"","/"&amp;$O$4),"/"&amp;$O$4)</f>
        <v/>
      </c>
      <c r="N43" s="470" t="str">
        <f>IF(ISERROR(VLOOKUP($K42,$Q$5:$Q$15,1,FALSE)),IF(ISERROR(VLOOKUP($K42,$Q$5:$Q$15,1,FALSE)),"","/"&amp;$Q$4),"/"&amp;$Q$4)</f>
        <v/>
      </c>
      <c r="O43" s="471">
        <f>IF($EQ$18&gt;0,$ER$18/$EQ$18,0)</f>
        <v>0</v>
      </c>
      <c r="P43" s="886"/>
      <c r="Q43" s="1714">
        <f>D42/VLOOKUP(B42,HWRange,3,FALSE)</f>
        <v>0</v>
      </c>
      <c r="R43" s="1877">
        <f>P170</f>
        <v>0</v>
      </c>
      <c r="S43" s="1982">
        <f>IF(E41=0,0,H41*A41/A42)</f>
        <v>0</v>
      </c>
      <c r="T43" s="135">
        <v>10000</v>
      </c>
      <c r="U43" s="1608">
        <f>IF(E41=0,0,IF(U44=$I$188,U41,ET$18/F43))</f>
        <v>0</v>
      </c>
      <c r="V43" s="1826">
        <f>IF(G43&gt;0,1,0)</f>
        <v>0</v>
      </c>
      <c r="W43" s="1827">
        <f t="shared" ref="W43:AC43" si="27">IF(V43&gt;0,IF($F43&gt;V43,V43+1,0),0)</f>
        <v>0</v>
      </c>
      <c r="X43" s="1827">
        <f t="shared" si="27"/>
        <v>0</v>
      </c>
      <c r="Y43" s="1827">
        <f t="shared" si="27"/>
        <v>0</v>
      </c>
      <c r="Z43" s="1827">
        <f t="shared" si="27"/>
        <v>0</v>
      </c>
      <c r="AA43" s="1827">
        <f t="shared" si="27"/>
        <v>0</v>
      </c>
      <c r="AB43" s="1827">
        <f t="shared" si="27"/>
        <v>0</v>
      </c>
      <c r="AC43" s="1827">
        <f t="shared" si="27"/>
        <v>0</v>
      </c>
      <c r="AD43" s="1828">
        <f>IF(AC43&gt;0,IF($F43&gt;AC43,"…"&amp;$F43,0),0)</f>
        <v>0</v>
      </c>
      <c r="AE43" s="1829">
        <f>A42</f>
        <v>0</v>
      </c>
      <c r="AF43" s="2978">
        <f>IF(AF42="","",IF(H43=0,0,H43/AF42+IF(H44=$I$187,1,0)))</f>
        <v>0</v>
      </c>
      <c r="AG43" s="1591"/>
      <c r="AH43" s="1591"/>
      <c r="AI43" s="1591"/>
      <c r="AJ43" s="1591"/>
      <c r="AK43" s="1591"/>
      <c r="AL43" s="1591"/>
      <c r="AM43" s="1591"/>
      <c r="AN43" s="1591"/>
      <c r="AO43" s="1591"/>
      <c r="AP43" s="1591"/>
      <c r="AQ43" s="1591"/>
      <c r="AR43" s="1591"/>
      <c r="AS43" s="1591"/>
      <c r="AT43" s="1591"/>
      <c r="AU43" s="1591"/>
      <c r="AV43" s="1591"/>
      <c r="BC43" s="1602"/>
      <c r="BF43" s="1592"/>
      <c r="BG43" s="1601"/>
      <c r="BH43" s="1601"/>
      <c r="BI43" s="1601"/>
      <c r="BJ43" s="1601"/>
      <c r="BK43" s="1601"/>
      <c r="BL43" s="1601"/>
      <c r="BM43" s="1601"/>
      <c r="BN43" s="1601"/>
      <c r="BO43" s="1601"/>
      <c r="BP43" s="1606"/>
      <c r="BQ43" s="890"/>
      <c r="BR43" s="890"/>
      <c r="BS43" s="890"/>
      <c r="BT43" s="890"/>
      <c r="BU43" s="890"/>
      <c r="BV43" s="890"/>
      <c r="BW43" s="890"/>
      <c r="BX43" s="890"/>
      <c r="BY43" s="890"/>
      <c r="BZ43" s="890"/>
      <c r="CA43" s="890"/>
      <c r="CB43" s="890"/>
      <c r="CC43" s="890"/>
      <c r="CD43" s="890"/>
      <c r="CE43" s="890"/>
      <c r="CF43" s="1606"/>
      <c r="CG43" s="1692">
        <f t="shared" si="25"/>
        <v>0</v>
      </c>
      <c r="CH43" s="1693" t="str">
        <f t="shared" si="25"/>
        <v>Install (Physical)</v>
      </c>
      <c r="CI43" s="1181">
        <f>F43</f>
        <v>0</v>
      </c>
      <c r="CJ43" s="2719">
        <f>D42</f>
        <v>0</v>
      </c>
      <c r="CK43" s="2724">
        <f>T43</f>
        <v>10000</v>
      </c>
      <c r="CL43" s="1592"/>
      <c r="CM43" s="1594"/>
      <c r="CN43" s="1592"/>
      <c r="CQ43" s="1592"/>
      <c r="CR43" s="1594"/>
      <c r="CU43" s="1592"/>
      <c r="DA43" s="1592"/>
      <c r="DB43" s="1594"/>
      <c r="DE43" s="1592"/>
      <c r="DF43" s="1594"/>
      <c r="DI43" s="1592"/>
      <c r="DJ43" s="1602"/>
      <c r="DK43" s="1602"/>
      <c r="DL43" s="1592"/>
      <c r="DM43" s="1602"/>
      <c r="DN43" s="1594"/>
      <c r="DO43" s="1594"/>
      <c r="DP43" s="394"/>
      <c r="DQ43" s="1602"/>
      <c r="DR43" s="1597"/>
      <c r="DS43" s="1597"/>
      <c r="DT43" s="1415"/>
      <c r="DW43" s="1602"/>
      <c r="DX43" s="1597"/>
      <c r="DY43" s="1415"/>
      <c r="EC43" s="1602"/>
      <c r="ED43" s="1415"/>
      <c r="EH43" s="1597"/>
      <c r="EI43" s="1602"/>
      <c r="EJ43" s="1415"/>
      <c r="EN43" s="1597"/>
      <c r="EO43" s="1602"/>
      <c r="EP43" s="1415"/>
      <c r="ET43" s="1597"/>
      <c r="EU43" s="1602"/>
      <c r="EV43" s="1415"/>
      <c r="EZ43" s="1597"/>
      <c r="FA43" s="1602"/>
      <c r="FB43" s="1415"/>
      <c r="FF43" s="1597"/>
      <c r="FG43" s="1602"/>
      <c r="FH43" s="1415"/>
      <c r="FL43" s="1597"/>
      <c r="FM43" s="1602"/>
      <c r="FN43" s="1415"/>
      <c r="FR43" s="1597"/>
      <c r="FS43" s="1602"/>
      <c r="FT43" s="1415"/>
      <c r="FX43" s="1597"/>
      <c r="FY43" s="1602"/>
      <c r="FZ43" s="1415"/>
      <c r="GD43" s="1597"/>
      <c r="GE43" s="1602"/>
      <c r="GG43" s="1415"/>
      <c r="GJ43" s="1597"/>
      <c r="GK43" s="1602"/>
      <c r="GM43" s="1415"/>
      <c r="GO43" s="1415"/>
      <c r="GP43" s="1597"/>
      <c r="GQ43" s="1602"/>
      <c r="GS43" s="1415"/>
      <c r="GT43" s="1415"/>
    </row>
    <row r="44" spans="1:209" ht="15" hidden="1" outlineLevel="1" collapsed="1" x14ac:dyDescent="0.15">
      <c r="A44" s="916">
        <f>IF(A43=0,0,ROUND(100*A42,0)&amp;"% CPU")</f>
        <v>0</v>
      </c>
      <c r="B44" s="917">
        <f>IF(A43&gt;0,IF(I43=$J$163,K42&amp;": "&amp;F43&amp;"x "&amp;B42&amp;" "&amp;C42&amp;" GB RAM",$K42&amp;": "&amp;$F43&amp;"x VM ("&amp;I42&amp;" core "&amp;C42&amp;" GB RAM) "&amp;Q42&amp;" "&amp;L41&amp;" MHz"),0)</f>
        <v>0</v>
      </c>
      <c r="C44" s="1609" t="str">
        <f>IF(I43=$H$185,I43,I41)</f>
        <v>Physical</v>
      </c>
      <c r="D44" s="918">
        <f>A41</f>
        <v>0</v>
      </c>
      <c r="E44" s="919">
        <f>IF(E43&gt;0,ROUND(E43*60/1000,0)&amp;"K TPH",0)</f>
        <v>0</v>
      </c>
      <c r="F44" s="920">
        <f>+L43</f>
        <v>0</v>
      </c>
      <c r="G44" s="919">
        <f>IF(G43&gt;0,ROUND(G43*60/1000,0)&amp;"K TPH",0)</f>
        <v>0</v>
      </c>
      <c r="H44" s="921" t="str">
        <f>H$19</f>
        <v>Minimum</v>
      </c>
      <c r="I44" s="1736">
        <f>IF(I43=$J$163,0,I41)</f>
        <v>0</v>
      </c>
      <c r="J44" s="2086">
        <f>IF(AND(O41="/"&amp;$N$4,J43=$H$188),IF(F43&gt;0,(F43-1)*A43/(60*$H$190),0),0)</f>
        <v>0</v>
      </c>
      <c r="K44" s="2086">
        <f>IF(E41&gt;0,D43/E41,0)</f>
        <v>0</v>
      </c>
      <c r="L44" s="2080">
        <f>IF($W42=$W$163,2,F43)</f>
        <v>0</v>
      </c>
      <c r="M44" s="3134">
        <f>IF(AND(S44&gt;0,I43=$H$185),1,0)</f>
        <v>0</v>
      </c>
      <c r="N44" s="1618"/>
      <c r="O44" s="1618"/>
      <c r="P44" s="922"/>
      <c r="Q44" s="1737">
        <f>IF($A46&lt;0.9999, $A46/((1+$CJ$2*$A46*($L46-1))*(1-$A46)),200)</f>
        <v>0</v>
      </c>
      <c r="R44" s="1618"/>
      <c r="S44" s="3118">
        <f>IF(LEFT(B42,3)=S42,VLOOKUP(B42,HWRange,10,FALSE),0)</f>
        <v>0</v>
      </c>
      <c r="T44" s="940" t="str">
        <f>U44</f>
        <v>Client</v>
      </c>
      <c r="U44" s="1595" t="s">
        <v>303</v>
      </c>
      <c r="V44" s="1918">
        <f>IF(A42&gt;0,B44&amp;" "&amp;C44&amp;IF(B44="",""," GB RAM"),0)</f>
        <v>0</v>
      </c>
      <c r="W44" s="1819"/>
      <c r="X44" s="1819"/>
      <c r="Y44" s="1819"/>
      <c r="Z44" s="1819"/>
      <c r="AA44" s="1819"/>
      <c r="AB44" s="1819"/>
      <c r="AC44" s="1819"/>
      <c r="AD44" s="1819"/>
      <c r="AE44" s="1919">
        <f>IF(A42&gt;0,F42,0)</f>
        <v>0</v>
      </c>
      <c r="AF44" s="2876">
        <f>IF(A41=0,0,IF(LEFT(B42,3)=S42,VLOOKUP(B42,HWRange,12,FALSE),0)*F43)</f>
        <v>0</v>
      </c>
      <c r="AG44" s="2877" t="str">
        <f>IF(AF44&gt;0,S42&amp;" 3-yr Pricing","")</f>
        <v/>
      </c>
      <c r="AH44" s="2878"/>
      <c r="AI44" s="1591"/>
      <c r="AJ44" s="1591"/>
      <c r="AK44" s="1591"/>
      <c r="AL44" s="1591"/>
      <c r="AM44" s="1591"/>
      <c r="AN44" s="1591"/>
      <c r="AO44" s="1591"/>
      <c r="AP44" s="1591"/>
      <c r="AQ44" s="1591"/>
      <c r="AR44" s="1591"/>
      <c r="AS44" s="1591"/>
      <c r="AT44" s="1591"/>
      <c r="AU44" s="1591"/>
      <c r="AV44" s="1591"/>
      <c r="AX44" s="1601"/>
      <c r="AY44" s="1601"/>
      <c r="BB44" s="1415">
        <f>BC43</f>
        <v>0</v>
      </c>
      <c r="BC44" s="1614"/>
      <c r="BF44" s="1592"/>
      <c r="BG44" s="1893"/>
      <c r="BH44" s="1601"/>
      <c r="BI44" s="1601"/>
      <c r="BJ44" s="1601"/>
      <c r="BK44" s="1601"/>
      <c r="BL44" s="1601"/>
      <c r="BM44" s="1601"/>
      <c r="BN44" s="1601"/>
      <c r="BO44" s="1601"/>
      <c r="BP44" s="1619"/>
      <c r="BQ44" s="923"/>
      <c r="BR44" s="923"/>
      <c r="BS44" s="923"/>
      <c r="BT44" s="923"/>
      <c r="BU44" s="923"/>
      <c r="BV44" s="923"/>
      <c r="BW44" s="923"/>
      <c r="BX44" s="923"/>
      <c r="BY44" s="923"/>
      <c r="BZ44" s="923"/>
      <c r="CA44" s="923"/>
      <c r="CB44" s="923"/>
      <c r="CC44" s="923"/>
      <c r="CD44" s="923"/>
      <c r="CE44" s="923"/>
      <c r="CF44" s="1619"/>
      <c r="CG44" s="3403">
        <f>B44</f>
        <v>0</v>
      </c>
      <c r="CH44" s="3404"/>
      <c r="CI44" s="3404"/>
      <c r="CJ44" s="3404"/>
      <c r="CK44" s="2723"/>
      <c r="CL44" s="1592"/>
      <c r="CM44" s="1594"/>
      <c r="CN44" s="1592"/>
      <c r="CQ44" s="1592"/>
      <c r="CR44" s="1594"/>
      <c r="CU44" s="1592"/>
      <c r="DA44" s="1592"/>
      <c r="DB44" s="1594"/>
      <c r="DE44" s="1592"/>
      <c r="DF44" s="1594"/>
      <c r="DI44" s="1592"/>
      <c r="DJ44" s="1614"/>
      <c r="DK44" s="1614"/>
      <c r="DL44" s="1592"/>
      <c r="DM44" s="1614"/>
      <c r="DN44" s="1594"/>
      <c r="DO44" s="1594"/>
      <c r="DP44" s="394"/>
      <c r="DQ44" s="1614"/>
      <c r="DR44" s="1597"/>
      <c r="DS44" s="1597"/>
      <c r="DT44" s="1415"/>
      <c r="DW44" s="1614"/>
      <c r="DX44" s="1597"/>
      <c r="DY44" s="1415"/>
      <c r="EC44" s="1614"/>
      <c r="ED44" s="1415"/>
      <c r="EH44" s="1597"/>
      <c r="EI44" s="1614"/>
      <c r="EJ44" s="1415"/>
      <c r="EN44" s="1597"/>
      <c r="EO44" s="1614"/>
      <c r="EP44" s="1415"/>
      <c r="ET44" s="1597"/>
      <c r="EU44" s="1614"/>
      <c r="EV44" s="1415"/>
      <c r="EZ44" s="1597"/>
      <c r="FA44" s="1614"/>
      <c r="FB44" s="1415"/>
      <c r="FF44" s="1597"/>
      <c r="FG44" s="1614"/>
      <c r="FH44" s="1415"/>
      <c r="FL44" s="1597"/>
      <c r="FM44" s="1614"/>
      <c r="FN44" s="1415"/>
      <c r="FR44" s="1597"/>
      <c r="FS44" s="1614"/>
      <c r="FT44" s="1415"/>
      <c r="FX44" s="1597"/>
      <c r="FY44" s="1614"/>
      <c r="FZ44" s="1415"/>
      <c r="GD44" s="1597"/>
      <c r="GE44" s="1614"/>
      <c r="GG44" s="1415"/>
      <c r="GJ44" s="1597"/>
      <c r="GK44" s="1614"/>
      <c r="GM44" s="1415"/>
      <c r="GO44" s="1415"/>
      <c r="GP44" s="1597"/>
      <c r="GQ44" s="1614"/>
      <c r="GS44" s="1415"/>
      <c r="GT44" s="1415"/>
    </row>
    <row r="45" spans="1:209" ht="17" hidden="1" outlineLevel="2" thickBot="1" x14ac:dyDescent="0.25">
      <c r="A45" s="2823">
        <f>IF(O47&gt;0,A47/O47,0)</f>
        <v>0</v>
      </c>
      <c r="B45" s="552" t="s">
        <v>1457</v>
      </c>
      <c r="C45" s="136" t="str">
        <f>VLOOKUP(B46,Hardware!$A$2:$I$632,9,FALSE)</f>
        <v>Intel</v>
      </c>
      <c r="D45" s="137" t="str">
        <f>D41</f>
        <v>Arc18=</v>
      </c>
      <c r="E45" s="138">
        <f>IF(EW$18=0,0,IF(FA$18&gt;0,FA$18/EX$18))</f>
        <v>0</v>
      </c>
      <c r="F45" s="139" t="s">
        <v>328</v>
      </c>
      <c r="G45" s="1585"/>
      <c r="H45" s="1586">
        <v>0.8</v>
      </c>
      <c r="I45" s="1739" t="str">
        <f>I41</f>
        <v>Host01</v>
      </c>
      <c r="J45" s="207">
        <f>IF(K45&gt;0,K45,IF(I47=Calculator!$H$158,1, IF(OR(R45=Calculator!$H$162,R45=Calculator!$H$163), VLOOKUP(I47,VAdjust,2,FALSE),1)))</f>
        <v>1</v>
      </c>
      <c r="K45" s="2456"/>
      <c r="L45" s="722">
        <f>VLOOKUP(B46,HWRange,5,FALSE)</f>
        <v>3500</v>
      </c>
      <c r="M45" s="464" t="str">
        <f>IF(ISERROR(VLOOKUP($K46,$L$5:$L$15,1,FALSE)),"","/"&amp;$L$4)</f>
        <v/>
      </c>
      <c r="N45" s="257" t="str">
        <f>IF(ISERROR(VLOOKUP($K46,$M$5:$M$15,1,FALSE)),IF(ISERROR(VLOOKUP($K46,$M$5:$M$15,1,FALSE)),"","/"&amp;$M$4),"/"&amp;$M$4)</f>
        <v/>
      </c>
      <c r="O45" s="465" t="str">
        <f>IF(ISERROR(VLOOKUP($K46,$N$5:$N$15,1,FALSE)),IF(ISERROR(VLOOKUP($K46,$N$5:$N$15,1,FALSE)),"","/"&amp;$N$4),"/"&amp;$N$4)</f>
        <v/>
      </c>
      <c r="P45" s="1587">
        <f>IF(A46=0,0,IF(P47&gt;0,1000*C46/C47,1000*C46/C47))/2</f>
        <v>0</v>
      </c>
      <c r="Q45" s="1734">
        <f>IF(I47=$J$163,0,VLOOKUP(I45,HostArray,2,FALSE))</f>
        <v>0</v>
      </c>
      <c r="R45" s="1588" t="s">
        <v>412</v>
      </c>
      <c r="S45" s="3071" t="str">
        <f>IF(S46=LEFT(B46,3),_xlfn.NUMBERVALUE(MID(B46,FIND("(",B46,1)+1,FIND(")",B46,1)-FIND("(",B46,1)-3)),"")</f>
        <v/>
      </c>
      <c r="T45" s="135">
        <v>10000</v>
      </c>
      <c r="U45" s="1616">
        <f>IF(E45&gt;0,IF(AND(M47="",N47=""),ES$18/F47,ET$18/F47),0)</f>
        <v>0</v>
      </c>
      <c r="V45" s="1822">
        <f>IF(V47&gt;0,IF($A46&gt;0.5,$A46,""),0)</f>
        <v>0</v>
      </c>
      <c r="W45" s="1823">
        <f>IF(AND($W46=W$163,$H48=I$187),W$164,IF(W47&gt;0,IF($A46&gt;0.5,$A46,""),0))</f>
        <v>0</v>
      </c>
      <c r="X45" s="1823">
        <f t="shared" ref="X45:AD45" si="28">IF(X47&gt;0,IF($A46&gt;0.5,$A46,""),0)</f>
        <v>0</v>
      </c>
      <c r="Y45" s="1823">
        <f t="shared" si="28"/>
        <v>0</v>
      </c>
      <c r="Z45" s="1823">
        <f t="shared" si="28"/>
        <v>0</v>
      </c>
      <c r="AA45" s="1823">
        <f t="shared" si="28"/>
        <v>0</v>
      </c>
      <c r="AB45" s="1823">
        <f t="shared" si="28"/>
        <v>0</v>
      </c>
      <c r="AC45" s="1823">
        <f t="shared" si="28"/>
        <v>0</v>
      </c>
      <c r="AD45" s="1824">
        <f t="shared" si="28"/>
        <v>0</v>
      </c>
      <c r="AE45" s="1825">
        <f>L48</f>
        <v>0</v>
      </c>
      <c r="AF45" s="2977" t="str">
        <f>IF(I47=$H$187,$AF$18,"")</f>
        <v/>
      </c>
      <c r="AG45" s="1600"/>
      <c r="AH45" s="1600"/>
      <c r="AI45" s="1600"/>
      <c r="AJ45" s="1600"/>
      <c r="AK45" s="1600"/>
      <c r="AL45" s="1600"/>
      <c r="AM45" s="1600"/>
      <c r="AN45" s="1600"/>
      <c r="AO45" s="1600"/>
      <c r="AP45" s="1600"/>
      <c r="AQ45" s="1600"/>
      <c r="AR45" s="1600"/>
      <c r="AS45" s="1600"/>
      <c r="AT45" s="1600"/>
      <c r="AU45" s="1600"/>
      <c r="AV45" s="1600"/>
      <c r="AX45" s="2"/>
      <c r="AY45" s="2"/>
      <c r="BC45" s="1"/>
      <c r="BF45" s="1592"/>
      <c r="BG45" s="1593"/>
      <c r="BH45" s="1593"/>
      <c r="BI45" s="1593"/>
      <c r="BJ45" s="1593"/>
      <c r="BK45" s="1593"/>
      <c r="BL45" s="1593"/>
      <c r="BM45" s="1593"/>
      <c r="BN45" s="1593"/>
      <c r="BO45" s="1593"/>
      <c r="BP45" s="889"/>
      <c r="BQ45" s="889"/>
      <c r="BR45" s="889"/>
      <c r="BS45" s="889"/>
      <c r="BT45" s="889"/>
      <c r="BU45" s="889"/>
      <c r="BV45" s="1615"/>
      <c r="BW45" s="1615"/>
      <c r="BX45" s="1615"/>
      <c r="BY45" s="1615"/>
      <c r="BZ45" s="1615"/>
      <c r="CA45" s="1615"/>
      <c r="CB45" s="1615"/>
      <c r="CC45" s="1615"/>
      <c r="CD45" s="1615"/>
      <c r="CE45" s="1615"/>
      <c r="CF45" s="1615"/>
      <c r="CG45" s="1689">
        <f t="shared" ref="CG45:CH47" si="29">A45</f>
        <v>0</v>
      </c>
      <c r="CH45" s="1690" t="str">
        <f t="shared" si="29"/>
        <v>Tier07: Platform Tier 07</v>
      </c>
      <c r="CI45" s="1179" t="str">
        <f>F45</f>
        <v>SRint2006</v>
      </c>
      <c r="CJ45" s="2718"/>
      <c r="CK45" s="2724">
        <f>T45</f>
        <v>10000</v>
      </c>
      <c r="CL45" s="1592"/>
      <c r="CM45" s="1594"/>
      <c r="CN45" s="1592"/>
      <c r="CQ45" s="1592"/>
      <c r="CR45" s="1594"/>
      <c r="CU45" s="1592"/>
      <c r="DA45" s="1592"/>
      <c r="DB45" s="1594"/>
      <c r="DE45" s="1592"/>
      <c r="DF45" s="1594"/>
      <c r="DI45" s="1592"/>
      <c r="DJ45" s="1"/>
      <c r="DK45" s="1"/>
      <c r="DL45" s="1592"/>
      <c r="DM45" s="1"/>
      <c r="DN45" s="1594"/>
      <c r="DO45" s="1595"/>
      <c r="DP45" s="394"/>
      <c r="DQ45" s="1"/>
      <c r="DR45" s="1593"/>
      <c r="DS45" s="1593"/>
      <c r="DT45" s="1415"/>
      <c r="DW45" s="1"/>
      <c r="DX45" s="1593"/>
      <c r="DY45" s="1415"/>
      <c r="EC45" s="1"/>
      <c r="ED45" s="1415"/>
      <c r="EH45" s="1593"/>
      <c r="EI45" s="1"/>
      <c r="EJ45" s="1415"/>
      <c r="EN45" s="1593"/>
      <c r="EO45" s="1"/>
      <c r="EP45" s="1415"/>
      <c r="ET45" s="1593"/>
      <c r="EU45" s="1"/>
      <c r="EV45" s="1415"/>
      <c r="EZ45" s="1593"/>
      <c r="FA45" s="1"/>
      <c r="FB45" s="1415"/>
      <c r="FF45" s="1593"/>
      <c r="FG45" s="1"/>
      <c r="FH45" s="1415"/>
      <c r="FL45" s="1593"/>
      <c r="FM45" s="1"/>
      <c r="FN45" s="1415"/>
      <c r="FR45" s="1593"/>
      <c r="FS45" s="1"/>
      <c r="FT45" s="1415"/>
      <c r="FX45" s="1593"/>
      <c r="FY45" s="1"/>
      <c r="FZ45" s="1415"/>
      <c r="GD45" s="1593"/>
      <c r="GE45" s="1"/>
      <c r="GG45" s="1415"/>
      <c r="GJ45" s="1593"/>
      <c r="GK45" s="1"/>
      <c r="GM45" s="1415"/>
      <c r="GO45" s="1415"/>
      <c r="GP45" s="1593"/>
      <c r="GQ45" s="1"/>
      <c r="GS45" s="1415"/>
      <c r="GT45" s="1415"/>
    </row>
    <row r="46" spans="1:209" ht="15" hidden="1" outlineLevel="2" x14ac:dyDescent="0.2">
      <c r="A46" s="2824">
        <f>IF(E45=0,0,A47/G47)</f>
        <v>0</v>
      </c>
      <c r="B46" s="156" t="str">
        <f>B37</f>
        <v>Xeon E5-2637v4 4 core (1 chip) 3500 MHz</v>
      </c>
      <c r="C46" s="206">
        <f>ROUND(IF(P47&gt;0,2*P47*C47/1000, IF(L47=0,0, IF(I47=Calculator!$H$160, Calculator!$J$160*(1+L46), IF(K47=4, 4*H45*G46/13.4,L46*Calculator!$J$151)))),0)</f>
        <v>0</v>
      </c>
      <c r="D46" s="205">
        <f>F47*L46</f>
        <v>0</v>
      </c>
      <c r="E46" s="70" t="str">
        <f>IF(I47=J167,F47*VLOOKUP(B46,HWRange,8,FALSE),"Virtual Server")</f>
        <v>Virtual Server</v>
      </c>
      <c r="F46" s="71">
        <f>IF(I47=$J$163,VLOOKUP(B46,HWRange,7,FALSE),IF(I46&gt;VLOOKUP(B46,HWRange,3,FALSE),VLOOKUP(B46,HWRange,7,FALSE)*VLOOKUP(B46,HWRange,3,FALSE)/I46,VLOOKUP(B46,HWRange,7,FALSE)))</f>
        <v>60</v>
      </c>
      <c r="G46" s="157">
        <f>IF(I47=$J$163,VLOOKUP(B46,HWRange,6,FALSE),VLOOKUP(B46,HWRange,6,FALSE)*I46/VLOOKUP(B46,HWRange,3,FALSE))</f>
        <v>240</v>
      </c>
      <c r="H46" s="161" t="s">
        <v>365</v>
      </c>
      <c r="I46" s="1247">
        <v>2</v>
      </c>
      <c r="J46" s="1881"/>
      <c r="K46" s="756" t="str">
        <f>A171</f>
        <v>Tier07</v>
      </c>
      <c r="L46" s="491">
        <f>IF(I47=$J$163,VLOOKUP(B46,HWRange,3,FALSE),I46)</f>
        <v>4</v>
      </c>
      <c r="M46" s="466" t="str">
        <f>IF(ISERROR(VLOOKUP($K46,$J$5:$J$15,1,FALSE)),IF(ISERROR(VLOOKUP($K46,$J$5:$J$15,1,FALSE)),"","/"&amp;$J$4),"/"&amp;$J$4)</f>
        <v/>
      </c>
      <c r="N46" s="467" t="str">
        <f>IF(ISERROR(VLOOKUP($K46,$K$5:$K$15,1,FALSE)),"","/"&amp;$K$4)</f>
        <v/>
      </c>
      <c r="O46" s="468">
        <f>IF(AND(O45="",M47=""),0,D46)</f>
        <v>0</v>
      </c>
      <c r="P46" s="1596" t="str">
        <f>IF(NOT(M46=""),Calculator!$A$158,IF(NOT(N46=""),Calculator!$B$158,IF(NOT(O45=""), Calculator!$C$158,Calculator!$G$158)))</f>
        <v>WindowsLinuxSolarisAIXHPUX</v>
      </c>
      <c r="Q46" s="1246" t="str">
        <f>VLOOKUP(B46,HWRange,2,FALSE)</f>
        <v>Xeon E5-2637v4</v>
      </c>
      <c r="R46" s="1187">
        <f>F47*VLOOKUP(B46,HWRange,8,FALSE)</f>
        <v>0</v>
      </c>
      <c r="S46" s="3070">
        <f>IF(OR(LEFT(B46,3)="AMI",LEFT(B46,3)="AZI"),LEFT(B46,3),0)</f>
        <v>0</v>
      </c>
      <c r="T46" s="1623" t="s">
        <v>366</v>
      </c>
      <c r="U46" s="1599" t="s">
        <v>307</v>
      </c>
      <c r="V46" s="822">
        <f t="shared" ref="V46:AD46" si="30">IF(V47=0,0,IF($A46&lt;0.5,$A46,"+"))</f>
        <v>0</v>
      </c>
      <c r="W46" s="2063">
        <f>IF(AND($N47="/"&amp;$Q$4,$H48=I$187,$H47=0),W$163,IF(W47=0,0,IF($A46&lt;0.5,$A46,"+")))</f>
        <v>0</v>
      </c>
      <c r="X46" s="318">
        <f t="shared" si="30"/>
        <v>0</v>
      </c>
      <c r="Y46" s="318">
        <f t="shared" si="30"/>
        <v>0</v>
      </c>
      <c r="Z46" s="318">
        <f t="shared" si="30"/>
        <v>0</v>
      </c>
      <c r="AA46" s="318">
        <f t="shared" si="30"/>
        <v>0</v>
      </c>
      <c r="AB46" s="318">
        <f t="shared" si="30"/>
        <v>0</v>
      </c>
      <c r="AC46" s="318">
        <f t="shared" si="30"/>
        <v>0</v>
      </c>
      <c r="AD46" s="823">
        <f t="shared" si="30"/>
        <v>0</v>
      </c>
      <c r="AE46" s="1185">
        <f>D46</f>
        <v>0</v>
      </c>
      <c r="AF46" s="2998">
        <f>AF$19</f>
        <v>24</v>
      </c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X46" s="1601"/>
      <c r="AY46" s="1601"/>
      <c r="BC46" s="1602"/>
      <c r="BF46" s="1592"/>
      <c r="BG46" s="1601"/>
      <c r="BH46" s="1601"/>
      <c r="BI46" s="1601"/>
      <c r="BJ46" s="1601"/>
      <c r="BK46" s="1601"/>
      <c r="BL46" s="1601"/>
      <c r="BM46" s="1601"/>
      <c r="BN46" s="1601"/>
      <c r="BO46" s="1601"/>
      <c r="BP46" s="885">
        <f>IF(A46&gt;0,1,0)</f>
        <v>0</v>
      </c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1691">
        <f t="shared" si="29"/>
        <v>0</v>
      </c>
      <c r="CH46" s="1590" t="str">
        <f t="shared" si="29"/>
        <v>Xeon E5-2637v4 4 core (1 chip) 3500 MHz</v>
      </c>
      <c r="CI46" s="1180">
        <f>F46</f>
        <v>60</v>
      </c>
      <c r="CJ46" s="1180">
        <f>G46</f>
        <v>240</v>
      </c>
      <c r="CK46" s="2723"/>
      <c r="CL46" s="1592"/>
      <c r="CM46" s="1594"/>
      <c r="CN46" s="1592"/>
      <c r="CQ46" s="1592"/>
      <c r="CR46" s="1594"/>
      <c r="CU46" s="1592"/>
      <c r="DA46" s="1592"/>
      <c r="DB46" s="1594"/>
      <c r="DE46" s="1592"/>
      <c r="DF46" s="1594"/>
      <c r="DI46" s="1592"/>
      <c r="DJ46" s="1602"/>
      <c r="DK46" s="1602"/>
      <c r="DL46" s="1592"/>
      <c r="DM46" s="1602"/>
      <c r="DN46" s="1594"/>
      <c r="DO46" s="1594"/>
      <c r="DP46" s="394"/>
      <c r="DQ46" s="1602"/>
      <c r="DR46" s="1594"/>
      <c r="DS46" s="1594"/>
      <c r="DT46" s="1415"/>
      <c r="DW46" s="1602"/>
      <c r="DX46" s="1594"/>
      <c r="DY46" s="1415"/>
      <c r="EC46" s="1602"/>
      <c r="ED46" s="1415"/>
      <c r="EH46" s="1594"/>
      <c r="EI46" s="1602"/>
      <c r="EJ46" s="1415"/>
      <c r="EN46" s="1594"/>
      <c r="EO46" s="1602"/>
      <c r="EP46" s="1415"/>
      <c r="ET46" s="1594"/>
      <c r="EU46" s="1602"/>
      <c r="EV46" s="1415"/>
      <c r="EZ46" s="1594"/>
      <c r="FA46" s="1602"/>
      <c r="FB46" s="1415"/>
      <c r="FF46" s="1594"/>
      <c r="FG46" s="1602"/>
      <c r="FH46" s="1415"/>
      <c r="FL46" s="1594"/>
      <c r="FM46" s="1602"/>
      <c r="FN46" s="1415"/>
      <c r="FR46" s="1594"/>
      <c r="FS46" s="1602"/>
      <c r="FT46" s="1415"/>
      <c r="FX46" s="1594"/>
      <c r="FY46" s="1602"/>
      <c r="FZ46" s="1415"/>
      <c r="GD46" s="1594"/>
      <c r="GE46" s="1602"/>
      <c r="GG46" s="1415"/>
      <c r="GJ46" s="1594"/>
      <c r="GK46" s="1602"/>
      <c r="GM46" s="1415"/>
      <c r="GO46" s="1415"/>
      <c r="GP46" s="1594"/>
      <c r="GQ46" s="1602"/>
      <c r="GS46" s="1415"/>
      <c r="GT46" s="1415"/>
    </row>
    <row r="47" spans="1:209" ht="14" hidden="1" outlineLevel="2" thickBot="1" x14ac:dyDescent="0.2">
      <c r="A47" s="2825">
        <f>IF(E45=0,0,EX$18)</f>
        <v>0</v>
      </c>
      <c r="B47" s="3080" t="str">
        <f>"Install ("&amp;C48&amp;M45&amp;N45&amp;O45&amp;M46&amp;N46&amp;M47&amp;N47&amp;")"</f>
        <v>Install (Physical)</v>
      </c>
      <c r="C47" s="258">
        <f>IF(E45=0,0, IF(I47=Calculator!$H$160,1,E47/O47)*H45)</f>
        <v>0</v>
      </c>
      <c r="D47" s="140">
        <f>IF(J47=$H$188,J48,0)+IF(E45=0,0,J45*E45)*($BO$2/F46)</f>
        <v>0</v>
      </c>
      <c r="E47" s="141">
        <f>IF(E45=0,0,L46*60/D47)</f>
        <v>0</v>
      </c>
      <c r="F47" s="142">
        <f>IF(L47=0,0,IF(H47,H47,IF(I47=Calculator!$H$160,A45,IF(N47="/DBMS",1,IF(H48=$I$187,IF(N46="",IF(L47=1,2,L47),L47+1),L47)))))</f>
        <v>0</v>
      </c>
      <c r="G47" s="158">
        <f>IF(E45=0,0,IF(F47&gt;0,+E47*F47,"Nodes?"))</f>
        <v>0</v>
      </c>
      <c r="H47" s="143"/>
      <c r="I47" s="1248" t="s">
        <v>408</v>
      </c>
      <c r="J47" s="3227" t="str">
        <f>J43</f>
        <v xml:space="preserve">Siloed </v>
      </c>
      <c r="K47" s="1604">
        <f>IF(AND(N47="",N46=""),2,4)</f>
        <v>2</v>
      </c>
      <c r="L47" s="1605">
        <f>IF(H47,H47,IF(E45=0,0,IF(A47&gt;0,+INT(A47/(E47*H45))+1,0)))</f>
        <v>0</v>
      </c>
      <c r="M47" s="469" t="str">
        <f>IF(ISERROR(VLOOKUP($K46,$O$5:$O$15,1,FALSE)),IF(ISERROR(VLOOKUP($K46,$O$5:$O$15,1,FALSE)),"","/"&amp;$O$4),"/"&amp;$O$4)</f>
        <v/>
      </c>
      <c r="N47" s="470" t="str">
        <f>IF(ISERROR(VLOOKUP($K46,$Q$5:$Q$15,1,FALSE)),IF(ISERROR(VLOOKUP($K46,$Q$5:$Q$15,1,FALSE)),"","/"&amp;$Q$4),"/"&amp;$Q$4)</f>
        <v/>
      </c>
      <c r="O47" s="471">
        <f>IF($EW$18&gt;0,$EX$18/$EW$18,0)</f>
        <v>0</v>
      </c>
      <c r="P47" s="886"/>
      <c r="Q47" s="1714">
        <f>D46/VLOOKUP(B46,HWRange,3,FALSE)</f>
        <v>0</v>
      </c>
      <c r="R47" s="1877">
        <f>P171</f>
        <v>0</v>
      </c>
      <c r="S47" s="1982">
        <f>IF(E45=0,0,H45*A45/A46)</f>
        <v>0</v>
      </c>
      <c r="T47" s="135">
        <v>10000</v>
      </c>
      <c r="U47" s="1608">
        <f>IF(E45=0,0,IF(U48=$I$188,U45,ET$18/F47))</f>
        <v>0</v>
      </c>
      <c r="V47" s="1826">
        <f>IF(G47&gt;0,1,0)</f>
        <v>0</v>
      </c>
      <c r="W47" s="1827">
        <f t="shared" ref="W47:AC47" si="31">IF(V47&gt;0,IF($F47&gt;V47,V47+1,0),0)</f>
        <v>0</v>
      </c>
      <c r="X47" s="1827">
        <f t="shared" si="31"/>
        <v>0</v>
      </c>
      <c r="Y47" s="1827">
        <f t="shared" si="31"/>
        <v>0</v>
      </c>
      <c r="Z47" s="1827">
        <f t="shared" si="31"/>
        <v>0</v>
      </c>
      <c r="AA47" s="1827">
        <f t="shared" si="31"/>
        <v>0</v>
      </c>
      <c r="AB47" s="1827">
        <f t="shared" si="31"/>
        <v>0</v>
      </c>
      <c r="AC47" s="1827">
        <f t="shared" si="31"/>
        <v>0</v>
      </c>
      <c r="AD47" s="1828">
        <f>IF(AC47&gt;0,IF($F47&gt;AC47,"…"&amp;$F47,0),0)</f>
        <v>0</v>
      </c>
      <c r="AE47" s="1829">
        <f>A46</f>
        <v>0</v>
      </c>
      <c r="AF47" s="2978">
        <f>IF(AF46="","",IF(H47=0,0,H47/AF46+IF(H48=$I$187,1,0)))</f>
        <v>0</v>
      </c>
      <c r="AG47" s="1591"/>
      <c r="AH47" s="1591"/>
      <c r="AI47" s="1591"/>
      <c r="AJ47" s="1591"/>
      <c r="AK47" s="1591"/>
      <c r="AL47" s="1591"/>
      <c r="AM47" s="1591"/>
      <c r="AN47" s="1591"/>
      <c r="AO47" s="1591"/>
      <c r="AP47" s="1591"/>
      <c r="AQ47" s="1591"/>
      <c r="AR47" s="1591"/>
      <c r="AS47" s="1591"/>
      <c r="AT47" s="1591"/>
      <c r="AU47" s="1591"/>
      <c r="AV47" s="1591"/>
      <c r="BC47" s="1602"/>
      <c r="BF47" s="1592"/>
      <c r="BG47" s="1601"/>
      <c r="BH47" s="1601"/>
      <c r="BI47" s="1601"/>
      <c r="BJ47" s="1601"/>
      <c r="BK47" s="1601"/>
      <c r="BL47" s="1601"/>
      <c r="BM47" s="1601"/>
      <c r="BN47" s="1601"/>
      <c r="BO47" s="1601"/>
      <c r="BP47" s="1606"/>
      <c r="BQ47" s="890"/>
      <c r="BR47" s="890"/>
      <c r="BS47" s="890"/>
      <c r="BT47" s="890"/>
      <c r="BU47" s="890"/>
      <c r="BV47" s="890"/>
      <c r="BW47" s="890"/>
      <c r="BX47" s="890"/>
      <c r="BY47" s="890"/>
      <c r="BZ47" s="890"/>
      <c r="CA47" s="890"/>
      <c r="CB47" s="890"/>
      <c r="CC47" s="890"/>
      <c r="CD47" s="890"/>
      <c r="CE47" s="890"/>
      <c r="CF47" s="1606"/>
      <c r="CG47" s="1692">
        <f t="shared" si="29"/>
        <v>0</v>
      </c>
      <c r="CH47" s="1693" t="str">
        <f t="shared" si="29"/>
        <v>Install (Physical)</v>
      </c>
      <c r="CI47" s="1181">
        <f>F47</f>
        <v>0</v>
      </c>
      <c r="CJ47" s="2719">
        <f>D46</f>
        <v>0</v>
      </c>
      <c r="CK47" s="2724">
        <f>T47</f>
        <v>10000</v>
      </c>
      <c r="CL47" s="1592"/>
      <c r="CM47" s="1594"/>
      <c r="CN47" s="1592"/>
      <c r="CQ47" s="1592"/>
      <c r="CR47" s="1594"/>
      <c r="CU47" s="1592"/>
      <c r="DA47" s="1592"/>
      <c r="DB47" s="1594"/>
      <c r="DE47" s="1592"/>
      <c r="DF47" s="1594"/>
      <c r="DI47" s="1592"/>
      <c r="DJ47" s="1602"/>
      <c r="DK47" s="1602"/>
      <c r="DL47" s="1592"/>
      <c r="DM47" s="1602"/>
      <c r="DN47" s="1594"/>
      <c r="DO47" s="1594"/>
      <c r="DP47" s="394"/>
      <c r="DQ47" s="1602"/>
      <c r="DR47" s="1597"/>
      <c r="DS47" s="1597"/>
      <c r="DT47" s="1415"/>
      <c r="DW47" s="1602"/>
      <c r="DX47" s="1597"/>
      <c r="DY47" s="1415"/>
      <c r="EC47" s="1602"/>
      <c r="ED47" s="1415"/>
      <c r="EH47" s="1597"/>
      <c r="EI47" s="1602"/>
      <c r="EJ47" s="1415"/>
      <c r="EN47" s="1597"/>
      <c r="EO47" s="1602"/>
      <c r="EP47" s="1415"/>
      <c r="ET47" s="1597"/>
      <c r="EU47" s="1602"/>
      <c r="EV47" s="1415"/>
      <c r="EZ47" s="1597"/>
      <c r="FA47" s="1602"/>
      <c r="FB47" s="1415"/>
      <c r="FF47" s="1597"/>
      <c r="FG47" s="1602"/>
      <c r="FH47" s="1415"/>
      <c r="FL47" s="1597"/>
      <c r="FM47" s="1602"/>
      <c r="FN47" s="1415"/>
      <c r="FR47" s="1597"/>
      <c r="FS47" s="1602"/>
      <c r="FT47" s="1415"/>
      <c r="FX47" s="1597"/>
      <c r="FY47" s="1602"/>
      <c r="FZ47" s="1415"/>
      <c r="GD47" s="1597"/>
      <c r="GE47" s="1602"/>
      <c r="GG47" s="1415"/>
      <c r="GJ47" s="1597"/>
      <c r="GK47" s="1602"/>
      <c r="GM47" s="1415"/>
      <c r="GO47" s="1415"/>
      <c r="GP47" s="1597"/>
      <c r="GQ47" s="1602"/>
      <c r="GS47" s="1415"/>
      <c r="GT47" s="1415"/>
    </row>
    <row r="48" spans="1:209" ht="15" hidden="1" outlineLevel="1" collapsed="1" x14ac:dyDescent="0.15">
      <c r="A48" s="916">
        <f>IF(A47=0,0,ROUND(100*A46,0)&amp;"% CPU")</f>
        <v>0</v>
      </c>
      <c r="B48" s="917">
        <f>IF(A47&gt;0,IF(I47=$J$163,K46&amp;": "&amp;F47&amp;"x "&amp;B46&amp;" "&amp;C46&amp;" GB RAM",$K46&amp;": "&amp;$F47&amp;"x VM ("&amp;I46&amp;" core "&amp;C46&amp;" GB RAM) "&amp;Q46&amp;" "&amp;L45&amp;" MHz"),0)</f>
        <v>0</v>
      </c>
      <c r="C48" s="1609" t="str">
        <f>IF(I47=$H$185,I47,I45)</f>
        <v>Physical</v>
      </c>
      <c r="D48" s="918">
        <f>A45</f>
        <v>0</v>
      </c>
      <c r="E48" s="919">
        <f>IF(E47&gt;0,ROUND(E47*60/1000,0)&amp;"K TPH",0)</f>
        <v>0</v>
      </c>
      <c r="F48" s="920">
        <f>+L47</f>
        <v>0</v>
      </c>
      <c r="G48" s="919">
        <f>IF(G47&gt;0,ROUND(G47*60/1000,0)&amp;"K TPH",0)</f>
        <v>0</v>
      </c>
      <c r="H48" s="921" t="str">
        <f>H$19</f>
        <v>Minimum</v>
      </c>
      <c r="I48" s="1736">
        <f>IF(I47=$J$163,0,I45)</f>
        <v>0</v>
      </c>
      <c r="J48" s="2086">
        <f>IF(AND(O45="/"&amp;$N$4,J47=$H$188),IF(F47&gt;0,(F47-1)*A47/(60*$H$190),0),0)</f>
        <v>0</v>
      </c>
      <c r="K48" s="2086">
        <f>IF(E45&gt;0,D47/E45,0)</f>
        <v>0</v>
      </c>
      <c r="L48" s="2080">
        <f>IF($W46=$W$163,2,F47)</f>
        <v>0</v>
      </c>
      <c r="M48" s="3134">
        <f>IF(AND(S48&gt;0,I47=$H$185),1,0)</f>
        <v>0</v>
      </c>
      <c r="N48" s="1618"/>
      <c r="O48" s="1618"/>
      <c r="P48" s="922"/>
      <c r="Q48" s="1737">
        <f>IF($A50&lt;0.9999, $A50/((1+$CJ$2*$A50*($L50-1))*(1-$A50)),200)</f>
        <v>0</v>
      </c>
      <c r="R48" s="1618"/>
      <c r="S48" s="3118">
        <f>IF(LEFT(B46,3)=S46,VLOOKUP(B46,HWRange,10,FALSE),0)</f>
        <v>0</v>
      </c>
      <c r="T48" s="940" t="str">
        <f>U48</f>
        <v>Client</v>
      </c>
      <c r="U48" s="1595" t="s">
        <v>303</v>
      </c>
      <c r="V48" s="1918">
        <f>IF(A46&gt;0,B48&amp;" "&amp;C48&amp;IF(B48="",""," GB RAM"),0)</f>
        <v>0</v>
      </c>
      <c r="W48" s="1819"/>
      <c r="X48" s="1819"/>
      <c r="Y48" s="1819"/>
      <c r="Z48" s="1819"/>
      <c r="AA48" s="1819"/>
      <c r="AB48" s="1819"/>
      <c r="AC48" s="1819"/>
      <c r="AD48" s="1819"/>
      <c r="AE48" s="1919">
        <f>IF(A46&gt;0,F46,0)</f>
        <v>0</v>
      </c>
      <c r="AF48" s="2876">
        <f>IF(A45=0,0,IF(LEFT(B46,3)=S46,VLOOKUP(B46,HWRange,12,FALSE),0)*F47)</f>
        <v>0</v>
      </c>
      <c r="AG48" s="2877" t="str">
        <f>IF(AF48&gt;0,S46&amp;" 3-yr Pricing","")</f>
        <v/>
      </c>
      <c r="AH48" s="2878"/>
      <c r="AI48" s="1591"/>
      <c r="AJ48" s="1591"/>
      <c r="AK48" s="1591"/>
      <c r="AL48" s="1591"/>
      <c r="AM48" s="1591"/>
      <c r="AN48" s="1591"/>
      <c r="AO48" s="1591"/>
      <c r="AP48" s="1591"/>
      <c r="AQ48" s="1591"/>
      <c r="AR48" s="1591"/>
      <c r="AS48" s="1591"/>
      <c r="AT48" s="1591"/>
      <c r="AU48" s="1591"/>
      <c r="AV48" s="1591"/>
      <c r="AX48" s="1601"/>
      <c r="AY48" s="1601"/>
      <c r="BB48" s="1415">
        <f>BC47</f>
        <v>0</v>
      </c>
      <c r="BC48" s="1614"/>
      <c r="BF48" s="1592"/>
      <c r="BG48" s="1893"/>
      <c r="BH48" s="1601"/>
      <c r="BI48" s="1601"/>
      <c r="BJ48" s="1601"/>
      <c r="BK48" s="1601"/>
      <c r="BL48" s="1601"/>
      <c r="BM48" s="1601"/>
      <c r="BN48" s="1601"/>
      <c r="BO48" s="1601"/>
      <c r="BP48" s="1619"/>
      <c r="BQ48" s="923"/>
      <c r="BR48" s="923"/>
      <c r="BS48" s="923"/>
      <c r="BT48" s="923"/>
      <c r="BU48" s="923"/>
      <c r="BV48" s="923"/>
      <c r="BW48" s="923"/>
      <c r="BX48" s="923"/>
      <c r="BY48" s="923"/>
      <c r="BZ48" s="923"/>
      <c r="CA48" s="923"/>
      <c r="CB48" s="923"/>
      <c r="CC48" s="923"/>
      <c r="CD48" s="923"/>
      <c r="CE48" s="923"/>
      <c r="CF48" s="1619"/>
      <c r="CG48" s="3403">
        <f>B48</f>
        <v>0</v>
      </c>
      <c r="CH48" s="3404"/>
      <c r="CI48" s="3404"/>
      <c r="CJ48" s="3404"/>
      <c r="CK48" s="2723"/>
      <c r="CL48" s="1592"/>
      <c r="CM48" s="1594"/>
      <c r="CN48" s="1592"/>
      <c r="CQ48" s="1592"/>
      <c r="CR48" s="1594"/>
      <c r="CU48" s="1592"/>
      <c r="DA48" s="1592"/>
      <c r="DB48" s="1594"/>
      <c r="DE48" s="1592"/>
      <c r="DF48" s="1594"/>
      <c r="DI48" s="1592"/>
      <c r="DJ48" s="1614"/>
      <c r="DK48" s="1614"/>
      <c r="DL48" s="1592"/>
      <c r="DM48" s="1614"/>
      <c r="DN48" s="1594"/>
      <c r="DO48" s="1594"/>
      <c r="DP48" s="394"/>
      <c r="DQ48" s="1614"/>
      <c r="DR48" s="1597"/>
      <c r="DS48" s="1597"/>
      <c r="DT48" s="1415"/>
      <c r="DW48" s="1614"/>
      <c r="DX48" s="1597"/>
      <c r="DY48" s="1415"/>
      <c r="EC48" s="1614"/>
      <c r="ED48" s="1415"/>
      <c r="EH48" s="1597"/>
      <c r="EI48" s="1614"/>
      <c r="EJ48" s="1415"/>
      <c r="EN48" s="1597"/>
      <c r="EO48" s="1614"/>
      <c r="EP48" s="1415"/>
      <c r="ET48" s="1597"/>
      <c r="EU48" s="1614"/>
      <c r="EV48" s="1415"/>
      <c r="EZ48" s="1597"/>
      <c r="FA48" s="1614"/>
      <c r="FB48" s="1415"/>
      <c r="FF48" s="1597"/>
      <c r="FG48" s="1614"/>
      <c r="FH48" s="1415"/>
      <c r="FL48" s="1597"/>
      <c r="FM48" s="1614"/>
      <c r="FN48" s="1415"/>
      <c r="FR48" s="1597"/>
      <c r="FS48" s="1614"/>
      <c r="FT48" s="1415"/>
      <c r="FX48" s="1597"/>
      <c r="FY48" s="1614"/>
      <c r="FZ48" s="1415"/>
      <c r="GD48" s="1597"/>
      <c r="GE48" s="1614"/>
      <c r="GG48" s="1415"/>
      <c r="GJ48" s="1597"/>
      <c r="GK48" s="1614"/>
      <c r="GM48" s="1415"/>
      <c r="GO48" s="1415"/>
      <c r="GP48" s="1597"/>
      <c r="GQ48" s="1614"/>
      <c r="GS48" s="1415"/>
      <c r="GT48" s="1415"/>
      <c r="HA48" s="390"/>
    </row>
    <row r="49" spans="1:209" ht="17" hidden="1" outlineLevel="2" thickBot="1" x14ac:dyDescent="0.25">
      <c r="A49" s="2823">
        <f>IF(O51&gt;0,A51/O51,0)</f>
        <v>0</v>
      </c>
      <c r="B49" s="552" t="s">
        <v>1462</v>
      </c>
      <c r="C49" s="136" t="str">
        <f>VLOOKUP(B50,Hardware!$A$2:$I$632,9,FALSE)</f>
        <v>Intel</v>
      </c>
      <c r="D49" s="137" t="str">
        <f>D45</f>
        <v>Arc18=</v>
      </c>
      <c r="E49" s="138">
        <f>IF(FC$18=0,0,IF(FG$18&gt;0,FG$18/FD$18))</f>
        <v>0</v>
      </c>
      <c r="F49" s="139" t="s">
        <v>328</v>
      </c>
      <c r="G49" s="1585"/>
      <c r="H49" s="1586">
        <v>0.8</v>
      </c>
      <c r="I49" s="1739" t="str">
        <f>I45</f>
        <v>Host01</v>
      </c>
      <c r="J49" s="207">
        <f>IF(K49&gt;0,K49,IF(I51=Calculator!$H$158,1, IF(OR(R49=Calculator!$H$162,R49=Calculator!$H$163), VLOOKUP(I51,VAdjust,2,FALSE),1)))</f>
        <v>1</v>
      </c>
      <c r="K49" s="2456"/>
      <c r="L49" s="722">
        <f>VLOOKUP(B50,HWRange,5,FALSE)</f>
        <v>3500</v>
      </c>
      <c r="M49" s="464" t="str">
        <f>IF(ISERROR(VLOOKUP($K50,$L$5:$L$15,1,FALSE)),"","/"&amp;$L$4)</f>
        <v/>
      </c>
      <c r="N49" s="257" t="str">
        <f>IF(ISERROR(VLOOKUP($K50,$M$5:$M$15,1,FALSE)),IF(ISERROR(VLOOKUP($K50,$M$5:$M$15,1,FALSE)),"","/"&amp;$M$4),"/"&amp;$M$4)</f>
        <v/>
      </c>
      <c r="O49" s="465" t="str">
        <f>IF(ISERROR(VLOOKUP($K50,$N$5:$N$15,1,FALSE)),IF(ISERROR(VLOOKUP($K50,$N$5:$N$15,1,FALSE)),"","/"&amp;$N$4),"/"&amp;$N$4)</f>
        <v/>
      </c>
      <c r="P49" s="1587">
        <f>IF(A50=0,0,IF(P51&gt;0,1000*C50/C51,1000*C50/C51))/2</f>
        <v>0</v>
      </c>
      <c r="Q49" s="1734">
        <f>IF(I51=$J$163,0,VLOOKUP(I49,HostArray,2,FALSE))</f>
        <v>0</v>
      </c>
      <c r="R49" s="1588" t="s">
        <v>412</v>
      </c>
      <c r="S49" s="3071" t="str">
        <f>IF(S50=LEFT(B50,3),_xlfn.NUMBERVALUE(MID(B50,FIND("(",B50,1)+1,FIND(")",B50,1)-FIND("(",B50,1)-3)),"")</f>
        <v/>
      </c>
      <c r="T49" s="135">
        <v>10000</v>
      </c>
      <c r="U49" s="1616">
        <f>IF(E49&gt;0,IF(AND(M51="",N51=""),ES$18/F51,ET$18/F51),0)</f>
        <v>0</v>
      </c>
      <c r="V49" s="1822">
        <f>IF(V51&gt;0,IF($A50&gt;0.5,$A50,""),0)</f>
        <v>0</v>
      </c>
      <c r="W49" s="1823">
        <f>IF(AND($W50=W$163,$H52=I$187),W$164,IF(W51&gt;0,IF($A50&gt;0.5,$A50,""),0))</f>
        <v>0</v>
      </c>
      <c r="X49" s="1823">
        <f t="shared" ref="X49:AD49" si="32">IF(X51&gt;0,IF($A50&gt;0.5,$A50,""),0)</f>
        <v>0</v>
      </c>
      <c r="Y49" s="1823">
        <f t="shared" si="32"/>
        <v>0</v>
      </c>
      <c r="Z49" s="1823">
        <f t="shared" si="32"/>
        <v>0</v>
      </c>
      <c r="AA49" s="1823">
        <f t="shared" si="32"/>
        <v>0</v>
      </c>
      <c r="AB49" s="1823">
        <f t="shared" si="32"/>
        <v>0</v>
      </c>
      <c r="AC49" s="1823">
        <f t="shared" si="32"/>
        <v>0</v>
      </c>
      <c r="AD49" s="1824">
        <f t="shared" si="32"/>
        <v>0</v>
      </c>
      <c r="AE49" s="1825">
        <f>L52</f>
        <v>0</v>
      </c>
      <c r="AF49" s="2977" t="str">
        <f>IF(I51=$H$187,$AF$18,"")</f>
        <v/>
      </c>
      <c r="AG49" s="1600"/>
      <c r="AH49" s="1600"/>
      <c r="AI49" s="1600"/>
      <c r="AJ49" s="1600"/>
      <c r="AK49" s="1600"/>
      <c r="AL49" s="1600"/>
      <c r="AM49" s="1600"/>
      <c r="AN49" s="1600"/>
      <c r="AO49" s="1600"/>
      <c r="AP49" s="1600"/>
      <c r="AQ49" s="1600"/>
      <c r="AR49" s="1600"/>
      <c r="AS49" s="1600"/>
      <c r="AT49" s="1600"/>
      <c r="AU49" s="1600"/>
      <c r="AV49" s="1600"/>
      <c r="AX49" s="2"/>
      <c r="AY49" s="2"/>
      <c r="BC49" s="1"/>
      <c r="BF49" s="1592"/>
      <c r="BG49" s="1593"/>
      <c r="BH49" s="1593"/>
      <c r="BI49" s="1593"/>
      <c r="BJ49" s="1593"/>
      <c r="BK49" s="1593"/>
      <c r="BL49" s="1593"/>
      <c r="BM49" s="1593"/>
      <c r="BN49" s="1593"/>
      <c r="BO49" s="1593"/>
      <c r="BP49" s="889"/>
      <c r="BQ49" s="889"/>
      <c r="BR49" s="889"/>
      <c r="BS49" s="889"/>
      <c r="BT49" s="889"/>
      <c r="BU49" s="889"/>
      <c r="BV49" s="1615"/>
      <c r="BW49" s="1615"/>
      <c r="BX49" s="1615"/>
      <c r="BY49" s="1615"/>
      <c r="BZ49" s="1615"/>
      <c r="CA49" s="1615"/>
      <c r="CB49" s="1615"/>
      <c r="CC49" s="1615"/>
      <c r="CD49" s="1615"/>
      <c r="CE49" s="1615"/>
      <c r="CF49" s="1615"/>
      <c r="CG49" s="1689">
        <f t="shared" ref="CG49:CH51" si="33">A49</f>
        <v>0</v>
      </c>
      <c r="CH49" s="1690" t="str">
        <f t="shared" si="33"/>
        <v>Tier08: Platform Tier 08</v>
      </c>
      <c r="CI49" s="1179" t="str">
        <f>F49</f>
        <v>SRint2006</v>
      </c>
      <c r="CJ49" s="2718"/>
      <c r="CK49" s="2724">
        <f>T49</f>
        <v>10000</v>
      </c>
      <c r="CL49" s="1592"/>
      <c r="CM49" s="1594"/>
      <c r="CN49" s="1592"/>
      <c r="CQ49" s="1592"/>
      <c r="CR49" s="1594"/>
      <c r="CU49" s="1592"/>
      <c r="DA49" s="1592"/>
      <c r="DB49" s="1594"/>
      <c r="DE49" s="1592"/>
      <c r="DF49" s="1594"/>
      <c r="DI49" s="1592"/>
      <c r="DJ49" s="1"/>
      <c r="DK49" s="1"/>
      <c r="DL49" s="1592"/>
      <c r="DM49" s="1"/>
      <c r="DN49" s="1594"/>
      <c r="DO49" s="1595"/>
      <c r="DP49" s="394"/>
      <c r="DQ49" s="1"/>
      <c r="DR49" s="1593"/>
      <c r="DS49" s="1593"/>
      <c r="DT49" s="1415"/>
      <c r="DW49" s="1"/>
      <c r="DX49" s="1593"/>
      <c r="DY49" s="1415"/>
      <c r="EC49" s="1"/>
      <c r="ED49" s="1415"/>
      <c r="EH49" s="1593"/>
      <c r="EI49" s="1"/>
      <c r="EJ49" s="1415"/>
      <c r="EN49" s="1593"/>
      <c r="EO49" s="1"/>
      <c r="EP49" s="1415"/>
      <c r="ET49" s="1593"/>
      <c r="EU49" s="1"/>
      <c r="EV49" s="1415"/>
      <c r="EZ49" s="1593"/>
      <c r="FA49" s="1"/>
      <c r="FB49" s="1415"/>
      <c r="FF49" s="1593"/>
      <c r="FG49" s="1"/>
      <c r="FH49" s="1415"/>
      <c r="FL49" s="1593"/>
      <c r="FM49" s="1"/>
      <c r="FN49" s="1415"/>
      <c r="FR49" s="1593"/>
      <c r="FS49" s="1"/>
      <c r="FT49" s="1415"/>
      <c r="FX49" s="1593"/>
      <c r="FY49" s="1"/>
      <c r="FZ49" s="1415"/>
      <c r="GD49" s="1593"/>
      <c r="GE49" s="1"/>
      <c r="GG49" s="1415"/>
      <c r="GJ49" s="1593"/>
      <c r="GK49" s="1"/>
      <c r="GM49" s="1415"/>
      <c r="GO49" s="1415"/>
      <c r="GP49" s="1593"/>
      <c r="GQ49" s="1"/>
      <c r="GS49" s="1415"/>
      <c r="GT49" s="1415"/>
    </row>
    <row r="50" spans="1:209" ht="15" hidden="1" outlineLevel="2" x14ac:dyDescent="0.2">
      <c r="A50" s="2824">
        <f>IF(E49=0,0,A51/G51)</f>
        <v>0</v>
      </c>
      <c r="B50" s="156" t="str">
        <f>B46</f>
        <v>Xeon E5-2637v4 4 core (1 chip) 3500 MHz</v>
      </c>
      <c r="C50" s="206">
        <f>ROUND(IF(P51&gt;0,2*P51*C51/1000, IF(L51=0,0, IF(I51=Calculator!$H$160, Calculator!$J$160*(1+L50), IF(K51=4, 4*H49*G50/13.4,L50*Calculator!$J$151)))),0)</f>
        <v>0</v>
      </c>
      <c r="D50" s="205">
        <f>F51*L50</f>
        <v>0</v>
      </c>
      <c r="E50" s="70" t="str">
        <f>IF(I51=J173,F51*VLOOKUP(B50,HWRange,8,FALSE),"Virtual Server")</f>
        <v>Virtual Server</v>
      </c>
      <c r="F50" s="71">
        <f>IF(I51=$J$163,VLOOKUP(B50,HWRange,7,FALSE),IF(I50&gt;VLOOKUP(B50,HWRange,3,FALSE),VLOOKUP(B50,HWRange,7,FALSE)*VLOOKUP(B50,HWRange,3,FALSE)/I50,VLOOKUP(B50,HWRange,7,FALSE)))</f>
        <v>60</v>
      </c>
      <c r="G50" s="157">
        <f>IF(I51=$J$163,VLOOKUP(B50,HWRange,6,FALSE),VLOOKUP(B50,HWRange,6,FALSE)*I50/VLOOKUP(B50,HWRange,3,FALSE))</f>
        <v>240</v>
      </c>
      <c r="H50" s="161" t="s">
        <v>365</v>
      </c>
      <c r="I50" s="1247">
        <v>2</v>
      </c>
      <c r="J50" s="1881"/>
      <c r="K50" s="756" t="str">
        <f>A172</f>
        <v>Tier08</v>
      </c>
      <c r="L50" s="491">
        <f>IF(I51=$J$163,VLOOKUP(B50,HWRange,3,FALSE),I50)</f>
        <v>4</v>
      </c>
      <c r="M50" s="466" t="str">
        <f>IF(ISERROR(VLOOKUP($K50,$J$5:$J$15,1,FALSE)),IF(ISERROR(VLOOKUP($K50,$J$5:$J$15,1,FALSE)),"","/"&amp;$J$4),"/"&amp;$J$4)</f>
        <v/>
      </c>
      <c r="N50" s="467" t="str">
        <f>IF(ISERROR(VLOOKUP($K50,$K$5:$K$15,1,FALSE)),"","/"&amp;$K$4)</f>
        <v/>
      </c>
      <c r="O50" s="468">
        <f>IF(AND(O49="",M51=""),0,D50)</f>
        <v>0</v>
      </c>
      <c r="P50" s="1596" t="str">
        <f>IF(NOT(M50=""),Calculator!$A$158,IF(NOT(N50=""),Calculator!$B$158,IF(NOT(O49=""), Calculator!$C$158,Calculator!$G$158)))</f>
        <v>WindowsLinuxSolarisAIXHPUX</v>
      </c>
      <c r="Q50" s="1246" t="str">
        <f>VLOOKUP(B50,HWRange,2,FALSE)</f>
        <v>Xeon E5-2637v4</v>
      </c>
      <c r="R50" s="1187">
        <f>F51*VLOOKUP(B50,HWRange,8,FALSE)</f>
        <v>0</v>
      </c>
      <c r="S50" s="3070">
        <f>IF(OR(LEFT(B50,3)="AMI",LEFT(B50,3)="AZI"),LEFT(B50,3),0)</f>
        <v>0</v>
      </c>
      <c r="T50" s="1623" t="s">
        <v>366</v>
      </c>
      <c r="U50" s="1599" t="s">
        <v>307</v>
      </c>
      <c r="V50" s="822">
        <f t="shared" ref="V50:AD50" si="34">IF(V51=0,0,IF($A50&lt;0.5,$A50,"+"))</f>
        <v>0</v>
      </c>
      <c r="W50" s="2063">
        <f>IF(AND($N51="/"&amp;$Q$4,$H52=I$187,$H51=0),W$163,IF(W51=0,0,IF($A50&lt;0.5,$A50,"+")))</f>
        <v>0</v>
      </c>
      <c r="X50" s="318">
        <f t="shared" si="34"/>
        <v>0</v>
      </c>
      <c r="Y50" s="318">
        <f t="shared" si="34"/>
        <v>0</v>
      </c>
      <c r="Z50" s="318">
        <f t="shared" si="34"/>
        <v>0</v>
      </c>
      <c r="AA50" s="318">
        <f t="shared" si="34"/>
        <v>0</v>
      </c>
      <c r="AB50" s="318">
        <f t="shared" si="34"/>
        <v>0</v>
      </c>
      <c r="AC50" s="318">
        <f t="shared" si="34"/>
        <v>0</v>
      </c>
      <c r="AD50" s="823">
        <f t="shared" si="34"/>
        <v>0</v>
      </c>
      <c r="AE50" s="1185">
        <f>D50</f>
        <v>0</v>
      </c>
      <c r="AF50" s="2998">
        <f>AF$19</f>
        <v>24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X50" s="1601"/>
      <c r="AY50" s="1601"/>
      <c r="BC50" s="1602"/>
      <c r="BF50" s="1592"/>
      <c r="BG50" s="1601"/>
      <c r="BH50" s="1601"/>
      <c r="BI50" s="1601"/>
      <c r="BJ50" s="1601"/>
      <c r="BK50" s="1601"/>
      <c r="BL50" s="1601"/>
      <c r="BM50" s="1601"/>
      <c r="BN50" s="1601"/>
      <c r="BO50" s="1601"/>
      <c r="BP50" s="885">
        <f>IF(A50&gt;0,1,0)</f>
        <v>0</v>
      </c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1691">
        <f t="shared" si="33"/>
        <v>0</v>
      </c>
      <c r="CH50" s="1590" t="str">
        <f t="shared" si="33"/>
        <v>Xeon E5-2637v4 4 core (1 chip) 3500 MHz</v>
      </c>
      <c r="CI50" s="1180">
        <f>F50</f>
        <v>60</v>
      </c>
      <c r="CJ50" s="1180">
        <f>G50</f>
        <v>240</v>
      </c>
      <c r="CK50" s="2723"/>
      <c r="CL50" s="1592"/>
      <c r="CM50" s="1594"/>
      <c r="CN50" s="1592"/>
      <c r="CQ50" s="1592"/>
      <c r="CR50" s="1594"/>
      <c r="CU50" s="1592"/>
      <c r="DA50" s="1592"/>
      <c r="DB50" s="1594"/>
      <c r="DE50" s="1592"/>
      <c r="DF50" s="1594"/>
      <c r="DI50" s="1592"/>
      <c r="DJ50" s="1602"/>
      <c r="DK50" s="1602"/>
      <c r="DL50" s="1592"/>
      <c r="DM50" s="1602"/>
      <c r="DN50" s="1594"/>
      <c r="DO50" s="1594"/>
      <c r="DP50" s="394"/>
      <c r="DQ50" s="1602"/>
      <c r="DR50" s="1594"/>
      <c r="DS50" s="1594"/>
      <c r="DT50" s="1415"/>
      <c r="DW50" s="1602"/>
      <c r="DX50" s="1594"/>
      <c r="DY50" s="1415"/>
      <c r="EC50" s="1602"/>
      <c r="ED50" s="1415"/>
      <c r="EH50" s="1594"/>
      <c r="EI50" s="1602"/>
      <c r="EJ50" s="1415"/>
      <c r="EN50" s="1594"/>
      <c r="EO50" s="1602"/>
      <c r="EP50" s="1415"/>
      <c r="ET50" s="1594"/>
      <c r="EU50" s="1602"/>
      <c r="EV50" s="1415"/>
      <c r="EZ50" s="1594"/>
      <c r="FA50" s="1602"/>
      <c r="FB50" s="1415"/>
      <c r="FF50" s="1594"/>
      <c r="FG50" s="1602"/>
      <c r="FH50" s="1415"/>
      <c r="FL50" s="1594"/>
      <c r="FM50" s="1602"/>
      <c r="FN50" s="1415"/>
      <c r="FR50" s="1594"/>
      <c r="FS50" s="1602"/>
      <c r="FT50" s="1415"/>
      <c r="FX50" s="1594"/>
      <c r="FY50" s="1602"/>
      <c r="FZ50" s="1415"/>
      <c r="GD50" s="1594"/>
      <c r="GE50" s="1602"/>
      <c r="GG50" s="1415"/>
      <c r="GJ50" s="1594"/>
      <c r="GK50" s="1602"/>
      <c r="GM50" s="1415"/>
      <c r="GO50" s="1415"/>
      <c r="GP50" s="1594"/>
      <c r="GQ50" s="1602"/>
      <c r="GS50" s="1415"/>
      <c r="GT50" s="1415"/>
    </row>
    <row r="51" spans="1:209" ht="14" hidden="1" outlineLevel="2" thickBot="1" x14ac:dyDescent="0.2">
      <c r="A51" s="2825">
        <f>IF(E49=0,0,FD$18)</f>
        <v>0</v>
      </c>
      <c r="B51" s="3081" t="str">
        <f>"Install ("&amp;C52&amp;M49&amp;N49&amp;O49&amp;M50&amp;N50&amp;M51&amp;N51&amp;")"</f>
        <v>Install (Physical)</v>
      </c>
      <c r="C51" s="258">
        <f>IF(E49=0,0, IF(I51=Calculator!$H$160,1,E51/O51)*H49)</f>
        <v>0</v>
      </c>
      <c r="D51" s="140">
        <f>IF(J51=$H$188,J52,0)+IF(E49=0,0,J49*E49)*($BO$2/F50)</f>
        <v>0</v>
      </c>
      <c r="E51" s="141">
        <f>IF(E49=0,0,L50*60/D51)</f>
        <v>0</v>
      </c>
      <c r="F51" s="142">
        <f>IF(L51=0,0,IF(H51,H51,IF(I51=Calculator!$H$160,A49,IF(N51="/DBMS",1,IF(H52=$I$187,IF(N50="",IF(L51=1,2,L51),L51+1),L51)))))</f>
        <v>0</v>
      </c>
      <c r="G51" s="158">
        <f>IF(E49=0,0,IF(F51&gt;0,+E51*F51,"Nodes?"))</f>
        <v>0</v>
      </c>
      <c r="H51" s="143"/>
      <c r="I51" s="1248" t="s">
        <v>408</v>
      </c>
      <c r="J51" s="3227" t="str">
        <f>J47</f>
        <v xml:space="preserve">Siloed </v>
      </c>
      <c r="K51" s="1604">
        <f>IF(AND(N51="",N50=""),2,4)</f>
        <v>2</v>
      </c>
      <c r="L51" s="1605">
        <f>IF(H51,H51,IF(E49=0,0,IF(A51&gt;0,+INT(A51/(E51*H49))+1,0)))</f>
        <v>0</v>
      </c>
      <c r="M51" s="469" t="str">
        <f>IF(ISERROR(VLOOKUP($K50,$O$5:$O$15,1,FALSE)),IF(ISERROR(VLOOKUP($K50,$O$5:$O$15,1,FALSE)),"","/"&amp;$O$4),"/"&amp;$O$4)</f>
        <v/>
      </c>
      <c r="N51" s="470" t="str">
        <f>IF(ISERROR(VLOOKUP($K50,$Q$5:$Q$15,1,FALSE)),IF(ISERROR(VLOOKUP($K50,$Q$5:$Q$15,1,FALSE)),"","/"&amp;$Q$4),"/"&amp;$Q$4)</f>
        <v/>
      </c>
      <c r="O51" s="471">
        <f>IF($FC$18&gt;0,$FD$18/$FC$18,0)</f>
        <v>0</v>
      </c>
      <c r="P51" s="886"/>
      <c r="Q51" s="1714">
        <f>D50/VLOOKUP(B50,HWRange,3,FALSE)</f>
        <v>0</v>
      </c>
      <c r="R51" s="1877">
        <f>P172</f>
        <v>0</v>
      </c>
      <c r="S51" s="1982">
        <f>IF(E49=0,0,H49*A49/A50)</f>
        <v>0</v>
      </c>
      <c r="T51" s="135">
        <v>10000</v>
      </c>
      <c r="U51" s="1608">
        <f>IF(E49=0,0,IF(U52=$I$188,U49,ET$18/F51))</f>
        <v>0</v>
      </c>
      <c r="V51" s="1826">
        <f>IF(G51&gt;0,1,0)</f>
        <v>0</v>
      </c>
      <c r="W51" s="1827">
        <f t="shared" ref="W51:AC51" si="35">IF(V51&gt;0,IF($F51&gt;V51,V51+1,0),0)</f>
        <v>0</v>
      </c>
      <c r="X51" s="1827">
        <f t="shared" si="35"/>
        <v>0</v>
      </c>
      <c r="Y51" s="1827">
        <f t="shared" si="35"/>
        <v>0</v>
      </c>
      <c r="Z51" s="1827">
        <f t="shared" si="35"/>
        <v>0</v>
      </c>
      <c r="AA51" s="1827">
        <f t="shared" si="35"/>
        <v>0</v>
      </c>
      <c r="AB51" s="1827">
        <f t="shared" si="35"/>
        <v>0</v>
      </c>
      <c r="AC51" s="1827">
        <f t="shared" si="35"/>
        <v>0</v>
      </c>
      <c r="AD51" s="1828">
        <f>IF(AC51&gt;0,IF($F51&gt;AC51,"…"&amp;$F51,0),0)</f>
        <v>0</v>
      </c>
      <c r="AE51" s="1829">
        <f>A50</f>
        <v>0</v>
      </c>
      <c r="AF51" s="2978">
        <f>IF(AF50="","",IF(H51=0,0,H51/AF50+IF(H52=$I$187,1,0)))</f>
        <v>0</v>
      </c>
      <c r="AG51" s="1591"/>
      <c r="AH51" s="1591"/>
      <c r="AI51" s="1591"/>
      <c r="AJ51" s="1591"/>
      <c r="AK51" s="1591"/>
      <c r="AL51" s="1591"/>
      <c r="AM51" s="1591"/>
      <c r="AN51" s="1591"/>
      <c r="AO51" s="1591"/>
      <c r="AP51" s="1591"/>
      <c r="AQ51" s="1591"/>
      <c r="AR51" s="1591"/>
      <c r="AS51" s="1591"/>
      <c r="AT51" s="1591"/>
      <c r="AU51" s="1591"/>
      <c r="AV51" s="1591"/>
      <c r="BC51" s="1602"/>
      <c r="BF51" s="1592"/>
      <c r="BG51" s="1601"/>
      <c r="BH51" s="1601"/>
      <c r="BI51" s="1601"/>
      <c r="BJ51" s="1601"/>
      <c r="BK51" s="1601"/>
      <c r="BL51" s="1601"/>
      <c r="BM51" s="1601"/>
      <c r="BN51" s="1601"/>
      <c r="BO51" s="1601"/>
      <c r="BP51" s="1606"/>
      <c r="BQ51" s="890"/>
      <c r="BR51" s="890"/>
      <c r="BS51" s="890"/>
      <c r="BT51" s="890"/>
      <c r="BU51" s="890"/>
      <c r="BV51" s="890"/>
      <c r="BW51" s="890"/>
      <c r="BX51" s="890"/>
      <c r="BY51" s="890"/>
      <c r="BZ51" s="890"/>
      <c r="CA51" s="890"/>
      <c r="CB51" s="890"/>
      <c r="CC51" s="890"/>
      <c r="CD51" s="890"/>
      <c r="CE51" s="890"/>
      <c r="CF51" s="1606"/>
      <c r="CG51" s="1692">
        <f t="shared" si="33"/>
        <v>0</v>
      </c>
      <c r="CH51" s="1693" t="str">
        <f t="shared" si="33"/>
        <v>Install (Physical)</v>
      </c>
      <c r="CI51" s="1181">
        <f>F51</f>
        <v>0</v>
      </c>
      <c r="CJ51" s="2719">
        <f>D50</f>
        <v>0</v>
      </c>
      <c r="CK51" s="2724">
        <f>T51</f>
        <v>10000</v>
      </c>
      <c r="CL51" s="1592"/>
      <c r="CM51" s="1594"/>
      <c r="CN51" s="1592"/>
      <c r="CQ51" s="1592"/>
      <c r="CR51" s="1594"/>
      <c r="CU51" s="1592"/>
      <c r="DA51" s="1592"/>
      <c r="DB51" s="1594"/>
      <c r="DE51" s="1592"/>
      <c r="DF51" s="1594"/>
      <c r="DI51" s="1592"/>
      <c r="DJ51" s="1602"/>
      <c r="DK51" s="1602"/>
      <c r="DL51" s="1592"/>
      <c r="DM51" s="1602"/>
      <c r="DN51" s="1594"/>
      <c r="DO51" s="1594"/>
      <c r="DP51" s="394"/>
      <c r="DQ51" s="1602"/>
      <c r="DR51" s="1597"/>
      <c r="DS51" s="1597"/>
      <c r="DT51" s="1415"/>
      <c r="DW51" s="1602"/>
      <c r="DX51" s="1597"/>
      <c r="DY51" s="1415"/>
      <c r="EC51" s="1602"/>
      <c r="ED51" s="1415"/>
      <c r="EH51" s="1597"/>
      <c r="EI51" s="1602"/>
      <c r="EJ51" s="1415"/>
      <c r="EN51" s="1597"/>
      <c r="EO51" s="1602"/>
      <c r="EP51" s="1415"/>
      <c r="ET51" s="1597"/>
      <c r="EU51" s="1602"/>
      <c r="EV51" s="1415"/>
      <c r="EZ51" s="1597"/>
      <c r="FA51" s="1602"/>
      <c r="FB51" s="1415"/>
      <c r="FF51" s="1597"/>
      <c r="FG51" s="1602"/>
      <c r="FH51" s="1415"/>
      <c r="FL51" s="1597"/>
      <c r="FM51" s="1602"/>
      <c r="FN51" s="1415"/>
      <c r="FR51" s="1597"/>
      <c r="FS51" s="1602"/>
      <c r="FT51" s="1415"/>
      <c r="FX51" s="1597"/>
      <c r="FY51" s="1602"/>
      <c r="FZ51" s="1415"/>
      <c r="GD51" s="1597"/>
      <c r="GE51" s="1602"/>
      <c r="GG51" s="1415"/>
      <c r="GJ51" s="1597"/>
      <c r="GK51" s="1602"/>
      <c r="GM51" s="1415"/>
      <c r="GO51" s="1415"/>
      <c r="GP51" s="1597"/>
      <c r="GQ51" s="1602"/>
      <c r="GS51" s="1415"/>
      <c r="GT51" s="1415"/>
    </row>
    <row r="52" spans="1:209" ht="15" hidden="1" outlineLevel="1" collapsed="1" x14ac:dyDescent="0.15">
      <c r="A52" s="916">
        <f>IF(A51=0,0,ROUND(100*A50,0)&amp;"% CPU")</f>
        <v>0</v>
      </c>
      <c r="B52" s="917">
        <f>IF(A51&gt;0,IF(I51=$J$163,K50&amp;": "&amp;F51&amp;"x "&amp;B50&amp;" "&amp;C50&amp;" GB RAM",$K50&amp;": "&amp;$F51&amp;"x VM ("&amp;I50&amp;" core "&amp;C50&amp;" GB RAM) "&amp;Q50&amp;" "&amp;L49&amp;" MHz"),0)</f>
        <v>0</v>
      </c>
      <c r="C52" s="1609" t="str">
        <f>IF(I51=$H$185,I51,I49)</f>
        <v>Physical</v>
      </c>
      <c r="D52" s="918">
        <f>A49</f>
        <v>0</v>
      </c>
      <c r="E52" s="919">
        <f>IF(E51&gt;0,ROUND(E51*60/1000,0)&amp;"K TPH",0)</f>
        <v>0</v>
      </c>
      <c r="F52" s="920">
        <f>+L51</f>
        <v>0</v>
      </c>
      <c r="G52" s="919">
        <f>IF(G51&gt;0,ROUND(G51*60/1000,0)&amp;"K TPH",0)</f>
        <v>0</v>
      </c>
      <c r="H52" s="921" t="str">
        <f>H$19</f>
        <v>Minimum</v>
      </c>
      <c r="I52" s="1736">
        <f>IF(I51=$J$163,0,I49)</f>
        <v>0</v>
      </c>
      <c r="J52" s="2086">
        <f>IF(AND(O49="/"&amp;$N$4,J51=$H$188),IF(F51&gt;0,(F51-1)*A51/(60*$H$190),0),0)</f>
        <v>0</v>
      </c>
      <c r="K52" s="2086">
        <f>IF(E49&gt;0,D51/E49,0)</f>
        <v>0</v>
      </c>
      <c r="L52" s="2080">
        <f>IF($W50=$W$163,2,F51)</f>
        <v>0</v>
      </c>
      <c r="M52" s="3134">
        <f>IF(AND(S52&gt;0,I51=$H$185),1,0)</f>
        <v>0</v>
      </c>
      <c r="N52" s="1618"/>
      <c r="O52" s="1618"/>
      <c r="P52" s="922"/>
      <c r="Q52" s="1737">
        <f>IF($A54&lt;0.9999, $A54/((1+$CJ$2*$A54*($L54-1))*(1-$A54)),200)</f>
        <v>0</v>
      </c>
      <c r="R52" s="1618"/>
      <c r="S52" s="3118">
        <f>IF(LEFT(B50,3)=S50,VLOOKUP(B50,HWRange,10,FALSE),0)</f>
        <v>0</v>
      </c>
      <c r="T52" s="940" t="str">
        <f>U52</f>
        <v>Client</v>
      </c>
      <c r="U52" s="1595" t="s">
        <v>303</v>
      </c>
      <c r="V52" s="1918">
        <f>IF(A50&gt;0,B52&amp;" "&amp;C52&amp;IF(B52="",""," GB RAM"),0)</f>
        <v>0</v>
      </c>
      <c r="W52" s="1819"/>
      <c r="X52" s="1819"/>
      <c r="Y52" s="1819"/>
      <c r="Z52" s="1819"/>
      <c r="AA52" s="1819"/>
      <c r="AB52" s="1819"/>
      <c r="AC52" s="1819"/>
      <c r="AD52" s="1819"/>
      <c r="AE52" s="1919">
        <f>IF(A50&gt;0,F50,0)</f>
        <v>0</v>
      </c>
      <c r="AF52" s="2876">
        <f>IF(A49=0,0,IF(LEFT(B50,3)=S50,VLOOKUP(B50,HWRange,12,FALSE),0)*F51)</f>
        <v>0</v>
      </c>
      <c r="AG52" s="2877" t="str">
        <f>IF(AF52&gt;0,S50&amp;" 3-yr Pricing","")</f>
        <v/>
      </c>
      <c r="AH52" s="2878"/>
      <c r="AI52" s="1591"/>
      <c r="AJ52" s="1591"/>
      <c r="AK52" s="1591"/>
      <c r="AL52" s="1591"/>
      <c r="AM52" s="1591"/>
      <c r="AN52" s="1591"/>
      <c r="AO52" s="1591"/>
      <c r="AP52" s="1591"/>
      <c r="AQ52" s="1591"/>
      <c r="AR52" s="1591"/>
      <c r="AS52" s="1591"/>
      <c r="AT52" s="1591"/>
      <c r="AU52" s="1591"/>
      <c r="AV52" s="1591"/>
      <c r="AX52" s="1601"/>
      <c r="AY52" s="1601"/>
      <c r="BB52" s="1415">
        <f>BC51</f>
        <v>0</v>
      </c>
      <c r="BC52" s="1614"/>
      <c r="BF52" s="1592"/>
      <c r="BG52" s="1893"/>
      <c r="BH52" s="1601"/>
      <c r="BI52" s="1601"/>
      <c r="BJ52" s="1601"/>
      <c r="BK52" s="1601"/>
      <c r="BL52" s="1601"/>
      <c r="BM52" s="1601"/>
      <c r="BN52" s="1601"/>
      <c r="BO52" s="1601"/>
      <c r="BP52" s="1619"/>
      <c r="BQ52" s="923"/>
      <c r="BR52" s="923"/>
      <c r="BS52" s="923"/>
      <c r="BT52" s="923"/>
      <c r="BU52" s="923"/>
      <c r="BV52" s="923"/>
      <c r="BW52" s="923"/>
      <c r="BX52" s="923"/>
      <c r="BY52" s="923"/>
      <c r="BZ52" s="923"/>
      <c r="CA52" s="923"/>
      <c r="CB52" s="923"/>
      <c r="CC52" s="923"/>
      <c r="CD52" s="923"/>
      <c r="CE52" s="923"/>
      <c r="CF52" s="1619"/>
      <c r="CG52" s="3403">
        <f>B52</f>
        <v>0</v>
      </c>
      <c r="CH52" s="3404"/>
      <c r="CI52" s="3404"/>
      <c r="CJ52" s="3404"/>
      <c r="CK52" s="2723"/>
      <c r="CL52" s="1592"/>
      <c r="CM52" s="1594"/>
      <c r="CN52" s="1592"/>
      <c r="CQ52" s="1592"/>
      <c r="CR52" s="1594"/>
      <c r="CU52" s="1592"/>
      <c r="DA52" s="1592"/>
      <c r="DB52" s="1594"/>
      <c r="DE52" s="1592"/>
      <c r="DF52" s="1594"/>
      <c r="DI52" s="1592"/>
      <c r="DJ52" s="1614"/>
      <c r="DK52" s="1614"/>
      <c r="DL52" s="1592"/>
      <c r="DM52" s="1614"/>
      <c r="DN52" s="1594"/>
      <c r="DO52" s="1594"/>
      <c r="DP52" s="394"/>
      <c r="DQ52" s="1614"/>
      <c r="DR52" s="1597"/>
      <c r="DS52" s="1597"/>
      <c r="DT52" s="1415"/>
      <c r="DW52" s="1614"/>
      <c r="DX52" s="1597"/>
      <c r="DY52" s="1415"/>
      <c r="EC52" s="1614"/>
      <c r="ED52" s="1415"/>
      <c r="EH52" s="1597"/>
      <c r="EI52" s="1614"/>
      <c r="EJ52" s="1415"/>
      <c r="EN52" s="1597"/>
      <c r="EO52" s="1614"/>
      <c r="EP52" s="1415"/>
      <c r="ET52" s="1597"/>
      <c r="EU52" s="1614"/>
      <c r="EV52" s="1415"/>
      <c r="EZ52" s="1597"/>
      <c r="FA52" s="1614"/>
      <c r="FB52" s="1415"/>
      <c r="FF52" s="1597"/>
      <c r="FG52" s="1614"/>
      <c r="FH52" s="1415"/>
      <c r="FL52" s="1597"/>
      <c r="FM52" s="1614"/>
      <c r="FN52" s="1415"/>
      <c r="FR52" s="1597"/>
      <c r="FS52" s="1614"/>
      <c r="FT52" s="1415"/>
      <c r="FX52" s="1597"/>
      <c r="FY52" s="1614"/>
      <c r="FZ52" s="1415"/>
      <c r="GD52" s="1597"/>
      <c r="GE52" s="1614"/>
      <c r="GG52" s="1415"/>
      <c r="GJ52" s="1597"/>
      <c r="GK52" s="1614"/>
      <c r="GM52" s="1415"/>
      <c r="GO52" s="1415"/>
      <c r="GP52" s="1597"/>
      <c r="GQ52" s="1614"/>
      <c r="GS52" s="1415"/>
      <c r="GT52" s="1415"/>
    </row>
    <row r="53" spans="1:209" ht="17" hidden="1" outlineLevel="2" thickBot="1" x14ac:dyDescent="0.25">
      <c r="A53" s="2823">
        <f>IF(O55&gt;0,A55/O55,0)</f>
        <v>0</v>
      </c>
      <c r="B53" s="552" t="s">
        <v>1463</v>
      </c>
      <c r="C53" s="136" t="str">
        <f>VLOOKUP(B54,Hardware!$A$2:$I$632,9,FALSE)</f>
        <v>Intel</v>
      </c>
      <c r="D53" s="137" t="str">
        <f>D49</f>
        <v>Arc18=</v>
      </c>
      <c r="E53" s="138">
        <f>IF(FI$18=0,0,IF(FM$18&gt;0,FM$18/FJ$18))</f>
        <v>0</v>
      </c>
      <c r="F53" s="139" t="s">
        <v>328</v>
      </c>
      <c r="G53" s="1585"/>
      <c r="H53" s="1586">
        <v>0.8</v>
      </c>
      <c r="I53" s="1739" t="str">
        <f>I49</f>
        <v>Host01</v>
      </c>
      <c r="J53" s="207">
        <f>IF(K53&gt;0,K53,IF(I55=Calculator!$H$158,1, IF(OR(R53=Calculator!$H$162,R53=Calculator!$H$163), VLOOKUP(I55,VAdjust,2,FALSE),1)))</f>
        <v>1</v>
      </c>
      <c r="K53" s="2456"/>
      <c r="L53" s="722">
        <f>VLOOKUP(B54,HWRange,5,FALSE)</f>
        <v>3500</v>
      </c>
      <c r="M53" s="464" t="str">
        <f>IF(ISERROR(VLOOKUP($K54,$L$5:$L$15,1,FALSE)),"","/"&amp;$L$4)</f>
        <v/>
      </c>
      <c r="N53" s="257" t="str">
        <f>IF(ISERROR(VLOOKUP($K54,$M$5:$M$15,1,FALSE)),IF(ISERROR(VLOOKUP($K54,$M$5:$M$15,1,FALSE)),"","/"&amp;$M$4),"/"&amp;$M$4)</f>
        <v/>
      </c>
      <c r="O53" s="465" t="str">
        <f>IF(ISERROR(VLOOKUP($K54,$N$5:$N$15,1,FALSE)),IF(ISERROR(VLOOKUP($K54,$N$5:$N$15,1,FALSE)),"","/"&amp;$N$4),"/"&amp;$N$4)</f>
        <v/>
      </c>
      <c r="P53" s="1587">
        <f>IF(A54=0,0,IF(P55&gt;0,1000*C54/C55,1000*C54/C55))/2</f>
        <v>0</v>
      </c>
      <c r="Q53" s="1734">
        <f>IF(I55=$J$163,0,VLOOKUP(I53,HostArray,2,FALSE))</f>
        <v>0</v>
      </c>
      <c r="R53" s="1588" t="s">
        <v>412</v>
      </c>
      <c r="S53" s="3071" t="str">
        <f>IF(S54=LEFT(B54,3),_xlfn.NUMBERVALUE(MID(B54,FIND("(",B54,1)+1,FIND(")",B54,1)-FIND("(",B54,1)-3)),"")</f>
        <v/>
      </c>
      <c r="T53" s="135">
        <v>10000</v>
      </c>
      <c r="U53" s="1616">
        <f>IF(E53&gt;0,IF(AND(M55="",N55=""),ES$18/F55,ET$18/F55),0)</f>
        <v>0</v>
      </c>
      <c r="V53" s="1822">
        <f>IF(V55&gt;0,IF($A54&gt;0.5,$A54,""),0)</f>
        <v>0</v>
      </c>
      <c r="W53" s="1823">
        <f>IF(AND($W54=W$163,$H56=I$187),W$164,IF(W55&gt;0,IF($A54&gt;0.5,$A54,""),0))</f>
        <v>0</v>
      </c>
      <c r="X53" s="1823">
        <f t="shared" ref="X53:AD53" si="36">IF(X55&gt;0,IF($A54&gt;0.5,$A54,""),0)</f>
        <v>0</v>
      </c>
      <c r="Y53" s="1823">
        <f t="shared" si="36"/>
        <v>0</v>
      </c>
      <c r="Z53" s="1823">
        <f t="shared" si="36"/>
        <v>0</v>
      </c>
      <c r="AA53" s="1823">
        <f t="shared" si="36"/>
        <v>0</v>
      </c>
      <c r="AB53" s="1823">
        <f t="shared" si="36"/>
        <v>0</v>
      </c>
      <c r="AC53" s="1823">
        <f t="shared" si="36"/>
        <v>0</v>
      </c>
      <c r="AD53" s="1824">
        <f t="shared" si="36"/>
        <v>0</v>
      </c>
      <c r="AE53" s="1825">
        <f>L56</f>
        <v>0</v>
      </c>
      <c r="AF53" s="2977" t="str">
        <f>IF(I55=$H$187,$AF$18,"")</f>
        <v/>
      </c>
      <c r="AG53" s="1600"/>
      <c r="AH53" s="1600"/>
      <c r="AI53" s="1600"/>
      <c r="AJ53" s="1600"/>
      <c r="AK53" s="1600"/>
      <c r="AL53" s="1600"/>
      <c r="AM53" s="1600"/>
      <c r="AN53" s="1600"/>
      <c r="AO53" s="1600"/>
      <c r="AP53" s="1600"/>
      <c r="AQ53" s="1600"/>
      <c r="AR53" s="1600"/>
      <c r="AS53" s="1600"/>
      <c r="AT53" s="1600"/>
      <c r="AU53" s="1600"/>
      <c r="AV53" s="1600"/>
      <c r="AX53" s="2"/>
      <c r="AY53" s="2"/>
      <c r="BC53" s="1"/>
      <c r="BF53" s="1592"/>
      <c r="BG53" s="1593"/>
      <c r="BH53" s="1593"/>
      <c r="BI53" s="1593"/>
      <c r="BJ53" s="1593"/>
      <c r="BK53" s="1593"/>
      <c r="BL53" s="1593"/>
      <c r="BM53" s="1593"/>
      <c r="BN53" s="1593"/>
      <c r="BO53" s="1593"/>
      <c r="BP53" s="889"/>
      <c r="BQ53" s="889"/>
      <c r="BR53" s="889"/>
      <c r="BS53" s="889"/>
      <c r="BT53" s="889"/>
      <c r="BU53" s="889"/>
      <c r="BV53" s="1615"/>
      <c r="BW53" s="1615"/>
      <c r="BX53" s="1615"/>
      <c r="BY53" s="1615"/>
      <c r="BZ53" s="1615"/>
      <c r="CA53" s="1615"/>
      <c r="CB53" s="1615"/>
      <c r="CC53" s="1615"/>
      <c r="CD53" s="1615"/>
      <c r="CE53" s="1615"/>
      <c r="CF53" s="1615"/>
      <c r="CG53" s="1689">
        <f t="shared" ref="CG53:CH55" si="37">A53</f>
        <v>0</v>
      </c>
      <c r="CH53" s="1690" t="str">
        <f t="shared" si="37"/>
        <v>Tier09: Platform Tier 09</v>
      </c>
      <c r="CI53" s="1179" t="str">
        <f>F53</f>
        <v>SRint2006</v>
      </c>
      <c r="CJ53" s="2718"/>
      <c r="CK53" s="2724">
        <f>T53</f>
        <v>10000</v>
      </c>
      <c r="CL53" s="1592"/>
      <c r="CM53" s="1594"/>
      <c r="CN53" s="1592"/>
      <c r="CQ53" s="1592"/>
      <c r="CR53" s="1594"/>
      <c r="CU53" s="1592"/>
      <c r="DA53" s="1592"/>
      <c r="DB53" s="1594"/>
      <c r="DE53" s="1592"/>
      <c r="DF53" s="1594"/>
      <c r="DI53" s="1592"/>
      <c r="DJ53" s="1"/>
      <c r="DK53" s="1"/>
      <c r="DL53" s="1592"/>
      <c r="DM53" s="1"/>
      <c r="DN53" s="1594"/>
      <c r="DO53" s="1595"/>
      <c r="DP53" s="394"/>
      <c r="DQ53" s="1"/>
      <c r="DR53" s="1593"/>
      <c r="DS53" s="1593"/>
      <c r="DT53" s="1415"/>
      <c r="DW53" s="1"/>
      <c r="DX53" s="1593"/>
      <c r="DY53" s="1415"/>
      <c r="EC53" s="1"/>
      <c r="ED53" s="1415"/>
      <c r="EH53" s="1593"/>
      <c r="EI53" s="1"/>
      <c r="EJ53" s="1415"/>
      <c r="EN53" s="1593"/>
      <c r="EO53" s="1"/>
      <c r="EP53" s="1415"/>
      <c r="ET53" s="1593"/>
      <c r="EU53" s="1"/>
      <c r="EV53" s="1415"/>
      <c r="EZ53" s="1593"/>
      <c r="FA53" s="1"/>
      <c r="FB53" s="1415"/>
      <c r="FF53" s="1593"/>
      <c r="FG53" s="1"/>
      <c r="FH53" s="1415"/>
      <c r="FL53" s="1593"/>
      <c r="FM53" s="1"/>
      <c r="FN53" s="1415"/>
      <c r="FR53" s="1593"/>
      <c r="FS53" s="1"/>
      <c r="FT53" s="1415"/>
      <c r="FX53" s="1593"/>
      <c r="FY53" s="1"/>
      <c r="FZ53" s="1415"/>
      <c r="GD53" s="1593"/>
      <c r="GE53" s="1"/>
      <c r="GG53" s="1415"/>
      <c r="GJ53" s="1593"/>
      <c r="GK53" s="1"/>
      <c r="GM53" s="1415"/>
      <c r="GO53" s="1415"/>
      <c r="GP53" s="1593"/>
      <c r="GQ53" s="1"/>
      <c r="GS53" s="1415"/>
      <c r="GT53" s="1415"/>
    </row>
    <row r="54" spans="1:209" ht="15" hidden="1" outlineLevel="2" x14ac:dyDescent="0.2">
      <c r="A54" s="2824">
        <f>IF(E53=0,0,A55/G55)</f>
        <v>0</v>
      </c>
      <c r="B54" s="156" t="str">
        <f>B50</f>
        <v>Xeon E5-2637v4 4 core (1 chip) 3500 MHz</v>
      </c>
      <c r="C54" s="206">
        <f>ROUND(IF(P55&gt;0,2*P55*C55/1000, IF(L55=0,0, IF(I55=Calculator!$H$160, Calculator!$J$160*(1+L54), IF(K55=4, 4*H53*G54/13.4,L54*Calculator!$J$151)))),0)</f>
        <v>0</v>
      </c>
      <c r="D54" s="205">
        <f>F55*L54</f>
        <v>0</v>
      </c>
      <c r="E54" s="70" t="str">
        <f>IF(I55=J175,F55*VLOOKUP(B54,HWRange,8,FALSE),"Virtual Server")</f>
        <v>Virtual Server</v>
      </c>
      <c r="F54" s="71">
        <f>IF(I55=$J$163,VLOOKUP(B54,HWRange,7,FALSE),IF(I54&gt;VLOOKUP(B54,HWRange,3,FALSE),VLOOKUP(B54,HWRange,7,FALSE)*VLOOKUP(B54,HWRange,3,FALSE)/I54,VLOOKUP(B54,HWRange,7,FALSE)))</f>
        <v>60</v>
      </c>
      <c r="G54" s="157">
        <f>IF(I55=$J$163,VLOOKUP(B54,HWRange,6,FALSE),VLOOKUP(B54,HWRange,6,FALSE)*I54/VLOOKUP(B54,HWRange,3,FALSE))</f>
        <v>240</v>
      </c>
      <c r="H54" s="161" t="s">
        <v>365</v>
      </c>
      <c r="I54" s="1247">
        <v>2</v>
      </c>
      <c r="J54" s="1881"/>
      <c r="K54" s="756" t="str">
        <f>A173</f>
        <v>Tier09</v>
      </c>
      <c r="L54" s="491">
        <f>IF(I55=$J$163,VLOOKUP(B54,HWRange,3,FALSE),I54)</f>
        <v>4</v>
      </c>
      <c r="M54" s="466" t="str">
        <f>IF(ISERROR(VLOOKUP($K54,$J$5:$J$15,1,FALSE)),IF(ISERROR(VLOOKUP($K54,$J$5:$J$15,1,FALSE)),"","/"&amp;$J$4),"/"&amp;$J$4)</f>
        <v/>
      </c>
      <c r="N54" s="467" t="str">
        <f>IF(ISERROR(VLOOKUP($K54,$K$5:$K$15,1,FALSE)),"","/"&amp;$K$4)</f>
        <v/>
      </c>
      <c r="O54" s="468">
        <f>IF(AND(O53="",M55=""),0,D54)</f>
        <v>0</v>
      </c>
      <c r="P54" s="1596" t="str">
        <f>IF(NOT(M54=""),Calculator!$A$158,IF(NOT(N54=""),Calculator!$B$158,IF(NOT(O53=""), Calculator!$C$158,Calculator!$G$158)))</f>
        <v>WindowsLinuxSolarisAIXHPUX</v>
      </c>
      <c r="Q54" s="1246" t="str">
        <f>VLOOKUP(B54,HWRange,2,FALSE)</f>
        <v>Xeon E5-2637v4</v>
      </c>
      <c r="R54" s="1187">
        <f>F55*VLOOKUP(B54,HWRange,8,FALSE)</f>
        <v>0</v>
      </c>
      <c r="S54" s="3070">
        <f>IF(OR(LEFT(B54,3)="AMI",LEFT(B54,3)="AZI"),LEFT(B54,3),0)</f>
        <v>0</v>
      </c>
      <c r="T54" s="1623" t="s">
        <v>366</v>
      </c>
      <c r="U54" s="1599" t="s">
        <v>307</v>
      </c>
      <c r="V54" s="822">
        <f t="shared" ref="V54:AD54" si="38">IF(V55=0,0,IF($A54&lt;0.5,$A54,"+"))</f>
        <v>0</v>
      </c>
      <c r="W54" s="2063">
        <f>IF(AND($N55="/"&amp;$Q$4,$H56=I$187,$H55=0),W$163,IF(W55=0,0,IF($A54&lt;0.5,$A54,"+")))</f>
        <v>0</v>
      </c>
      <c r="X54" s="318">
        <f t="shared" si="38"/>
        <v>0</v>
      </c>
      <c r="Y54" s="318">
        <f t="shared" si="38"/>
        <v>0</v>
      </c>
      <c r="Z54" s="318">
        <f t="shared" si="38"/>
        <v>0</v>
      </c>
      <c r="AA54" s="318">
        <f t="shared" si="38"/>
        <v>0</v>
      </c>
      <c r="AB54" s="318">
        <f t="shared" si="38"/>
        <v>0</v>
      </c>
      <c r="AC54" s="318">
        <f t="shared" si="38"/>
        <v>0</v>
      </c>
      <c r="AD54" s="823">
        <f t="shared" si="38"/>
        <v>0</v>
      </c>
      <c r="AE54" s="1185">
        <f>D54</f>
        <v>0</v>
      </c>
      <c r="AF54" s="2998">
        <f>AF$19</f>
        <v>24</v>
      </c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X54" s="1601"/>
      <c r="AY54" s="1601"/>
      <c r="BC54" s="1602"/>
      <c r="BF54" s="1592"/>
      <c r="BG54" s="1601"/>
      <c r="BH54" s="1601"/>
      <c r="BI54" s="1601"/>
      <c r="BJ54" s="1601"/>
      <c r="BK54" s="1601"/>
      <c r="BL54" s="1601"/>
      <c r="BM54" s="1601"/>
      <c r="BN54" s="1601"/>
      <c r="BO54" s="1601"/>
      <c r="BP54" s="885">
        <f>IF(A54&gt;0,1,0)</f>
        <v>0</v>
      </c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1691">
        <f t="shared" si="37"/>
        <v>0</v>
      </c>
      <c r="CH54" s="1590" t="str">
        <f t="shared" si="37"/>
        <v>Xeon E5-2637v4 4 core (1 chip) 3500 MHz</v>
      </c>
      <c r="CI54" s="1180">
        <f>F54</f>
        <v>60</v>
      </c>
      <c r="CJ54" s="1180">
        <f>G54</f>
        <v>240</v>
      </c>
      <c r="CK54" s="2723"/>
      <c r="CL54" s="1592"/>
      <c r="CM54" s="1594"/>
      <c r="CN54" s="1592"/>
      <c r="CQ54" s="1592"/>
      <c r="CR54" s="1594"/>
      <c r="CU54" s="1592"/>
      <c r="DA54" s="1592"/>
      <c r="DB54" s="1594"/>
      <c r="DE54" s="1592"/>
      <c r="DF54" s="1594"/>
      <c r="DI54" s="1592"/>
      <c r="DJ54" s="1602"/>
      <c r="DK54" s="1602"/>
      <c r="DL54" s="1592"/>
      <c r="DM54" s="1602"/>
      <c r="DN54" s="1594"/>
      <c r="DO54" s="1594"/>
      <c r="DP54" s="394"/>
      <c r="DQ54" s="1602"/>
      <c r="DR54" s="1594"/>
      <c r="DS54" s="1594"/>
      <c r="DT54" s="1415"/>
      <c r="DW54" s="1602"/>
      <c r="DX54" s="1594"/>
      <c r="DY54" s="1415"/>
      <c r="EC54" s="1602"/>
      <c r="ED54" s="1415"/>
      <c r="EH54" s="1594"/>
      <c r="EI54" s="1602"/>
      <c r="EJ54" s="1415"/>
      <c r="EN54" s="1594"/>
      <c r="EO54" s="1602"/>
      <c r="EP54" s="1415"/>
      <c r="ET54" s="1594"/>
      <c r="EU54" s="1602"/>
      <c r="EV54" s="1415"/>
      <c r="EZ54" s="1594"/>
      <c r="FA54" s="1602"/>
      <c r="FB54" s="1415"/>
      <c r="FF54" s="1594"/>
      <c r="FG54" s="1602"/>
      <c r="FH54" s="1415"/>
      <c r="FL54" s="1594"/>
      <c r="FM54" s="1602"/>
      <c r="FN54" s="1415"/>
      <c r="FR54" s="1594"/>
      <c r="FS54" s="1602"/>
      <c r="FT54" s="1415"/>
      <c r="FX54" s="1594"/>
      <c r="FY54" s="1602"/>
      <c r="FZ54" s="1415"/>
      <c r="GD54" s="1594"/>
      <c r="GE54" s="1602"/>
      <c r="GG54" s="1415"/>
      <c r="GJ54" s="1594"/>
      <c r="GK54" s="1602"/>
      <c r="GM54" s="1415"/>
      <c r="GO54" s="1415"/>
      <c r="GP54" s="1594"/>
      <c r="GQ54" s="1602"/>
      <c r="GS54" s="1415"/>
      <c r="GT54" s="1415"/>
    </row>
    <row r="55" spans="1:209" ht="14" hidden="1" outlineLevel="2" thickBot="1" x14ac:dyDescent="0.2">
      <c r="A55" s="2825">
        <f>IF(E53=0,0,FJ$18)</f>
        <v>0</v>
      </c>
      <c r="B55" s="3082" t="str">
        <f>"Install ("&amp;C56&amp;M53&amp;N53&amp;O53&amp;M54&amp;N54&amp;M55&amp;N55&amp;")"</f>
        <v>Install (Physical)</v>
      </c>
      <c r="C55" s="258">
        <f>IF(E53=0,0, IF(I55=Calculator!$H$160,1,E55/O55)*H53)</f>
        <v>0</v>
      </c>
      <c r="D55" s="140">
        <f>IF(J55=$H$188,J56,0)+IF(E53=0,0,J53*E53)*($BO$2/F54)</f>
        <v>0</v>
      </c>
      <c r="E55" s="141">
        <f>IF(E53=0,0,L54*60/D55)</f>
        <v>0</v>
      </c>
      <c r="F55" s="142">
        <f>IF(L55=0,0,IF(H55,H55,IF(I55=Calculator!$H$160,A53,IF(N55="/DBMS",1,IF(H56=$I$187,IF(N54="",IF(L55=1,2,L55),L55+1),L55)))))</f>
        <v>0</v>
      </c>
      <c r="G55" s="158">
        <f>IF(E53=0,0,IF(F55&gt;0,+E55*F55,"Nodes?"))</f>
        <v>0</v>
      </c>
      <c r="H55" s="143"/>
      <c r="I55" s="1248" t="s">
        <v>408</v>
      </c>
      <c r="J55" s="3227" t="str">
        <f>J51</f>
        <v xml:space="preserve">Siloed </v>
      </c>
      <c r="K55" s="1604">
        <f>IF(AND(N55="",N54=""),2,4)</f>
        <v>2</v>
      </c>
      <c r="L55" s="1605">
        <f>IF(H55,H55,IF(E53=0,0,IF(A55&gt;0,+INT(A55/(E55*H53))+1,0)))</f>
        <v>0</v>
      </c>
      <c r="M55" s="469" t="str">
        <f>IF(ISERROR(VLOOKUP($K54,$O$5:$O$15,1,FALSE)),IF(ISERROR(VLOOKUP($K54,$O$5:$O$15,1,FALSE)),"","/"&amp;$O$4),"/"&amp;$O$4)</f>
        <v/>
      </c>
      <c r="N55" s="470" t="str">
        <f>IF(ISERROR(VLOOKUP($K54,$Q$5:$Q$15,1,FALSE)),IF(ISERROR(VLOOKUP($K54,$Q$5:$Q$15,1,FALSE)),"","/"&amp;$Q$4),"/"&amp;$Q$4)</f>
        <v/>
      </c>
      <c r="O55" s="471">
        <f>IF($FI$18&gt;0,$FJ$18/$FI$18,0)</f>
        <v>0</v>
      </c>
      <c r="P55" s="886"/>
      <c r="Q55" s="1714">
        <f>D54/VLOOKUP(B54,HWRange,3,FALSE)</f>
        <v>0</v>
      </c>
      <c r="R55" s="1877">
        <f>P173</f>
        <v>0</v>
      </c>
      <c r="S55" s="1982">
        <f>IF(E53=0,0,H53*A53/A54)</f>
        <v>0</v>
      </c>
      <c r="T55" s="135">
        <v>10000</v>
      </c>
      <c r="U55" s="1608">
        <f>IF(E53=0,0,IF(U56=$I$188,U53,ET$18/F55))</f>
        <v>0</v>
      </c>
      <c r="V55" s="1826">
        <f>IF(G55&gt;0,1,0)</f>
        <v>0</v>
      </c>
      <c r="W55" s="1827">
        <f t="shared" ref="W55:AC55" si="39">IF(V55&gt;0,IF($F55&gt;V55,V55+1,0),0)</f>
        <v>0</v>
      </c>
      <c r="X55" s="1827">
        <f t="shared" si="39"/>
        <v>0</v>
      </c>
      <c r="Y55" s="1827">
        <f t="shared" si="39"/>
        <v>0</v>
      </c>
      <c r="Z55" s="1827">
        <f t="shared" si="39"/>
        <v>0</v>
      </c>
      <c r="AA55" s="1827">
        <f t="shared" si="39"/>
        <v>0</v>
      </c>
      <c r="AB55" s="1827">
        <f t="shared" si="39"/>
        <v>0</v>
      </c>
      <c r="AC55" s="1827">
        <f t="shared" si="39"/>
        <v>0</v>
      </c>
      <c r="AD55" s="1828">
        <f>IF(AC55&gt;0,IF($F55&gt;AC55,"…"&amp;$F55,0),0)</f>
        <v>0</v>
      </c>
      <c r="AE55" s="1829">
        <f>A54</f>
        <v>0</v>
      </c>
      <c r="AF55" s="2978">
        <f>IF(AF54="","",IF(H55=0,0,H55/AF54+IF(H56=$I$187,1,0)))</f>
        <v>0</v>
      </c>
      <c r="AG55" s="1591"/>
      <c r="AH55" s="1591"/>
      <c r="AI55" s="1591"/>
      <c r="AJ55" s="1591"/>
      <c r="AK55" s="1591"/>
      <c r="AL55" s="1591"/>
      <c r="AM55" s="1591"/>
      <c r="AN55" s="1591"/>
      <c r="AO55" s="1591"/>
      <c r="AP55" s="1591"/>
      <c r="AQ55" s="1591"/>
      <c r="AR55" s="1591"/>
      <c r="AS55" s="1591"/>
      <c r="AT55" s="1591"/>
      <c r="AU55" s="1591"/>
      <c r="AV55" s="1591"/>
      <c r="BC55" s="1602"/>
      <c r="BF55" s="1592"/>
      <c r="BG55" s="1601"/>
      <c r="BH55" s="1601"/>
      <c r="BI55" s="1601"/>
      <c r="BJ55" s="1601"/>
      <c r="BK55" s="1601"/>
      <c r="BL55" s="1601"/>
      <c r="BM55" s="1601"/>
      <c r="BN55" s="1601"/>
      <c r="BO55" s="1601"/>
      <c r="BP55" s="1606"/>
      <c r="BQ55" s="890"/>
      <c r="BR55" s="890"/>
      <c r="BS55" s="890"/>
      <c r="BT55" s="890"/>
      <c r="BU55" s="890"/>
      <c r="BV55" s="890"/>
      <c r="BW55" s="890"/>
      <c r="BX55" s="890"/>
      <c r="BY55" s="890"/>
      <c r="BZ55" s="890"/>
      <c r="CA55" s="890"/>
      <c r="CB55" s="890"/>
      <c r="CC55" s="890"/>
      <c r="CD55" s="890"/>
      <c r="CE55" s="890"/>
      <c r="CF55" s="1606"/>
      <c r="CG55" s="1692">
        <f t="shared" si="37"/>
        <v>0</v>
      </c>
      <c r="CH55" s="1693" t="str">
        <f t="shared" si="37"/>
        <v>Install (Physical)</v>
      </c>
      <c r="CI55" s="1181">
        <f>F55</f>
        <v>0</v>
      </c>
      <c r="CJ55" s="2719">
        <f>D54</f>
        <v>0</v>
      </c>
      <c r="CK55" s="2724">
        <f>T55</f>
        <v>10000</v>
      </c>
      <c r="CL55" s="1592"/>
      <c r="CM55" s="1594"/>
      <c r="CN55" s="1592"/>
      <c r="CQ55" s="1592"/>
      <c r="CR55" s="1594"/>
      <c r="CU55" s="1592"/>
      <c r="DA55" s="1592"/>
      <c r="DB55" s="1594"/>
      <c r="DE55" s="1592"/>
      <c r="DF55" s="1594"/>
      <c r="DI55" s="1592"/>
      <c r="DJ55" s="1602"/>
      <c r="DK55" s="1602"/>
      <c r="DL55" s="1592"/>
      <c r="DM55" s="1602"/>
      <c r="DN55" s="1594"/>
      <c r="DO55" s="1594"/>
      <c r="DP55" s="394"/>
      <c r="DQ55" s="1602"/>
      <c r="DR55" s="1597"/>
      <c r="DS55" s="1597"/>
      <c r="DT55" s="1415"/>
      <c r="DW55" s="1602"/>
      <c r="DX55" s="1597"/>
      <c r="DY55" s="1415"/>
      <c r="EC55" s="1602"/>
      <c r="ED55" s="1415"/>
      <c r="EH55" s="1597"/>
      <c r="EI55" s="1602"/>
      <c r="EJ55" s="1415"/>
      <c r="EN55" s="1597"/>
      <c r="EO55" s="1602"/>
      <c r="EP55" s="1415"/>
      <c r="ET55" s="1597"/>
      <c r="EU55" s="1602"/>
      <c r="EV55" s="1415"/>
      <c r="EZ55" s="1597"/>
      <c r="FA55" s="1602"/>
      <c r="FB55" s="1415"/>
      <c r="FF55" s="1597"/>
      <c r="FG55" s="1602"/>
      <c r="FH55" s="1415"/>
      <c r="FL55" s="1597"/>
      <c r="FM55" s="1602"/>
      <c r="FN55" s="1415"/>
      <c r="FR55" s="1597"/>
      <c r="FS55" s="1602"/>
      <c r="FT55" s="1415"/>
      <c r="FX55" s="1597"/>
      <c r="FY55" s="1602"/>
      <c r="FZ55" s="1415"/>
      <c r="GD55" s="1597"/>
      <c r="GE55" s="1602"/>
      <c r="GG55" s="1415"/>
      <c r="GJ55" s="1597"/>
      <c r="GK55" s="1602"/>
      <c r="GM55" s="1415"/>
      <c r="GO55" s="1415"/>
      <c r="GP55" s="1597"/>
      <c r="GQ55" s="1602"/>
      <c r="GS55" s="1415"/>
      <c r="GT55" s="1415"/>
    </row>
    <row r="56" spans="1:209" ht="15" hidden="1" outlineLevel="1" collapsed="1" x14ac:dyDescent="0.15">
      <c r="A56" s="916">
        <f>IF(A55=0,0,ROUND(100*A54,0)&amp;"% CPU")</f>
        <v>0</v>
      </c>
      <c r="B56" s="917">
        <f>IF(A55&gt;0,IF(I55=$J$163,K54&amp;": "&amp;F55&amp;"x "&amp;B54&amp;" "&amp;C54&amp;" GB RAM",$K54&amp;": "&amp;$F55&amp;"x VM ("&amp;I54&amp;" core "&amp;C54&amp;" GB RAM) "&amp;Q54&amp;" "&amp;L53&amp;" MHz"),0)</f>
        <v>0</v>
      </c>
      <c r="C56" s="1609" t="str">
        <f>IF(I55=$H$185,I55,I53)</f>
        <v>Physical</v>
      </c>
      <c r="D56" s="918">
        <f>A53</f>
        <v>0</v>
      </c>
      <c r="E56" s="919">
        <f>IF(E55&gt;0,ROUND(E55*60/1000,0)&amp;"K TPH",0)</f>
        <v>0</v>
      </c>
      <c r="F56" s="920">
        <f>+L55</f>
        <v>0</v>
      </c>
      <c r="G56" s="919">
        <f>IF(G55&gt;0,ROUND(G55*60/1000,0)&amp;"K TPH",0)</f>
        <v>0</v>
      </c>
      <c r="H56" s="921" t="str">
        <f>H$19</f>
        <v>Minimum</v>
      </c>
      <c r="I56" s="1736">
        <f>IF(I55=$J$163,0,I53)</f>
        <v>0</v>
      </c>
      <c r="J56" s="2086">
        <f>IF(AND(O53="/"&amp;$N$4,J55=$H$188),IF(F55&gt;0,(F55-1)*A55/(60*$H$190),0),0)</f>
        <v>0</v>
      </c>
      <c r="K56" s="2086">
        <f>IF(E53&gt;0,D55/E53,0)</f>
        <v>0</v>
      </c>
      <c r="L56" s="2080">
        <f>IF($W54=$W$163,2,F55)</f>
        <v>0</v>
      </c>
      <c r="M56" s="3134">
        <f>IF(AND(S56&gt;0,I55=$H$185),1,0)</f>
        <v>0</v>
      </c>
      <c r="N56" s="1618"/>
      <c r="O56" s="1618"/>
      <c r="P56" s="922"/>
      <c r="Q56" s="1737">
        <f>IF($A58&lt;0.9999, $A58/((1+$CJ$2*$A58*($L58-1))*(1-$A58)),200)</f>
        <v>0</v>
      </c>
      <c r="R56" s="1618"/>
      <c r="S56" s="3118">
        <f>IF(LEFT(B54,3)=S54,VLOOKUP(B54,HWRange,10,FALSE),0)</f>
        <v>0</v>
      </c>
      <c r="T56" s="940" t="str">
        <f>U56</f>
        <v>Client</v>
      </c>
      <c r="U56" s="1595" t="s">
        <v>303</v>
      </c>
      <c r="V56" s="1918">
        <f>IF(A54&gt;0,B56&amp;" "&amp;C56&amp;IF(B56="",""," GB RAM"),0)</f>
        <v>0</v>
      </c>
      <c r="W56" s="1819"/>
      <c r="X56" s="1819"/>
      <c r="Y56" s="1819"/>
      <c r="Z56" s="1819"/>
      <c r="AA56" s="1819"/>
      <c r="AB56" s="1819"/>
      <c r="AC56" s="1819"/>
      <c r="AD56" s="1819"/>
      <c r="AE56" s="1919">
        <f>IF(A54&gt;0,F54,0)</f>
        <v>0</v>
      </c>
      <c r="AF56" s="2876">
        <f>IF(A53=0,0,IF(LEFT(B54,3)=S54,VLOOKUP(B54,HWRange,12,FALSE),0)*F55)</f>
        <v>0</v>
      </c>
      <c r="AG56" s="2877" t="str">
        <f>IF(AF56&gt;0,S54&amp;" 3-yr Pricing","")</f>
        <v/>
      </c>
      <c r="AH56" s="2878"/>
      <c r="AI56" s="1591"/>
      <c r="AJ56" s="1591"/>
      <c r="AK56" s="1591"/>
      <c r="AL56" s="1591"/>
      <c r="AM56" s="1591"/>
      <c r="AN56" s="1591"/>
      <c r="AO56" s="1591"/>
      <c r="AP56" s="1591"/>
      <c r="AQ56" s="1591"/>
      <c r="AR56" s="1591"/>
      <c r="AS56" s="1591"/>
      <c r="AT56" s="1591"/>
      <c r="AU56" s="1591"/>
      <c r="AV56" s="1591"/>
      <c r="AX56" s="1601"/>
      <c r="AY56" s="1601"/>
      <c r="BB56" s="1415">
        <f>BC55</f>
        <v>0</v>
      </c>
      <c r="BC56" s="1614"/>
      <c r="BF56" s="1592"/>
      <c r="BG56" s="1893"/>
      <c r="BH56" s="1601"/>
      <c r="BI56" s="1601"/>
      <c r="BJ56" s="1601"/>
      <c r="BK56" s="1601"/>
      <c r="BL56" s="1601"/>
      <c r="BM56" s="1601"/>
      <c r="BN56" s="1601"/>
      <c r="BO56" s="1601"/>
      <c r="BP56" s="1619"/>
      <c r="BQ56" s="923"/>
      <c r="BR56" s="923"/>
      <c r="BS56" s="923"/>
      <c r="BT56" s="923"/>
      <c r="BU56" s="923"/>
      <c r="BV56" s="923"/>
      <c r="BW56" s="923"/>
      <c r="BX56" s="923"/>
      <c r="BY56" s="923"/>
      <c r="BZ56" s="923"/>
      <c r="CA56" s="923"/>
      <c r="CB56" s="923"/>
      <c r="CC56" s="923"/>
      <c r="CD56" s="923"/>
      <c r="CE56" s="923"/>
      <c r="CF56" s="1619"/>
      <c r="CG56" s="3403">
        <f>B56</f>
        <v>0</v>
      </c>
      <c r="CH56" s="3404"/>
      <c r="CI56" s="3404"/>
      <c r="CJ56" s="3404"/>
      <c r="CK56" s="2723"/>
      <c r="CL56" s="1592"/>
      <c r="CM56" s="1594"/>
      <c r="CN56" s="1592"/>
      <c r="CQ56" s="1592"/>
      <c r="CR56" s="1594"/>
      <c r="CU56" s="1592"/>
      <c r="DA56" s="1592"/>
      <c r="DB56" s="1594"/>
      <c r="DE56" s="1592"/>
      <c r="DF56" s="1594"/>
      <c r="DI56" s="1592"/>
      <c r="DJ56" s="1614"/>
      <c r="DK56" s="1614"/>
      <c r="DL56" s="1592"/>
      <c r="DM56" s="1614"/>
      <c r="DN56" s="1594"/>
      <c r="DO56" s="1594"/>
      <c r="DP56" s="394"/>
      <c r="DQ56" s="1614"/>
      <c r="DR56" s="1597"/>
      <c r="DS56" s="1597"/>
      <c r="DT56" s="1415"/>
      <c r="DW56" s="1614"/>
      <c r="DX56" s="1597"/>
      <c r="DY56" s="1415"/>
      <c r="EC56" s="1614"/>
      <c r="ED56" s="1415"/>
      <c r="EH56" s="1597"/>
      <c r="EI56" s="1614"/>
      <c r="EJ56" s="1415"/>
      <c r="EN56" s="1597"/>
      <c r="EO56" s="1614"/>
      <c r="EP56" s="1415"/>
      <c r="ET56" s="1597"/>
      <c r="EU56" s="1614"/>
      <c r="EV56" s="1415"/>
      <c r="EZ56" s="1597"/>
      <c r="FA56" s="1614"/>
      <c r="FB56" s="1415"/>
      <c r="FF56" s="1597"/>
      <c r="FG56" s="1614"/>
      <c r="FH56" s="1415"/>
      <c r="FL56" s="1597"/>
      <c r="FM56" s="1614"/>
      <c r="FN56" s="1415"/>
      <c r="FR56" s="1597"/>
      <c r="FS56" s="1614"/>
      <c r="FT56" s="1415"/>
      <c r="FX56" s="1597"/>
      <c r="FY56" s="1614"/>
      <c r="FZ56" s="1415"/>
      <c r="GD56" s="1597"/>
      <c r="GE56" s="1614"/>
      <c r="GG56" s="1415"/>
      <c r="GJ56" s="1597"/>
      <c r="GK56" s="1614"/>
      <c r="GM56" s="1415"/>
      <c r="GO56" s="1415"/>
      <c r="GP56" s="1597"/>
      <c r="GQ56" s="1614"/>
      <c r="GS56" s="1415"/>
      <c r="GT56" s="1415"/>
    </row>
    <row r="57" spans="1:209" ht="17" hidden="1" outlineLevel="2" thickBot="1" x14ac:dyDescent="0.25">
      <c r="A57" s="2823">
        <f>IF(O59&gt;0,A59/O59,0)</f>
        <v>0</v>
      </c>
      <c r="B57" s="552" t="s">
        <v>1464</v>
      </c>
      <c r="C57" s="136" t="str">
        <f>VLOOKUP(B58,Hardware!$A$2:$I$632,9,FALSE)</f>
        <v>Intel</v>
      </c>
      <c r="D57" s="137" t="str">
        <f>D53</f>
        <v>Arc18=</v>
      </c>
      <c r="E57" s="138">
        <f>IF(FO$18=0,0,IF(FS$18&gt;0,FS$18/FP$18))</f>
        <v>0</v>
      </c>
      <c r="F57" s="139" t="s">
        <v>328</v>
      </c>
      <c r="G57" s="1585"/>
      <c r="H57" s="1586">
        <v>0.8</v>
      </c>
      <c r="I57" s="1739" t="str">
        <f>I53</f>
        <v>Host01</v>
      </c>
      <c r="J57" s="207">
        <f>IF(K57&gt;0,K57,IF(I59=Calculator!$H$158,1, IF(OR(R57=Calculator!$H$162,R57=Calculator!$H$163), VLOOKUP(I59,VAdjust,2,FALSE),1)))</f>
        <v>1</v>
      </c>
      <c r="K57" s="2456"/>
      <c r="L57" s="722">
        <f>VLOOKUP(B58,HWRange,5,FALSE)</f>
        <v>3500</v>
      </c>
      <c r="M57" s="464" t="str">
        <f>IF(ISERROR(VLOOKUP($K58,$L$5:$L$15,1,FALSE)),"","/"&amp;$L$4)</f>
        <v/>
      </c>
      <c r="N57" s="257" t="str">
        <f>IF(ISERROR(VLOOKUP($K58,$M$5:$M$15,1,FALSE)),IF(ISERROR(VLOOKUP($K58,$M$5:$M$15,1,FALSE)),"","/"&amp;$M$4),"/"&amp;$M$4)</f>
        <v/>
      </c>
      <c r="O57" s="465" t="str">
        <f>IF(ISERROR(VLOOKUP($K58,$N$5:$N$15,1,FALSE)),IF(ISERROR(VLOOKUP($K58,$N$5:$N$15,1,FALSE)),"","/"&amp;$N$4),"/"&amp;$N$4)</f>
        <v/>
      </c>
      <c r="P57" s="1587">
        <f>IF(A58=0,0,IF(P59&gt;0,1000*C58/C59,1000*C58/C59))/2</f>
        <v>0</v>
      </c>
      <c r="Q57" s="1734">
        <f>IF(I59=$J$163,0,VLOOKUP(I57,HostArray,2,FALSE))</f>
        <v>0</v>
      </c>
      <c r="R57" s="1588" t="s">
        <v>412</v>
      </c>
      <c r="S57" s="3071" t="str">
        <f>IF(S58=LEFT(B58,3),_xlfn.NUMBERVALUE(MID(B58,FIND("(",B58,1)+1,FIND(")",B58,1)-FIND("(",B58,1)-3)),"")</f>
        <v/>
      </c>
      <c r="T57" s="135">
        <v>10000</v>
      </c>
      <c r="U57" s="1616">
        <f>IF(E57&gt;0,IF(AND(M59="",N59=""),ES$18/F59,ET$18/F59),0)</f>
        <v>0</v>
      </c>
      <c r="V57" s="1822">
        <f>IF(V59&gt;0,IF($A58&gt;0.5,$A58,""),0)</f>
        <v>0</v>
      </c>
      <c r="W57" s="1823">
        <f>IF(AND($W58=W$163,$H60=I$187),W$164,IF(W59&gt;0,IF($A58&gt;0.5,$A58,""),0))</f>
        <v>0</v>
      </c>
      <c r="X57" s="1823">
        <f t="shared" ref="X57:AD57" si="40">IF(X59&gt;0,IF($A58&gt;0.5,$A58,""),0)</f>
        <v>0</v>
      </c>
      <c r="Y57" s="1823">
        <f t="shared" si="40"/>
        <v>0</v>
      </c>
      <c r="Z57" s="1823">
        <f t="shared" si="40"/>
        <v>0</v>
      </c>
      <c r="AA57" s="1823">
        <f t="shared" si="40"/>
        <v>0</v>
      </c>
      <c r="AB57" s="1823">
        <f t="shared" si="40"/>
        <v>0</v>
      </c>
      <c r="AC57" s="1823">
        <f t="shared" si="40"/>
        <v>0</v>
      </c>
      <c r="AD57" s="1824">
        <f t="shared" si="40"/>
        <v>0</v>
      </c>
      <c r="AE57" s="1825">
        <f>L60</f>
        <v>0</v>
      </c>
      <c r="AF57" s="2977" t="str">
        <f>IF(I59=$H$187,$AF$18,"")</f>
        <v/>
      </c>
      <c r="AG57" s="1600"/>
      <c r="AH57" s="1600"/>
      <c r="AI57" s="1600"/>
      <c r="AJ57" s="1600"/>
      <c r="AK57" s="1600"/>
      <c r="AL57" s="1600"/>
      <c r="AM57" s="1600"/>
      <c r="AN57" s="1600"/>
      <c r="AO57" s="1600"/>
      <c r="AP57" s="1600"/>
      <c r="AQ57" s="1600"/>
      <c r="AR57" s="1600"/>
      <c r="AS57" s="1600"/>
      <c r="AT57" s="1600"/>
      <c r="AU57" s="1600"/>
      <c r="AV57" s="1600"/>
      <c r="AX57" s="2"/>
      <c r="AY57" s="2"/>
      <c r="BC57" s="1"/>
      <c r="BF57" s="1592"/>
      <c r="BG57" s="1593"/>
      <c r="BH57" s="1593"/>
      <c r="BI57" s="1593"/>
      <c r="BJ57" s="1593"/>
      <c r="BK57" s="1593"/>
      <c r="BL57" s="1593"/>
      <c r="BM57" s="1593"/>
      <c r="BN57" s="1593"/>
      <c r="BO57" s="1593"/>
      <c r="BP57" s="889"/>
      <c r="BQ57" s="889"/>
      <c r="BR57" s="889"/>
      <c r="BS57" s="889"/>
      <c r="BT57" s="889"/>
      <c r="BU57" s="889"/>
      <c r="BV57" s="1615"/>
      <c r="BW57" s="1615"/>
      <c r="BX57" s="1615"/>
      <c r="BY57" s="1615"/>
      <c r="BZ57" s="1615"/>
      <c r="CA57" s="1615"/>
      <c r="CB57" s="1615"/>
      <c r="CC57" s="1615"/>
      <c r="CD57" s="1615"/>
      <c r="CE57" s="1615"/>
      <c r="CF57" s="1615"/>
      <c r="CG57" s="1689">
        <f t="shared" ref="CG57:CH59" si="41">A57</f>
        <v>0</v>
      </c>
      <c r="CH57" s="1690" t="str">
        <f t="shared" si="41"/>
        <v>Tier10: Platform Tier 10</v>
      </c>
      <c r="CI57" s="1179" t="str">
        <f>F57</f>
        <v>SRint2006</v>
      </c>
      <c r="CJ57" s="2718"/>
      <c r="CK57" s="2724">
        <f>T57</f>
        <v>10000</v>
      </c>
      <c r="CL57" s="1592"/>
      <c r="CM57" s="1594"/>
      <c r="CN57" s="1592"/>
      <c r="CQ57" s="1592"/>
      <c r="CR57" s="1594"/>
      <c r="CU57" s="1592"/>
      <c r="DA57" s="1592"/>
      <c r="DB57" s="1594"/>
      <c r="DE57" s="1592"/>
      <c r="DF57" s="1594"/>
      <c r="DI57" s="1592"/>
      <c r="DJ57" s="1"/>
      <c r="DK57" s="1"/>
      <c r="DL57" s="1592"/>
      <c r="DM57" s="1"/>
      <c r="DN57" s="1594"/>
      <c r="DO57" s="1595"/>
      <c r="DP57" s="394"/>
      <c r="DQ57" s="1"/>
      <c r="DR57" s="1593"/>
      <c r="DS57" s="1593"/>
      <c r="DT57" s="1415"/>
      <c r="DW57" s="1"/>
      <c r="DX57" s="1593"/>
      <c r="DY57" s="1415"/>
      <c r="EC57" s="1"/>
      <c r="ED57" s="1415"/>
      <c r="EH57" s="1593"/>
      <c r="EI57" s="1"/>
      <c r="EJ57" s="1415"/>
      <c r="EN57" s="1593"/>
      <c r="EO57" s="1"/>
      <c r="EP57" s="1415"/>
      <c r="ET57" s="1593"/>
      <c r="EU57" s="1"/>
      <c r="EV57" s="1415"/>
      <c r="EZ57" s="1593"/>
      <c r="FA57" s="1"/>
      <c r="FB57" s="1415"/>
      <c r="FF57" s="1593"/>
      <c r="FG57" s="1"/>
      <c r="FH57" s="1415"/>
      <c r="FL57" s="1593"/>
      <c r="FM57" s="1"/>
      <c r="FN57" s="1415"/>
      <c r="FR57" s="1593"/>
      <c r="FS57" s="1"/>
      <c r="FT57" s="1415"/>
      <c r="FX57" s="1593"/>
      <c r="FY57" s="1"/>
      <c r="FZ57" s="1415"/>
      <c r="GD57" s="1593"/>
      <c r="GE57" s="1"/>
      <c r="GG57" s="1415"/>
      <c r="GJ57" s="1593"/>
      <c r="GK57" s="1"/>
      <c r="GM57" s="1415"/>
      <c r="GO57" s="1415"/>
      <c r="GP57" s="1593"/>
      <c r="GQ57" s="1"/>
      <c r="GS57" s="1415"/>
      <c r="GT57" s="1415"/>
    </row>
    <row r="58" spans="1:209" ht="15" hidden="1" outlineLevel="2" x14ac:dyDescent="0.2">
      <c r="A58" s="2824">
        <f>IF(E57=0,0,A59/G59)</f>
        <v>0</v>
      </c>
      <c r="B58" s="156" t="str">
        <f>B54</f>
        <v>Xeon E5-2637v4 4 core (1 chip) 3500 MHz</v>
      </c>
      <c r="C58" s="206">
        <f>ROUND(IF(P59&gt;0,2*P59*C59/1000, IF(L59=0,0, IF(I59=Calculator!$H$160, Calculator!$J$160*(1+L58), IF(K59=4, 4*H57*G58/13.4,L58*Calculator!$J$151)))),0)</f>
        <v>0</v>
      </c>
      <c r="D58" s="205">
        <f>F59*L58</f>
        <v>0</v>
      </c>
      <c r="E58" s="70" t="str">
        <f>IF(I59=J179,F59*VLOOKUP(B58,HWRange,8,FALSE),"Virtual Server")</f>
        <v>Virtual Server</v>
      </c>
      <c r="F58" s="71">
        <f>IF(I59=$J$163,VLOOKUP(B58,HWRange,7,FALSE),IF(I58&gt;VLOOKUP(B58,HWRange,3,FALSE),VLOOKUP(B58,HWRange,7,FALSE)*VLOOKUP(B58,HWRange,3,FALSE)/I58,VLOOKUP(B58,HWRange,7,FALSE)))</f>
        <v>60</v>
      </c>
      <c r="G58" s="157">
        <f>IF(I59=$J$163,VLOOKUP(B58,HWRange,6,FALSE),VLOOKUP(B58,HWRange,6,FALSE)*I58/VLOOKUP(B58,HWRange,3,FALSE))</f>
        <v>240</v>
      </c>
      <c r="H58" s="161" t="s">
        <v>365</v>
      </c>
      <c r="I58" s="1247">
        <v>2</v>
      </c>
      <c r="J58" s="1881"/>
      <c r="K58" s="2768" t="str">
        <f>A174</f>
        <v>Tier10</v>
      </c>
      <c r="L58" s="491">
        <f>IF(I59=$J$163,VLOOKUP(B58,HWRange,3,FALSE),I58)</f>
        <v>4</v>
      </c>
      <c r="M58" s="466" t="str">
        <f>IF(ISERROR(VLOOKUP($K58,$J$5:$J$15,1,FALSE)),IF(ISERROR(VLOOKUP($K58,$J$5:$J$15,1,FALSE)),"","/"&amp;$J$4),"/"&amp;$J$4)</f>
        <v/>
      </c>
      <c r="N58" s="467" t="str">
        <f>IF(ISERROR(VLOOKUP($K58,$K$5:$K$15,1,FALSE)),"","/"&amp;$K$4)</f>
        <v/>
      </c>
      <c r="O58" s="468">
        <f>IF(AND(O57="",M59=""),0,D58)</f>
        <v>0</v>
      </c>
      <c r="P58" s="1596" t="str">
        <f>IF(NOT(M58=""),Calculator!$A$158,IF(NOT(N58=""),Calculator!$B$158,IF(NOT(O57=""), Calculator!$C$158,Calculator!$G$158)))</f>
        <v>WindowsLinuxSolarisAIXHPUX</v>
      </c>
      <c r="Q58" s="1246" t="str">
        <f>VLOOKUP(B58,HWRange,2,FALSE)</f>
        <v>Xeon E5-2637v4</v>
      </c>
      <c r="R58" s="1187">
        <f>F59*VLOOKUP(B58,HWRange,8,FALSE)</f>
        <v>0</v>
      </c>
      <c r="S58" s="3070">
        <f>IF(OR(LEFT(B58,3)="AMI",LEFT(B58,3)="AZI"),LEFT(B58,3),0)</f>
        <v>0</v>
      </c>
      <c r="T58" s="1623" t="s">
        <v>366</v>
      </c>
      <c r="U58" s="1599" t="s">
        <v>307</v>
      </c>
      <c r="V58" s="822">
        <f t="shared" ref="V58:AD58" si="42">IF(V59=0,0,IF($A58&lt;0.5,$A58,"+"))</f>
        <v>0</v>
      </c>
      <c r="W58" s="2063">
        <f>IF(AND($N59="/"&amp;$Q$4,$H60=I$187,$H59=0),W$163,IF(W59=0,0,IF($A58&lt;0.5,$A58,"+")))</f>
        <v>0</v>
      </c>
      <c r="X58" s="318">
        <f t="shared" si="42"/>
        <v>0</v>
      </c>
      <c r="Y58" s="318">
        <f t="shared" si="42"/>
        <v>0</v>
      </c>
      <c r="Z58" s="318">
        <f t="shared" si="42"/>
        <v>0</v>
      </c>
      <c r="AA58" s="318">
        <f t="shared" si="42"/>
        <v>0</v>
      </c>
      <c r="AB58" s="318">
        <f t="shared" si="42"/>
        <v>0</v>
      </c>
      <c r="AC58" s="318">
        <f t="shared" si="42"/>
        <v>0</v>
      </c>
      <c r="AD58" s="823">
        <f t="shared" si="42"/>
        <v>0</v>
      </c>
      <c r="AE58" s="1185">
        <f>D58</f>
        <v>0</v>
      </c>
      <c r="AF58" s="2998">
        <f>AF$19</f>
        <v>24</v>
      </c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X58" s="1601"/>
      <c r="AY58" s="1601"/>
      <c r="BC58" s="1602"/>
      <c r="BF58" s="1592"/>
      <c r="BG58" s="1601"/>
      <c r="BH58" s="1601"/>
      <c r="BI58" s="1601"/>
      <c r="BJ58" s="1601"/>
      <c r="BK58" s="1601"/>
      <c r="BL58" s="1601"/>
      <c r="BM58" s="1601"/>
      <c r="BN58" s="1601"/>
      <c r="BO58" s="1601"/>
      <c r="BP58" s="885">
        <f>IF(A58&gt;0,1,0)</f>
        <v>0</v>
      </c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1691">
        <f t="shared" si="41"/>
        <v>0</v>
      </c>
      <c r="CH58" s="1590" t="str">
        <f t="shared" si="41"/>
        <v>Xeon E5-2637v4 4 core (1 chip) 3500 MHz</v>
      </c>
      <c r="CI58" s="1180">
        <f>F58</f>
        <v>60</v>
      </c>
      <c r="CJ58" s="1180">
        <f>G58</f>
        <v>240</v>
      </c>
      <c r="CK58" s="2723"/>
      <c r="CL58" s="1592"/>
      <c r="CM58" s="1594"/>
      <c r="CN58" s="1592"/>
      <c r="CQ58" s="1592"/>
      <c r="CR58" s="1594"/>
      <c r="CU58" s="1592"/>
      <c r="DA58" s="1592"/>
      <c r="DB58" s="1594"/>
      <c r="DE58" s="1592"/>
      <c r="DF58" s="1594"/>
      <c r="DI58" s="1592"/>
      <c r="DJ58" s="1602"/>
      <c r="DK58" s="1602"/>
      <c r="DL58" s="1592"/>
      <c r="DM58" s="1602"/>
      <c r="DN58" s="1594"/>
      <c r="DO58" s="1594"/>
      <c r="DP58" s="394"/>
      <c r="DQ58" s="1602"/>
      <c r="DR58" s="1594"/>
      <c r="DS58" s="1594"/>
      <c r="DT58" s="1415"/>
      <c r="DW58" s="1602"/>
      <c r="DX58" s="1594"/>
      <c r="DY58" s="1415"/>
      <c r="EC58" s="1602"/>
      <c r="ED58" s="1415"/>
      <c r="EH58" s="1594"/>
      <c r="EI58" s="1602"/>
      <c r="EJ58" s="1415"/>
      <c r="EN58" s="1594"/>
      <c r="EO58" s="1602"/>
      <c r="EP58" s="1415"/>
      <c r="ET58" s="1594"/>
      <c r="EU58" s="1602"/>
      <c r="EV58" s="1415"/>
      <c r="EZ58" s="1594"/>
      <c r="FA58" s="1602"/>
      <c r="FB58" s="1415"/>
      <c r="FF58" s="1594"/>
      <c r="FG58" s="1602"/>
      <c r="FH58" s="1415"/>
      <c r="FL58" s="1594"/>
      <c r="FM58" s="1602"/>
      <c r="FN58" s="1415"/>
      <c r="FR58" s="1594"/>
      <c r="FS58" s="1602"/>
      <c r="FT58" s="1415"/>
      <c r="FX58" s="1594"/>
      <c r="FY58" s="1602"/>
      <c r="FZ58" s="1415"/>
      <c r="GD58" s="1594"/>
      <c r="GE58" s="1602"/>
      <c r="GG58" s="1415"/>
      <c r="GJ58" s="1594"/>
      <c r="GK58" s="1602"/>
      <c r="GM58" s="1415"/>
      <c r="GO58" s="1415"/>
      <c r="GP58" s="1594"/>
      <c r="GQ58" s="1602"/>
      <c r="GS58" s="1415"/>
      <c r="GT58" s="1415"/>
    </row>
    <row r="59" spans="1:209" ht="14" hidden="1" outlineLevel="2" thickBot="1" x14ac:dyDescent="0.2">
      <c r="A59" s="2825">
        <f>IF(E57=0,0,FP$18)</f>
        <v>0</v>
      </c>
      <c r="B59" s="3083" t="str">
        <f>"Install ("&amp;C60&amp;M57&amp;N57&amp;O57&amp;M58&amp;N58&amp;M59&amp;N59&amp;")"</f>
        <v>Install (Physical)</v>
      </c>
      <c r="C59" s="258">
        <f>IF(E57=0,0, IF(I59=Calculator!$H$160,1,E59/O59)*H57)</f>
        <v>0</v>
      </c>
      <c r="D59" s="140">
        <f>IF(J59=$H$188,J60,0)+IF(E57=0,0,J57*E57)*($BO$2/F58)</f>
        <v>0</v>
      </c>
      <c r="E59" s="141">
        <f>IF(E57=0,0,L58*60/D59)</f>
        <v>0</v>
      </c>
      <c r="F59" s="142">
        <f>IF(L59=0,0,IF(H59,H59,IF(I59=Calculator!$H$160,A57,IF(N59="/DBMS",1,IF(H60=$I$187,IF(N58="",IF(L59=1,2,L59),L59+1),L59)))))</f>
        <v>0</v>
      </c>
      <c r="G59" s="158">
        <f>IF(E57=0,0,IF(F59&gt;0,+E59*F59,"Nodes?"))</f>
        <v>0</v>
      </c>
      <c r="H59" s="143"/>
      <c r="I59" s="1248" t="s">
        <v>408</v>
      </c>
      <c r="J59" s="3227" t="str">
        <f>J55</f>
        <v xml:space="preserve">Siloed </v>
      </c>
      <c r="K59" s="1604">
        <f>IF(AND(N59="",N58=""),2,4)</f>
        <v>2</v>
      </c>
      <c r="L59" s="1605">
        <f>IF(H59,H59,IF(E57=0,0,IF(A59&gt;0,+INT(A59/(E59*H57))+1,0)))</f>
        <v>0</v>
      </c>
      <c r="M59" s="469" t="str">
        <f>IF(ISERROR(VLOOKUP($K58,$O$5:$O$15,1,FALSE)),IF(ISERROR(VLOOKUP($K58,$O$5:$O$15,1,FALSE)),"","/"&amp;$O$4),"/"&amp;$O$4)</f>
        <v/>
      </c>
      <c r="N59" s="470" t="str">
        <f>IF(ISERROR(VLOOKUP($K58,$Q$5:$Q$15,1,FALSE)),IF(ISERROR(VLOOKUP($K58,$Q$5:$Q$15,1,FALSE)),"","/"&amp;$Q$4),"/"&amp;$Q$4)</f>
        <v/>
      </c>
      <c r="O59" s="471">
        <f>IF($FO$18&gt;0,$FP$18/$FO$18,0)</f>
        <v>0</v>
      </c>
      <c r="P59" s="886"/>
      <c r="Q59" s="1714">
        <f>D58/VLOOKUP(B58,HWRange,3,FALSE)</f>
        <v>0</v>
      </c>
      <c r="R59" s="1877">
        <f>P174</f>
        <v>0</v>
      </c>
      <c r="S59" s="1982">
        <f>IF(E57=0,0,H57*A57/A58)</f>
        <v>0</v>
      </c>
      <c r="T59" s="135">
        <v>10000</v>
      </c>
      <c r="U59" s="1608">
        <f>IF(E57=0,0,IF(U60=$I$188,U57,ET$18/F59))</f>
        <v>0</v>
      </c>
      <c r="V59" s="1826">
        <f>IF(G59&gt;0,1,0)</f>
        <v>0</v>
      </c>
      <c r="W59" s="1827">
        <f t="shared" ref="W59:AC59" si="43">IF(V59&gt;0,IF($F59&gt;V59,V59+1,0),0)</f>
        <v>0</v>
      </c>
      <c r="X59" s="1827">
        <f t="shared" si="43"/>
        <v>0</v>
      </c>
      <c r="Y59" s="1827">
        <f t="shared" si="43"/>
        <v>0</v>
      </c>
      <c r="Z59" s="1827">
        <f t="shared" si="43"/>
        <v>0</v>
      </c>
      <c r="AA59" s="1827">
        <f t="shared" si="43"/>
        <v>0</v>
      </c>
      <c r="AB59" s="1827">
        <f t="shared" si="43"/>
        <v>0</v>
      </c>
      <c r="AC59" s="1827">
        <f t="shared" si="43"/>
        <v>0</v>
      </c>
      <c r="AD59" s="1828">
        <f>IF(AC59&gt;0,IF($F59&gt;AC59,"…"&amp;$F59,0),0)</f>
        <v>0</v>
      </c>
      <c r="AE59" s="1829">
        <f>A58</f>
        <v>0</v>
      </c>
      <c r="AF59" s="2978">
        <f>IF(AF58="","",IF(H59=0,0,H59/AF58+IF(H60=$I$187,1,0)))</f>
        <v>0</v>
      </c>
      <c r="AG59" s="1591"/>
      <c r="AH59" s="1591"/>
      <c r="AI59" s="1591"/>
      <c r="AJ59" s="1591"/>
      <c r="AK59" s="1591"/>
      <c r="AL59" s="1591"/>
      <c r="AM59" s="1591"/>
      <c r="AN59" s="1591"/>
      <c r="AO59" s="1591"/>
      <c r="AP59" s="1591"/>
      <c r="AQ59" s="1591"/>
      <c r="AR59" s="1591"/>
      <c r="AS59" s="1591"/>
      <c r="AT59" s="1591"/>
      <c r="AU59" s="1591"/>
      <c r="AV59" s="1591"/>
      <c r="BC59" s="1602"/>
      <c r="BF59" s="1592"/>
      <c r="BG59" s="1601"/>
      <c r="BH59" s="1601"/>
      <c r="BI59" s="1601"/>
      <c r="BJ59" s="1601"/>
      <c r="BK59" s="1601"/>
      <c r="BL59" s="1601"/>
      <c r="BM59" s="1601"/>
      <c r="BN59" s="1601"/>
      <c r="BO59" s="1601"/>
      <c r="BP59" s="1606"/>
      <c r="BQ59" s="890"/>
      <c r="BR59" s="890"/>
      <c r="BS59" s="890"/>
      <c r="BT59" s="890"/>
      <c r="BU59" s="890"/>
      <c r="BV59" s="890"/>
      <c r="BW59" s="890"/>
      <c r="BX59" s="890"/>
      <c r="BY59" s="890"/>
      <c r="BZ59" s="890"/>
      <c r="CA59" s="890"/>
      <c r="CB59" s="890"/>
      <c r="CC59" s="890"/>
      <c r="CD59" s="890"/>
      <c r="CE59" s="890"/>
      <c r="CF59" s="1606"/>
      <c r="CG59" s="1692">
        <f t="shared" si="41"/>
        <v>0</v>
      </c>
      <c r="CH59" s="1693" t="str">
        <f t="shared" si="41"/>
        <v>Install (Physical)</v>
      </c>
      <c r="CI59" s="1181">
        <f>F59</f>
        <v>0</v>
      </c>
      <c r="CJ59" s="2719">
        <f>D58</f>
        <v>0</v>
      </c>
      <c r="CK59" s="2724">
        <f>T59</f>
        <v>10000</v>
      </c>
      <c r="CL59" s="1592"/>
      <c r="CM59" s="1594"/>
      <c r="CN59" s="1592"/>
      <c r="CQ59" s="1592"/>
      <c r="CR59" s="1594"/>
      <c r="CU59" s="1592"/>
      <c r="DA59" s="1592"/>
      <c r="DB59" s="1594"/>
      <c r="DE59" s="1592"/>
      <c r="DF59" s="1594"/>
      <c r="DI59" s="1592"/>
      <c r="DJ59" s="1602"/>
      <c r="DK59" s="1602"/>
      <c r="DL59" s="1592"/>
      <c r="DM59" s="1602"/>
      <c r="DN59" s="1594"/>
      <c r="DO59" s="1594"/>
      <c r="DP59" s="394"/>
      <c r="DQ59" s="1602"/>
      <c r="DR59" s="1597"/>
      <c r="DS59" s="1597"/>
      <c r="DT59" s="1415"/>
      <c r="DW59" s="1602"/>
      <c r="DX59" s="1597"/>
      <c r="DY59" s="1415"/>
      <c r="EC59" s="1602"/>
      <c r="ED59" s="1415"/>
      <c r="EH59" s="1597"/>
      <c r="EI59" s="1602"/>
      <c r="EJ59" s="1415"/>
      <c r="EN59" s="1597"/>
      <c r="EO59" s="1602"/>
      <c r="EP59" s="1415"/>
      <c r="ET59" s="1597"/>
      <c r="EU59" s="1602"/>
      <c r="EV59" s="1415"/>
      <c r="EZ59" s="1597"/>
      <c r="FA59" s="1602"/>
      <c r="FB59" s="1415"/>
      <c r="FF59" s="1597"/>
      <c r="FG59" s="1602"/>
      <c r="FH59" s="1415"/>
      <c r="FL59" s="1597"/>
      <c r="FM59" s="1602"/>
      <c r="FN59" s="1415"/>
      <c r="FR59" s="1597"/>
      <c r="FS59" s="1602"/>
      <c r="FT59" s="1415"/>
      <c r="FX59" s="1597"/>
      <c r="FY59" s="1602"/>
      <c r="FZ59" s="1415"/>
      <c r="GD59" s="1597"/>
      <c r="GE59" s="1602"/>
      <c r="GG59" s="1415"/>
      <c r="GJ59" s="1597"/>
      <c r="GK59" s="1602"/>
      <c r="GM59" s="1415"/>
      <c r="GO59" s="1415"/>
      <c r="GP59" s="1597"/>
      <c r="GQ59" s="1602"/>
      <c r="GS59" s="1415"/>
      <c r="GT59" s="1415"/>
    </row>
    <row r="60" spans="1:209" ht="15" hidden="1" outlineLevel="1" collapsed="1" x14ac:dyDescent="0.15">
      <c r="A60" s="916">
        <f>IF(A59=0,0,ROUND(100*A58,0)&amp;"% CPU")</f>
        <v>0</v>
      </c>
      <c r="B60" s="917">
        <f>IF(A59&gt;0,IF(I59=$J$163,K58&amp;": "&amp;F59&amp;"x "&amp;B58&amp;" "&amp;C58&amp;" GB RAM",$K58&amp;": "&amp;$F59&amp;"x VM ("&amp;I58&amp;" core "&amp;C58&amp;" GB RAM) "&amp;Q58&amp;" "&amp;L57&amp;" MHz"),0)</f>
        <v>0</v>
      </c>
      <c r="C60" s="1609" t="str">
        <f>IF(I59=$H$185,I59,I57)</f>
        <v>Physical</v>
      </c>
      <c r="D60" s="918">
        <f>A57</f>
        <v>0</v>
      </c>
      <c r="E60" s="919">
        <f>IF(E59&gt;0,ROUND(E59*60/1000,0)&amp;"K TPH",0)</f>
        <v>0</v>
      </c>
      <c r="F60" s="920">
        <f>+L59</f>
        <v>0</v>
      </c>
      <c r="G60" s="919">
        <f>IF(G59&gt;0,ROUND(G59*60/1000,0)&amp;"K TPH",0)</f>
        <v>0</v>
      </c>
      <c r="H60" s="921" t="str">
        <f>H$19</f>
        <v>Minimum</v>
      </c>
      <c r="I60" s="1736">
        <f>IF(I59=$J$163,0,I57)</f>
        <v>0</v>
      </c>
      <c r="J60" s="2086">
        <f>IF(AND(O57="/"&amp;$N$4,J59=$H$188),IF(F59&gt;0,(F59-1)*A59/(60*$H$190),0),0)</f>
        <v>0</v>
      </c>
      <c r="K60" s="2086">
        <f>IF(E57&gt;0,D59/E57,0)</f>
        <v>0</v>
      </c>
      <c r="L60" s="2080">
        <f>IF($W58=$W$163,2,F59)</f>
        <v>0</v>
      </c>
      <c r="M60" s="3134">
        <f>IF(AND(S60&gt;0,I59=$H$185),1,0)</f>
        <v>0</v>
      </c>
      <c r="N60" s="1618"/>
      <c r="O60" s="1618"/>
      <c r="P60" s="922"/>
      <c r="Q60" s="1737">
        <f>IF($A63&lt;0.9999, $A63/((1+$CJ$2*$A63*($L63-1))*(1-$A63)),200)</f>
        <v>0.93430959568876737</v>
      </c>
      <c r="R60" s="1618"/>
      <c r="S60" s="3118">
        <f>IF(LEFT(B58,3)=S58,VLOOKUP(B58,HWRange,10,FALSE),0)</f>
        <v>0</v>
      </c>
      <c r="T60" s="940" t="str">
        <f>U60</f>
        <v>Client</v>
      </c>
      <c r="U60" s="1595" t="s">
        <v>303</v>
      </c>
      <c r="V60" s="1918">
        <f>IF(A58&gt;0,B60&amp;" "&amp;C60&amp;IF(B60="",""," GB RAM"),0)</f>
        <v>0</v>
      </c>
      <c r="W60" s="1819"/>
      <c r="X60" s="1819"/>
      <c r="Y60" s="1819"/>
      <c r="Z60" s="1819"/>
      <c r="AA60" s="1819"/>
      <c r="AB60" s="1819"/>
      <c r="AC60" s="1819"/>
      <c r="AD60" s="1819"/>
      <c r="AE60" s="1919">
        <f>IF(A58&gt;0,F58,0)</f>
        <v>0</v>
      </c>
      <c r="AF60" s="2876">
        <f>IF(A57=0,0,IF(LEFT(B58,3)=S58,VLOOKUP(B58,HWRange,12,FALSE),0)*F59)</f>
        <v>0</v>
      </c>
      <c r="AG60" s="2877" t="str">
        <f>IF(AF60&gt;0,S58&amp;" 3-yr Pricing","")</f>
        <v/>
      </c>
      <c r="AH60" s="2878"/>
      <c r="AI60" s="1591"/>
      <c r="AJ60" s="1591"/>
      <c r="AK60" s="1591"/>
      <c r="AL60" s="1591"/>
      <c r="AM60" s="1591"/>
      <c r="AN60" s="1591"/>
      <c r="AO60" s="1591"/>
      <c r="AP60" s="1591"/>
      <c r="AQ60" s="1591"/>
      <c r="AR60" s="1591"/>
      <c r="AS60" s="1591"/>
      <c r="AT60" s="1591"/>
      <c r="AU60" s="1591"/>
      <c r="AV60" s="1591"/>
      <c r="AX60" s="1601"/>
      <c r="AY60" s="1601"/>
      <c r="BB60" s="1415">
        <f>BC59</f>
        <v>0</v>
      </c>
      <c r="BC60" s="1614"/>
      <c r="BF60" s="1592"/>
      <c r="BG60" s="1893"/>
      <c r="BH60" s="1601"/>
      <c r="BI60" s="1601"/>
      <c r="BJ60" s="1601"/>
      <c r="BK60" s="1601"/>
      <c r="BL60" s="1601"/>
      <c r="BM60" s="1601"/>
      <c r="BN60" s="1601"/>
      <c r="BO60" s="1601"/>
      <c r="BP60" s="1619"/>
      <c r="BQ60" s="923"/>
      <c r="BR60" s="923"/>
      <c r="BS60" s="923"/>
      <c r="BT60" s="923"/>
      <c r="BU60" s="923"/>
      <c r="BV60" s="923"/>
      <c r="BW60" s="923"/>
      <c r="BX60" s="923"/>
      <c r="BY60" s="923"/>
      <c r="BZ60" s="923"/>
      <c r="CA60" s="923"/>
      <c r="CB60" s="923"/>
      <c r="CC60" s="923"/>
      <c r="CD60" s="923"/>
      <c r="CE60" s="923"/>
      <c r="CF60" s="1619"/>
      <c r="CG60" s="3403">
        <f>B60</f>
        <v>0</v>
      </c>
      <c r="CH60" s="3404"/>
      <c r="CI60" s="3404"/>
      <c r="CJ60" s="3404"/>
      <c r="CK60" s="2723"/>
      <c r="CL60" s="1592"/>
      <c r="CM60" s="1594"/>
      <c r="CN60" s="1592"/>
      <c r="CQ60" s="1592"/>
      <c r="CR60" s="1594"/>
      <c r="CU60" s="1592"/>
      <c r="DA60" s="1592"/>
      <c r="DB60" s="1594"/>
      <c r="DE60" s="1592"/>
      <c r="DF60" s="1594"/>
      <c r="DI60" s="1592"/>
      <c r="DJ60" s="1614"/>
      <c r="DK60" s="1614"/>
      <c r="DL60" s="1592"/>
      <c r="DM60" s="1614"/>
      <c r="DN60" s="1594"/>
      <c r="DO60" s="1594"/>
      <c r="DP60" s="394"/>
      <c r="DQ60" s="1614"/>
      <c r="DR60" s="1597"/>
      <c r="DS60" s="1597"/>
      <c r="DT60" s="1415"/>
      <c r="DW60" s="1614"/>
      <c r="DX60" s="1597"/>
      <c r="DY60" s="1415"/>
      <c r="EC60" s="1614"/>
      <c r="ED60" s="1415"/>
      <c r="EH60" s="1597"/>
      <c r="EI60" s="1614"/>
      <c r="EJ60" s="1415"/>
      <c r="EN60" s="1597"/>
      <c r="EO60" s="1614"/>
      <c r="EP60" s="1415"/>
      <c r="ET60" s="1597"/>
      <c r="EU60" s="1614"/>
      <c r="EV60" s="1415"/>
      <c r="EZ60" s="1597"/>
      <c r="FA60" s="1614"/>
      <c r="FB60" s="1415"/>
      <c r="FF60" s="1597"/>
      <c r="FG60" s="1614"/>
      <c r="FH60" s="1415"/>
      <c r="FL60" s="1597"/>
      <c r="FM60" s="1614"/>
      <c r="FN60" s="1415"/>
      <c r="FR60" s="1597"/>
      <c r="FS60" s="1614"/>
      <c r="FT60" s="1415"/>
      <c r="FX60" s="1597"/>
      <c r="FY60" s="1614"/>
      <c r="FZ60" s="1415"/>
      <c r="GD60" s="1597"/>
      <c r="GE60" s="1614"/>
      <c r="GG60" s="1415"/>
      <c r="GJ60" s="1597"/>
      <c r="GK60" s="1614"/>
      <c r="GM60" s="1415"/>
      <c r="GO60" s="1415"/>
      <c r="GP60" s="1597"/>
      <c r="GQ60" s="1614"/>
      <c r="GS60" s="1415"/>
      <c r="GT60" s="1415"/>
    </row>
    <row r="61" spans="1:209" s="390" customFormat="1" collapsed="1" x14ac:dyDescent="0.15">
      <c r="A61" s="2805" t="s">
        <v>1461</v>
      </c>
      <c r="B61" s="2814"/>
      <c r="C61" s="2684"/>
      <c r="D61" s="2684"/>
      <c r="E61" s="2684"/>
      <c r="F61" s="2684"/>
      <c r="G61" s="2684"/>
      <c r="H61" s="2685"/>
      <c r="I61" s="2686"/>
      <c r="J61" s="2684"/>
      <c r="K61" s="2684"/>
      <c r="L61" s="2687"/>
      <c r="M61" s="2687"/>
      <c r="N61" s="2687"/>
      <c r="O61" s="2687"/>
      <c r="P61" s="2687"/>
      <c r="Q61" s="2687"/>
      <c r="R61" s="2688"/>
      <c r="S61" s="2689"/>
      <c r="T61" s="2688"/>
      <c r="U61" s="2688"/>
      <c r="V61" s="2688"/>
      <c r="W61" s="2688"/>
      <c r="X61" s="2688"/>
      <c r="Y61" s="2688"/>
      <c r="Z61" s="2688"/>
      <c r="AA61" s="2688"/>
      <c r="AB61" s="2688"/>
      <c r="AC61" s="2688"/>
      <c r="AD61" s="2687"/>
      <c r="AE61" s="2687"/>
      <c r="AF61" s="2855"/>
      <c r="AG61" s="392"/>
      <c r="AH61" s="392"/>
      <c r="AI61" s="392"/>
      <c r="AJ61" s="392"/>
      <c r="AK61" s="392"/>
      <c r="AL61" s="392"/>
      <c r="AM61" s="392"/>
      <c r="AN61" s="392"/>
      <c r="AO61" s="392"/>
      <c r="AP61" s="392"/>
      <c r="AQ61" s="392"/>
      <c r="AR61" s="392"/>
      <c r="AS61" s="392"/>
      <c r="AT61" s="392"/>
      <c r="AU61" s="392"/>
      <c r="AV61" s="392"/>
      <c r="AW61" s="392"/>
      <c r="AX61" s="392"/>
      <c r="AY61" s="392"/>
      <c r="AZ61" s="392"/>
      <c r="BA61" s="392"/>
      <c r="BB61" s="392"/>
      <c r="BC61" s="392"/>
      <c r="BD61" s="392"/>
      <c r="BG61" s="393"/>
      <c r="BH61" s="393"/>
      <c r="BI61" s="393"/>
      <c r="BJ61" s="393"/>
      <c r="BK61" s="393"/>
      <c r="BL61" s="393"/>
      <c r="BM61" s="393"/>
      <c r="BN61" s="393"/>
      <c r="BO61" s="394"/>
      <c r="BP61" s="394"/>
      <c r="BQ61" s="394"/>
      <c r="BR61" s="394"/>
      <c r="BS61" s="394"/>
      <c r="BT61" s="394"/>
      <c r="BU61" s="392"/>
      <c r="BV61" s="392"/>
      <c r="BW61" s="392"/>
      <c r="BX61" s="392"/>
      <c r="BY61" s="392"/>
      <c r="BZ61" s="392"/>
      <c r="CA61" s="392"/>
      <c r="CB61" s="392"/>
      <c r="CC61" s="392"/>
      <c r="CD61" s="392"/>
      <c r="CE61" s="392"/>
      <c r="CK61" s="2725"/>
      <c r="DI61" s="392"/>
      <c r="DJ61" s="392"/>
      <c r="DK61" s="392"/>
      <c r="DL61" s="392"/>
      <c r="DM61" s="392"/>
      <c r="DN61" s="392"/>
      <c r="DO61" s="392"/>
      <c r="DQ61" s="392"/>
      <c r="DS61" s="394"/>
      <c r="DT61" s="394"/>
      <c r="DW61" s="392"/>
      <c r="DX61" s="394"/>
      <c r="DY61" s="394"/>
      <c r="EC61" s="392"/>
      <c r="ED61" s="394"/>
      <c r="EH61" s="394"/>
      <c r="EI61" s="392"/>
      <c r="EJ61" s="394"/>
      <c r="EN61" s="394"/>
      <c r="EO61" s="392"/>
      <c r="EP61" s="394"/>
      <c r="ET61" s="394"/>
      <c r="EU61" s="392"/>
      <c r="EV61" s="394"/>
      <c r="EZ61" s="394"/>
      <c r="FA61" s="392"/>
      <c r="FB61" s="394"/>
      <c r="FF61" s="394"/>
      <c r="FG61" s="392"/>
      <c r="FH61" s="394"/>
      <c r="FL61" s="394"/>
      <c r="FM61" s="392"/>
      <c r="FN61" s="394"/>
      <c r="FR61" s="394"/>
      <c r="FS61" s="392"/>
      <c r="FT61" s="394"/>
      <c r="FX61" s="394"/>
      <c r="FY61" s="392"/>
      <c r="FZ61" s="394"/>
      <c r="GD61" s="394"/>
      <c r="GE61" s="392"/>
      <c r="GF61" s="392"/>
      <c r="GG61" s="394"/>
      <c r="GJ61" s="394"/>
      <c r="GK61" s="392"/>
      <c r="GL61" s="392"/>
      <c r="GM61" s="394"/>
      <c r="GO61" s="394"/>
      <c r="GP61" s="394"/>
      <c r="GQ61" s="392"/>
      <c r="GR61" s="392"/>
      <c r="GS61" s="394"/>
      <c r="GT61" s="394"/>
      <c r="HA61" s="1415"/>
    </row>
    <row r="62" spans="1:209" ht="17" outlineLevel="2" thickBot="1" x14ac:dyDescent="0.25">
      <c r="A62" s="2823">
        <f>IF(O64&gt;0,A64/O64,0)</f>
        <v>63</v>
      </c>
      <c r="B62" s="552" t="s">
        <v>1472</v>
      </c>
      <c r="C62" s="2821" t="str">
        <f>VLOOKUP(B63,Hardware!$A$2:$I$632,9,FALSE)</f>
        <v>Intel</v>
      </c>
      <c r="D62" s="137" t="str">
        <f>D57</f>
        <v>Arc18=</v>
      </c>
      <c r="E62" s="138">
        <f>IF(FU$18=0,0,IF(FY$18&gt;0,FY$18/FV$18))</f>
        <v>0.27028518173345761</v>
      </c>
      <c r="F62" s="139" t="s">
        <v>328</v>
      </c>
      <c r="G62" s="1585"/>
      <c r="H62" s="1586">
        <v>0.8</v>
      </c>
      <c r="I62" s="1739" t="s">
        <v>1490</v>
      </c>
      <c r="J62" s="207">
        <f>IF(K62&gt;0,K62,IF(I64=Calculator!$H$158,1, IF(OR(R62=Calculator!$H$162,R62=Calculator!$H$163), VLOOKUP(I64,VAdjust,2,FALSE),1)))</f>
        <v>1</v>
      </c>
      <c r="K62" s="2456"/>
      <c r="L62" s="722">
        <f>VLOOKUP(B63,HWRange,5,FALSE)</f>
        <v>3600</v>
      </c>
      <c r="M62" s="464" t="str">
        <f>IF(ISERROR(VLOOKUP($K63,$L$5:$L$15,1,FALSE)),"","/"&amp;$L$4)</f>
        <v/>
      </c>
      <c r="N62" s="257" t="str">
        <f>IF(ISERROR(VLOOKUP($K63,$M$5:$M$15,1,FALSE)),IF(ISERROR(VLOOKUP($K63,$M$5:$M$15,1,FALSE)),"","/"&amp;$M$4),"/"&amp;$M$4)</f>
        <v/>
      </c>
      <c r="O62" s="465" t="str">
        <f>IF(ISERROR(VLOOKUP($K63,$N$5:$N$15,1,FALSE)),IF(ISERROR(VLOOKUP($K63,$N$5:$N$15,1,FALSE)),"","/"&amp;$N$4),"/"&amp;$N$4)</f>
        <v/>
      </c>
      <c r="P62" s="1587">
        <f>IF(A63=0,0,IF(P64&gt;0,1000*C63/C64,1000*C63/C64))/2</f>
        <v>500.32628846866896</v>
      </c>
      <c r="Q62" s="1734">
        <f>IF(I64=$J$163,0,VLOOKUP(I62,HostArray,2,FALSE))</f>
        <v>0</v>
      </c>
      <c r="R62" s="1588" t="s">
        <v>412</v>
      </c>
      <c r="S62" s="3071" t="str">
        <f>IF(S63=LEFT(B63,3),_xlfn.NUMBERVALUE(MID(B63,FIND("(",B63,1)+1,FIND(")",B63,1)-FIND("(",B63,1)-3)),"")</f>
        <v/>
      </c>
      <c r="T62" s="135">
        <v>10000</v>
      </c>
      <c r="U62" s="1616">
        <f>IF(E62&gt;0,IF(AND(M64="",N64=""),ES$18/F64,ET$18/F64),0)</f>
        <v>0</v>
      </c>
      <c r="V62" s="1822">
        <f>IF(V64&gt;0,IF($A63&gt;0.5,$A63,""),0)</f>
        <v>0.75272969966629599</v>
      </c>
      <c r="W62" s="1823">
        <f>IF(AND($W63=W$163,$H65=I$187),W$164,IF(W64&gt;0,IF($A63&gt;0.5,$A63,""),0))</f>
        <v>0</v>
      </c>
      <c r="X62" s="1823">
        <f t="shared" ref="X62:AD62" si="44">IF(X64&gt;0,IF($A63&gt;0.5,$A63,""),0)</f>
        <v>0</v>
      </c>
      <c r="Y62" s="1823">
        <f t="shared" si="44"/>
        <v>0</v>
      </c>
      <c r="Z62" s="1823">
        <f t="shared" si="44"/>
        <v>0</v>
      </c>
      <c r="AA62" s="1823">
        <f t="shared" si="44"/>
        <v>0</v>
      </c>
      <c r="AB62" s="1823">
        <f t="shared" si="44"/>
        <v>0</v>
      </c>
      <c r="AC62" s="1823">
        <f t="shared" si="44"/>
        <v>0</v>
      </c>
      <c r="AD62" s="1824">
        <f t="shared" si="44"/>
        <v>0</v>
      </c>
      <c r="AE62" s="2851">
        <f>L65</f>
        <v>1</v>
      </c>
      <c r="AF62" s="2977" t="str">
        <f>IF(I64=$H$187,$AF$18,"")</f>
        <v/>
      </c>
      <c r="AG62" s="392"/>
      <c r="AH62" s="1600"/>
      <c r="AI62" s="1600"/>
      <c r="AJ62" s="1600"/>
      <c r="AK62" s="1600"/>
      <c r="AL62" s="1600"/>
      <c r="AM62" s="1600"/>
      <c r="AN62" s="1600"/>
      <c r="AO62" s="1600"/>
      <c r="AP62" s="1600"/>
      <c r="AQ62" s="1600"/>
      <c r="AR62" s="1600"/>
      <c r="AS62" s="1600"/>
      <c r="AT62" s="1600"/>
      <c r="AU62" s="1600"/>
      <c r="AV62" s="1600"/>
      <c r="AX62" s="2"/>
      <c r="AY62" s="2"/>
      <c r="BC62" s="1"/>
      <c r="BF62" s="1592"/>
      <c r="BG62" s="1593"/>
      <c r="BH62" s="1593"/>
      <c r="BI62" s="1593"/>
      <c r="BJ62" s="1593"/>
      <c r="BK62" s="1593"/>
      <c r="BL62" s="1593"/>
      <c r="BM62" s="1593"/>
      <c r="BN62" s="1593"/>
      <c r="BO62" s="1593"/>
      <c r="BP62" s="889"/>
      <c r="BQ62" s="889"/>
      <c r="BR62" s="889"/>
      <c r="BS62" s="889"/>
      <c r="BT62" s="889"/>
      <c r="BU62" s="889"/>
      <c r="BV62" s="1615"/>
      <c r="BW62" s="1615"/>
      <c r="BX62" s="1615"/>
      <c r="BY62" s="1615"/>
      <c r="BZ62" s="1615"/>
      <c r="CA62" s="1615"/>
      <c r="CB62" s="1615"/>
      <c r="CC62" s="1615"/>
      <c r="CD62" s="1615"/>
      <c r="CE62" s="1615"/>
      <c r="CF62" s="1615"/>
      <c r="CG62" s="1689">
        <f t="shared" ref="CG62:CH64" si="45">A62</f>
        <v>63</v>
      </c>
      <c r="CH62" s="1690" t="str">
        <f t="shared" si="45"/>
        <v>WTS: Platform Tier 11</v>
      </c>
      <c r="CI62" s="1179" t="str">
        <f>F62</f>
        <v>SRint2006</v>
      </c>
      <c r="CJ62" s="2718"/>
      <c r="CK62" s="2724">
        <f>T62</f>
        <v>10000</v>
      </c>
      <c r="CL62" s="1592"/>
      <c r="CM62" s="1594"/>
      <c r="CN62" s="1592"/>
      <c r="CQ62" s="1592"/>
      <c r="CR62" s="1594"/>
      <c r="CU62" s="1592"/>
      <c r="DA62" s="1592"/>
      <c r="DB62" s="1594"/>
      <c r="DE62" s="1592"/>
      <c r="DF62" s="1594"/>
      <c r="DI62" s="1592"/>
      <c r="DJ62" s="1"/>
      <c r="DK62" s="1"/>
      <c r="DL62" s="1592"/>
      <c r="DM62" s="1"/>
      <c r="DN62" s="1594"/>
      <c r="DO62" s="1595"/>
      <c r="DP62" s="394"/>
      <c r="DQ62" s="1"/>
      <c r="DR62" s="1593"/>
      <c r="DS62" s="1593"/>
      <c r="DT62" s="1415"/>
      <c r="DW62" s="1"/>
      <c r="DX62" s="1593"/>
      <c r="DY62" s="1415"/>
      <c r="EC62" s="1"/>
      <c r="ED62" s="1415"/>
      <c r="EH62" s="1593"/>
      <c r="EI62" s="1"/>
      <c r="EJ62" s="1415"/>
      <c r="EN62" s="1593"/>
      <c r="EO62" s="1"/>
      <c r="EP62" s="1415"/>
      <c r="ET62" s="1593"/>
      <c r="EU62" s="1"/>
      <c r="EV62" s="1415"/>
      <c r="EZ62" s="1593"/>
      <c r="FA62" s="1"/>
      <c r="FB62" s="1415"/>
      <c r="FF62" s="1593"/>
      <c r="FG62" s="1"/>
      <c r="FH62" s="1415"/>
      <c r="FL62" s="1593"/>
      <c r="FM62" s="1"/>
      <c r="FN62" s="1415"/>
      <c r="FR62" s="1593"/>
      <c r="FS62" s="1"/>
      <c r="FT62" s="1415"/>
      <c r="FX62" s="1593"/>
      <c r="FY62" s="1"/>
      <c r="FZ62" s="1415"/>
      <c r="GD62" s="1593"/>
      <c r="GE62" s="1"/>
      <c r="GG62" s="1415"/>
      <c r="GJ62" s="1593"/>
      <c r="GK62" s="1"/>
      <c r="GM62" s="1415"/>
      <c r="GO62" s="1415"/>
      <c r="GP62" s="1593"/>
      <c r="GQ62" s="1"/>
      <c r="GS62" s="1415"/>
      <c r="GT62" s="1415"/>
    </row>
    <row r="63" spans="1:209" ht="15" outlineLevel="2" x14ac:dyDescent="0.2">
      <c r="A63" s="2824">
        <f>IF(E62=0,0,A64/G64)</f>
        <v>0.75272969966629599</v>
      </c>
      <c r="B63" s="156" t="s">
        <v>1816</v>
      </c>
      <c r="C63" s="206">
        <f>ROUND(IF(P64&gt;0,2*P64*C64/1000, IF(L64=0,0, IF(I64=Calculator!$H$160, Calculator!$J$160*(1+L63), IF(K64=4, 4*H62*G63/13.4,L63*Calculator!$J$151)))),0)</f>
        <v>67</v>
      </c>
      <c r="D63" s="205">
        <f>F64*L63</f>
        <v>4</v>
      </c>
      <c r="E63" s="70" t="str">
        <f>IF(I64=J183,F64*VLOOKUP(B63,HWRange,8,FALSE),"Virtual Server")</f>
        <v>Virtual Server</v>
      </c>
      <c r="F63" s="71">
        <f>IF(I64=$J$163,VLOOKUP(B63,HWRange,7,FALSE),IF(I63&gt;VLOOKUP(B63,HWRange,3,FALSE),VLOOKUP(B63,HWRange,7,FALSE)*VLOOKUP(B63,HWRange,3,FALSE)/I63,VLOOKUP(B63,HWRange,7,FALSE)))</f>
        <v>69.75</v>
      </c>
      <c r="G63" s="157">
        <f>IF(I64=$J$163,VLOOKUP(B63,HWRange,6,FALSE),VLOOKUP(B63,HWRange,6,FALSE)*I63/VLOOKUP(B63,HWRange,3,FALSE))</f>
        <v>279</v>
      </c>
      <c r="H63" s="161" t="s">
        <v>365</v>
      </c>
      <c r="I63" s="1247">
        <v>2</v>
      </c>
      <c r="J63" s="1881"/>
      <c r="K63" s="756" t="str">
        <f>A175</f>
        <v>WTS</v>
      </c>
      <c r="L63" s="491">
        <f>IF(I64=$J$163,VLOOKUP(B63,HWRange,3,FALSE),I63)</f>
        <v>4</v>
      </c>
      <c r="M63" s="466" t="str">
        <f>IF(ISERROR(VLOOKUP($K63,$J$5:$J$15,1,FALSE)),IF(ISERROR(VLOOKUP($K63,$J$5:$J$15,1,FALSE)),"","/"&amp;$J$4),"/"&amp;$J$4)</f>
        <v/>
      </c>
      <c r="N63" s="467" t="str">
        <f>IF(ISERROR(VLOOKUP($K63,$K$5:$K$15,1,FALSE)),"","/"&amp;$K$4)</f>
        <v>/Citrix</v>
      </c>
      <c r="O63" s="468">
        <f>IF(AND(O62="",M64=""),0,D63)</f>
        <v>0</v>
      </c>
      <c r="P63" s="1596" t="str">
        <f>IF(NOT(M63=""),Calculator!$A$158,IF(NOT(N63=""),Calculator!$B$158,IF(NOT(O62=""), Calculator!$C$158,Calculator!$G$158)))</f>
        <v>WindowTS</v>
      </c>
      <c r="Q63" s="1246" t="str">
        <f>VLOOKUP(B63,HWRange,2,FALSE)</f>
        <v>Xeon Gold 5122</v>
      </c>
      <c r="R63" s="1187">
        <f>F64*VLOOKUP(B63,HWRange,8,FALSE)</f>
        <v>1</v>
      </c>
      <c r="S63" s="3070">
        <f>IF(OR(LEFT(B63,3)="AMI",LEFT(B63,3)="AZI"),LEFT(B63,3),0)</f>
        <v>0</v>
      </c>
      <c r="T63" s="1623" t="s">
        <v>366</v>
      </c>
      <c r="U63" s="1599" t="s">
        <v>307</v>
      </c>
      <c r="V63" s="822" t="str">
        <f t="shared" ref="V63:AD63" si="46">IF(V64=0,0,IF($A63&lt;0.5,$A63,"+"))</f>
        <v>+</v>
      </c>
      <c r="W63" s="2063">
        <f>IF(AND($N64="/"&amp;$Q$4,$H65=I$187,$H64=0),W$163,IF(W64=0,0,IF($A63&lt;0.5,$A63,"+")))</f>
        <v>0</v>
      </c>
      <c r="X63" s="318">
        <f t="shared" si="46"/>
        <v>0</v>
      </c>
      <c r="Y63" s="318">
        <f t="shared" si="46"/>
        <v>0</v>
      </c>
      <c r="Z63" s="318">
        <f t="shared" si="46"/>
        <v>0</v>
      </c>
      <c r="AA63" s="318">
        <f t="shared" si="46"/>
        <v>0</v>
      </c>
      <c r="AB63" s="318">
        <f t="shared" si="46"/>
        <v>0</v>
      </c>
      <c r="AC63" s="318">
        <f t="shared" si="46"/>
        <v>0</v>
      </c>
      <c r="AD63" s="823">
        <f t="shared" si="46"/>
        <v>0</v>
      </c>
      <c r="AE63" s="2852">
        <f>D63</f>
        <v>4</v>
      </c>
      <c r="AF63" s="2998">
        <f>AF$19</f>
        <v>24</v>
      </c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X63" s="1601"/>
      <c r="AY63" s="1601"/>
      <c r="BC63" s="1602"/>
      <c r="BF63" s="1592"/>
      <c r="BG63" s="1601"/>
      <c r="BH63" s="1601"/>
      <c r="BI63" s="1601"/>
      <c r="BJ63" s="1601"/>
      <c r="BK63" s="1601"/>
      <c r="BL63" s="1601"/>
      <c r="BM63" s="1601"/>
      <c r="BN63" s="1601"/>
      <c r="BO63" s="1601"/>
      <c r="BP63" s="885">
        <f>IF(A63&gt;0,1,0)</f>
        <v>1</v>
      </c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1691">
        <f t="shared" si="45"/>
        <v>0.75272969966629599</v>
      </c>
      <c r="CH63" s="1590" t="str">
        <f t="shared" si="45"/>
        <v>Xeon Gold 5122 4 core (1 chip) 3600 MHz</v>
      </c>
      <c r="CI63" s="1180">
        <f>F63</f>
        <v>69.75</v>
      </c>
      <c r="CJ63" s="1180">
        <f>G63</f>
        <v>279</v>
      </c>
      <c r="CK63" s="2723"/>
      <c r="CL63" s="1592"/>
      <c r="CM63" s="1594"/>
      <c r="CN63" s="1592"/>
      <c r="CQ63" s="1592"/>
      <c r="CR63" s="1594"/>
      <c r="CU63" s="1592"/>
      <c r="DA63" s="1592"/>
      <c r="DB63" s="1594"/>
      <c r="DE63" s="1592"/>
      <c r="DF63" s="1594"/>
      <c r="DI63" s="1592"/>
      <c r="DJ63" s="1602"/>
      <c r="DK63" s="1602"/>
      <c r="DL63" s="1592"/>
      <c r="DM63" s="1602"/>
      <c r="DN63" s="1594"/>
      <c r="DO63" s="1594"/>
      <c r="DP63" s="394"/>
      <c r="DQ63" s="1602"/>
      <c r="DR63" s="1594"/>
      <c r="DS63" s="1594"/>
      <c r="DT63" s="1415"/>
      <c r="DW63" s="1602"/>
      <c r="DX63" s="1594"/>
      <c r="DY63" s="1415"/>
      <c r="EC63" s="1602"/>
      <c r="ED63" s="1415"/>
      <c r="EH63" s="1594"/>
      <c r="EI63" s="1602"/>
      <c r="EJ63" s="1415"/>
      <c r="EN63" s="1594"/>
      <c r="EO63" s="1602"/>
      <c r="EP63" s="1415"/>
      <c r="ET63" s="1594"/>
      <c r="EU63" s="1602"/>
      <c r="EV63" s="1415"/>
      <c r="EZ63" s="1594"/>
      <c r="FA63" s="1602"/>
      <c r="FB63" s="1415"/>
      <c r="FF63" s="1594"/>
      <c r="FG63" s="1602"/>
      <c r="FH63" s="1415"/>
      <c r="FL63" s="1594"/>
      <c r="FM63" s="1602"/>
      <c r="FN63" s="1415"/>
      <c r="FR63" s="1594"/>
      <c r="FS63" s="1602"/>
      <c r="FT63" s="1415"/>
      <c r="FX63" s="1594"/>
      <c r="FY63" s="1602"/>
      <c r="FZ63" s="1415"/>
      <c r="GD63" s="1594"/>
      <c r="GE63" s="1602"/>
      <c r="GG63" s="1415"/>
      <c r="GJ63" s="1594"/>
      <c r="GK63" s="1602"/>
      <c r="GM63" s="1415"/>
      <c r="GO63" s="1415"/>
      <c r="GP63" s="1594"/>
      <c r="GQ63" s="1602"/>
      <c r="GS63" s="1415"/>
      <c r="GT63" s="1415"/>
    </row>
    <row r="64" spans="1:209" ht="14" outlineLevel="2" thickBot="1" x14ac:dyDescent="0.2">
      <c r="A64" s="2825">
        <f>IF(E62=0,0,FV$18)</f>
        <v>630</v>
      </c>
      <c r="B64" s="3084" t="str">
        <f>"Install ("&amp;C65&amp;M62&amp;N62&amp;O62&amp;M63&amp;N63&amp;M64&amp;N64&amp;")"</f>
        <v>Install (Physical/Citrix)</v>
      </c>
      <c r="C64" s="2822">
        <f>IF(E62=0,0, IF(I64=Calculator!$H$160,1,E64/O64)*H62)</f>
        <v>66.956305858987079</v>
      </c>
      <c r="D64" s="140">
        <f>IF(J64=$H$188,J65,0)+IF(E62=0,0,J62*E62)*($BO$2/F63)</f>
        <v>0.28675417130144609</v>
      </c>
      <c r="E64" s="141">
        <f>IF(E62=0,0,L63*60/D64)</f>
        <v>836.9538232373385</v>
      </c>
      <c r="F64" s="142">
        <f>IF(L64=0,0,IF(H64,H64,IF(I64=Calculator!$H$160,A62,IF(N64="/DBMS",1,IF(H65=$I$187,IF(N63="",IF(L64=1,2,L64),L64+1),L64)))))</f>
        <v>1</v>
      </c>
      <c r="G64" s="158">
        <f>IF(E62=0,0,IF(F64&gt;0,+E64*F64,"Nodes?"))</f>
        <v>836.9538232373385</v>
      </c>
      <c r="H64" s="143"/>
      <c r="I64" s="1248" t="s">
        <v>408</v>
      </c>
      <c r="J64" s="3227" t="str">
        <f>J59</f>
        <v xml:space="preserve">Siloed </v>
      </c>
      <c r="K64" s="1604">
        <f>IF(AND(N64="",N63=""),2,4)</f>
        <v>4</v>
      </c>
      <c r="L64" s="1605">
        <f>IF(H64,H64,IF(E62=0,0,IF(A64&gt;0,+INT(A64/(E64*H62))+1,0)))</f>
        <v>1</v>
      </c>
      <c r="M64" s="469" t="str">
        <f>IF(ISERROR(VLOOKUP($K63,$O$5:$O$15,1,FALSE)),IF(ISERROR(VLOOKUP($K63,$O$5:$O$15,1,FALSE)),"","/"&amp;$O$4),"/"&amp;$O$4)</f>
        <v/>
      </c>
      <c r="N64" s="470" t="str">
        <f>IF(ISERROR(VLOOKUP($K63,$Q$5:$Q$15,1,FALSE)),IF(ISERROR(VLOOKUP($K63,$Q$5:$Q$15,1,FALSE)),"","/"&amp;$Q$4),"/"&amp;$Q$4)</f>
        <v/>
      </c>
      <c r="O64" s="471">
        <f>IF($FU$18&gt;0,$FV$18/$FU$18,0)</f>
        <v>10</v>
      </c>
      <c r="P64" s="886"/>
      <c r="Q64" s="1714">
        <f>D63/VLOOKUP(B63,HWRange,3,FALSE)</f>
        <v>1</v>
      </c>
      <c r="R64" s="1877">
        <f>P175</f>
        <v>0</v>
      </c>
      <c r="S64" s="1982">
        <f>IF(E62=0,0,H62*A62/A63)</f>
        <v>66.956305858987093</v>
      </c>
      <c r="T64" s="135">
        <v>10000</v>
      </c>
      <c r="U64" s="1608">
        <f>IF(E62=0,0,IF(U65=$I$188,U62,ET$18/F64))</f>
        <v>0</v>
      </c>
      <c r="V64" s="1826">
        <f>IF(G64&gt;0,1,0)</f>
        <v>1</v>
      </c>
      <c r="W64" s="1827">
        <f t="shared" ref="W64:AC64" si="47">IF(V64&gt;0,IF($F64&gt;V64,V64+1,0),0)</f>
        <v>0</v>
      </c>
      <c r="X64" s="1827">
        <f t="shared" si="47"/>
        <v>0</v>
      </c>
      <c r="Y64" s="1827">
        <f t="shared" si="47"/>
        <v>0</v>
      </c>
      <c r="Z64" s="1827">
        <f t="shared" si="47"/>
        <v>0</v>
      </c>
      <c r="AA64" s="1827">
        <f t="shared" si="47"/>
        <v>0</v>
      </c>
      <c r="AB64" s="1827">
        <f t="shared" si="47"/>
        <v>0</v>
      </c>
      <c r="AC64" s="1827">
        <f t="shared" si="47"/>
        <v>0</v>
      </c>
      <c r="AD64" s="1828">
        <f>IF(AC64&gt;0,IF($F64&gt;AC64,"…"&amp;$F64,0),0)</f>
        <v>0</v>
      </c>
      <c r="AE64" s="2853">
        <f>A63</f>
        <v>0.75272969966629599</v>
      </c>
      <c r="AF64" s="2978">
        <f>IF(AF63="","",IF(H64=0,0,H64/AF63+IF(H65=$I$187,1,0)))</f>
        <v>0</v>
      </c>
      <c r="AG64" s="1591"/>
      <c r="AH64" s="1591"/>
      <c r="AI64" s="1591"/>
      <c r="AJ64" s="1591"/>
      <c r="AK64" s="1591"/>
      <c r="AL64" s="1591"/>
      <c r="AM64" s="1591"/>
      <c r="AN64" s="1591"/>
      <c r="AO64" s="1591"/>
      <c r="AP64" s="1591"/>
      <c r="AQ64" s="1591"/>
      <c r="AR64" s="1591"/>
      <c r="AS64" s="1591"/>
      <c r="AT64" s="1591"/>
      <c r="AU64" s="1591"/>
      <c r="AV64" s="1591"/>
      <c r="BC64" s="1602"/>
      <c r="BF64" s="1592"/>
      <c r="BG64" s="1601"/>
      <c r="BH64" s="1601"/>
      <c r="BI64" s="1601"/>
      <c r="BJ64" s="1601"/>
      <c r="BK64" s="1601"/>
      <c r="BL64" s="1601"/>
      <c r="BM64" s="1601"/>
      <c r="BN64" s="1601"/>
      <c r="BO64" s="1601"/>
      <c r="BP64" s="1606"/>
      <c r="BQ64" s="890"/>
      <c r="BR64" s="890"/>
      <c r="BS64" s="890"/>
      <c r="BT64" s="890"/>
      <c r="BU64" s="890"/>
      <c r="BV64" s="890"/>
      <c r="BW64" s="890"/>
      <c r="BX64" s="890"/>
      <c r="BY64" s="890"/>
      <c r="BZ64" s="890"/>
      <c r="CA64" s="890"/>
      <c r="CB64" s="890"/>
      <c r="CC64" s="890"/>
      <c r="CD64" s="890"/>
      <c r="CE64" s="890"/>
      <c r="CF64" s="1606"/>
      <c r="CG64" s="1692">
        <f t="shared" si="45"/>
        <v>630</v>
      </c>
      <c r="CH64" s="1693" t="str">
        <f t="shared" si="45"/>
        <v>Install (Physical/Citrix)</v>
      </c>
      <c r="CI64" s="1181">
        <f>F64</f>
        <v>1</v>
      </c>
      <c r="CJ64" s="2719">
        <f>D63</f>
        <v>4</v>
      </c>
      <c r="CK64" s="2724">
        <f>T64</f>
        <v>10000</v>
      </c>
      <c r="CL64" s="1592"/>
      <c r="CM64" s="1594"/>
      <c r="CN64" s="1592"/>
      <c r="CQ64" s="1592"/>
      <c r="CR64" s="1594"/>
      <c r="CU64" s="1592"/>
      <c r="DA64" s="1592"/>
      <c r="DB64" s="1594"/>
      <c r="DE64" s="1592"/>
      <c r="DF64" s="1594"/>
      <c r="DI64" s="1592"/>
      <c r="DJ64" s="1602"/>
      <c r="DK64" s="1602"/>
      <c r="DL64" s="1592"/>
      <c r="DM64" s="1602"/>
      <c r="DN64" s="1594"/>
      <c r="DO64" s="1594"/>
      <c r="DP64" s="394"/>
      <c r="DQ64" s="1602"/>
      <c r="DR64" s="1597"/>
      <c r="DS64" s="1597"/>
      <c r="DT64" s="1415"/>
      <c r="DW64" s="1602"/>
      <c r="DX64" s="1597"/>
      <c r="DY64" s="1415"/>
      <c r="EC64" s="1602"/>
      <c r="ED64" s="1415"/>
      <c r="EH64" s="1597"/>
      <c r="EI64" s="1602"/>
      <c r="EJ64" s="1415"/>
      <c r="EN64" s="1597"/>
      <c r="EO64" s="1602"/>
      <c r="EP64" s="1415"/>
      <c r="ET64" s="1597"/>
      <c r="EU64" s="1602"/>
      <c r="EV64" s="1415"/>
      <c r="EZ64" s="1597"/>
      <c r="FA64" s="1602"/>
      <c r="FB64" s="1415"/>
      <c r="FF64" s="1597"/>
      <c r="FG64" s="1602"/>
      <c r="FH64" s="1415"/>
      <c r="FL64" s="1597"/>
      <c r="FM64" s="1602"/>
      <c r="FN64" s="1415"/>
      <c r="FR64" s="1597"/>
      <c r="FS64" s="1602"/>
      <c r="FT64" s="1415"/>
      <c r="FX64" s="1597"/>
      <c r="FY64" s="1602"/>
      <c r="FZ64" s="1415"/>
      <c r="GD64" s="1597"/>
      <c r="GE64" s="1602"/>
      <c r="GG64" s="1415"/>
      <c r="GJ64" s="1597"/>
      <c r="GK64" s="1602"/>
      <c r="GM64" s="1415"/>
      <c r="GO64" s="1415"/>
      <c r="GP64" s="1597"/>
      <c r="GQ64" s="1602"/>
      <c r="GS64" s="1415"/>
      <c r="GT64" s="1415"/>
    </row>
    <row r="65" spans="1:209" ht="15" outlineLevel="1" x14ac:dyDescent="0.15">
      <c r="A65" s="916" t="str">
        <f>IF(A64=0,0,ROUND(100*A63,0)&amp;"% CPU")</f>
        <v>75% CPU</v>
      </c>
      <c r="B65" s="917" t="str">
        <f>IF(A64&gt;0,IF(I64=$J$163,K63&amp;": "&amp;F64&amp;"x "&amp;B63&amp;" "&amp;C63&amp;" GB RAM",$K63&amp;": "&amp;$F64&amp;"x VM ("&amp;I63&amp;" core "&amp;C63&amp;" GB RAM) "&amp;Q63&amp;" "&amp;L62&amp;" MHz"),0)</f>
        <v>WTS: 1x Xeon Gold 5122 4 core (1 chip) 3600 MHz 67 GB RAM</v>
      </c>
      <c r="C65" s="1609" t="str">
        <f>IF(I64=$H$185,I64,I62)</f>
        <v>Physical</v>
      </c>
      <c r="D65" s="918">
        <f>A62</f>
        <v>63</v>
      </c>
      <c r="E65" s="919" t="str">
        <f>IF(E64&gt;0,ROUND(E64*60/1000,0)&amp;"K TPH",0)</f>
        <v>50K TPH</v>
      </c>
      <c r="F65" s="920">
        <f>+L64</f>
        <v>1</v>
      </c>
      <c r="G65" s="919" t="str">
        <f>IF(G64&gt;0,ROUND(G64*60/1000,0)&amp;"K TPH",0)</f>
        <v>50K TPH</v>
      </c>
      <c r="H65" s="921" t="str">
        <f>H$19</f>
        <v>Minimum</v>
      </c>
      <c r="I65" s="1736">
        <f>IF(I64=$J$163,0,I62)</f>
        <v>0</v>
      </c>
      <c r="J65" s="2086">
        <f>IF(AND(O62="/"&amp;$N$4,J64=$H$188),IF(F64&gt;0,(F64-1)*A64/(60*$H$190),0),0)</f>
        <v>0</v>
      </c>
      <c r="K65" s="2086">
        <f>IF(E62&gt;0,D64/E62,0)</f>
        <v>1.0609318996415771</v>
      </c>
      <c r="L65" s="2080">
        <f>IF($W63=$W$163,2,F64)</f>
        <v>1</v>
      </c>
      <c r="M65" s="3134">
        <f>IF(AND(S65&gt;0,I64=$H$185),1,0)</f>
        <v>0</v>
      </c>
      <c r="N65" s="1618"/>
      <c r="O65" s="1618"/>
      <c r="P65" s="922"/>
      <c r="Q65" s="1737">
        <f>IF($A67&lt;0.9999, $A67/((1+$CJ$2*$A67*($L67-1))*(1-$A67)),200)</f>
        <v>0</v>
      </c>
      <c r="R65" s="1618"/>
      <c r="S65" s="3118">
        <f>IF(LEFT(B63,3)=S63,VLOOKUP(B63,HWRange,10,FALSE),0)</f>
        <v>0</v>
      </c>
      <c r="T65" s="940" t="str">
        <f>U65</f>
        <v>Client</v>
      </c>
      <c r="U65" s="1595" t="s">
        <v>303</v>
      </c>
      <c r="V65" s="1918" t="str">
        <f>IF(A63&gt;0,B65&amp;" "&amp;C65&amp;IF(B65="",""," GB RAM"),0)</f>
        <v>WTS: 1x Xeon Gold 5122 4 core (1 chip) 3600 MHz 67 GB RAM Physical GB RAM</v>
      </c>
      <c r="W65" s="1819"/>
      <c r="X65" s="1819"/>
      <c r="Y65" s="1819"/>
      <c r="Z65" s="1819"/>
      <c r="AA65" s="1819"/>
      <c r="AB65" s="1819"/>
      <c r="AC65" s="1819"/>
      <c r="AD65" s="1819"/>
      <c r="AE65" s="1919">
        <f>IF(A63&gt;0,F63,0)</f>
        <v>69.75</v>
      </c>
      <c r="AF65" s="2876">
        <f>IF(A62=0,0,IF(LEFT(B63,3)=S63,VLOOKUP(B63,HWRange,12,FALSE),0)*F64)</f>
        <v>0</v>
      </c>
      <c r="AG65" s="2877" t="str">
        <f>IF(AF65&gt;0,S63&amp;" 3-yr Pricing","")</f>
        <v/>
      </c>
      <c r="AH65" s="2878"/>
      <c r="AI65" s="1591"/>
      <c r="AJ65" s="1591"/>
      <c r="AK65" s="1591"/>
      <c r="AL65" s="1591"/>
      <c r="AM65" s="1591"/>
      <c r="AN65" s="1591"/>
      <c r="AO65" s="1591"/>
      <c r="AP65" s="1591"/>
      <c r="AQ65" s="1591"/>
      <c r="AR65" s="1591"/>
      <c r="AS65" s="1591"/>
      <c r="AT65" s="1591"/>
      <c r="AU65" s="1591"/>
      <c r="AV65" s="1591"/>
      <c r="AX65" s="1601"/>
      <c r="AY65" s="1601"/>
      <c r="BB65" s="1415">
        <f>BC64</f>
        <v>0</v>
      </c>
      <c r="BC65" s="1614"/>
      <c r="BF65" s="1592"/>
      <c r="BG65" s="1893"/>
      <c r="BH65" s="1601"/>
      <c r="BI65" s="1601"/>
      <c r="BJ65" s="1601"/>
      <c r="BK65" s="1601"/>
      <c r="BL65" s="1601"/>
      <c r="BM65" s="1601"/>
      <c r="BN65" s="1601"/>
      <c r="BO65" s="1601"/>
      <c r="BP65" s="1619"/>
      <c r="BQ65" s="923"/>
      <c r="BR65" s="923"/>
      <c r="BS65" s="923"/>
      <c r="BT65" s="923"/>
      <c r="BU65" s="923"/>
      <c r="BV65" s="923"/>
      <c r="BW65" s="923"/>
      <c r="BX65" s="923"/>
      <c r="BY65" s="923"/>
      <c r="BZ65" s="923"/>
      <c r="CA65" s="923"/>
      <c r="CB65" s="923"/>
      <c r="CC65" s="923"/>
      <c r="CD65" s="923"/>
      <c r="CE65" s="923"/>
      <c r="CF65" s="1619"/>
      <c r="CG65" s="3403" t="str">
        <f>B65</f>
        <v>WTS: 1x Xeon Gold 5122 4 core (1 chip) 3600 MHz 67 GB RAM</v>
      </c>
      <c r="CH65" s="3404"/>
      <c r="CI65" s="3404"/>
      <c r="CJ65" s="3404"/>
      <c r="CK65" s="2723"/>
      <c r="CL65" s="1592"/>
      <c r="CM65" s="1594"/>
      <c r="CN65" s="1592"/>
      <c r="CQ65" s="1592"/>
      <c r="CR65" s="1594"/>
      <c r="CU65" s="1592"/>
      <c r="DA65" s="1592"/>
      <c r="DB65" s="1594"/>
      <c r="DE65" s="1592"/>
      <c r="DF65" s="1594"/>
      <c r="DI65" s="1592"/>
      <c r="DJ65" s="1614"/>
      <c r="DK65" s="1614"/>
      <c r="DL65" s="1592"/>
      <c r="DM65" s="1614"/>
      <c r="DN65" s="1594"/>
      <c r="DO65" s="1594"/>
      <c r="DP65" s="394"/>
      <c r="DQ65" s="1614"/>
      <c r="DR65" s="1597"/>
      <c r="DS65" s="1597"/>
      <c r="DT65" s="1415"/>
      <c r="DW65" s="1614"/>
      <c r="DX65" s="1597"/>
      <c r="DY65" s="1415"/>
      <c r="EC65" s="1614"/>
      <c r="ED65" s="1415"/>
      <c r="EH65" s="1597"/>
      <c r="EI65" s="1614"/>
      <c r="EJ65" s="1415"/>
      <c r="EN65" s="1597"/>
      <c r="EO65" s="1614"/>
      <c r="EP65" s="1415"/>
      <c r="ET65" s="1597"/>
      <c r="EU65" s="1614"/>
      <c r="EV65" s="1415"/>
      <c r="EZ65" s="1597"/>
      <c r="FA65" s="1614"/>
      <c r="FB65" s="1415"/>
      <c r="FF65" s="1597"/>
      <c r="FG65" s="1614"/>
      <c r="FH65" s="1415"/>
      <c r="FL65" s="1597"/>
      <c r="FM65" s="1614"/>
      <c r="FN65" s="1415"/>
      <c r="FR65" s="1597"/>
      <c r="FS65" s="1614"/>
      <c r="FT65" s="1415"/>
      <c r="FX65" s="1597"/>
      <c r="FY65" s="1614"/>
      <c r="FZ65" s="1415"/>
      <c r="GD65" s="1597"/>
      <c r="GE65" s="1614"/>
      <c r="GG65" s="1415"/>
      <c r="GJ65" s="1597"/>
      <c r="GK65" s="1614"/>
      <c r="GM65" s="1415"/>
      <c r="GO65" s="1415"/>
      <c r="GP65" s="1597"/>
      <c r="GQ65" s="1614"/>
      <c r="GS65" s="1415"/>
      <c r="GT65" s="1415"/>
      <c r="HA65" s="390"/>
    </row>
    <row r="66" spans="1:209" ht="16" hidden="1" outlineLevel="2" thickBot="1" x14ac:dyDescent="0.25">
      <c r="A66" s="2826">
        <f>IF(O68&gt;0,A68/O68,0)</f>
        <v>0</v>
      </c>
      <c r="B66" s="1178" t="s">
        <v>1474</v>
      </c>
      <c r="C66" s="136" t="str">
        <f>VLOOKUP(B67,Hardware!$A$2:$I$632,9,FALSE)</f>
        <v>Intel</v>
      </c>
      <c r="D66" s="1177" t="str">
        <f>D41</f>
        <v>Arc18=</v>
      </c>
      <c r="E66" s="138">
        <f>IF(GA$18=0,0,IF(GE$18&gt;0,GE$18/GB$18))</f>
        <v>0</v>
      </c>
      <c r="F66" s="139" t="s">
        <v>328</v>
      </c>
      <c r="G66" s="1585"/>
      <c r="H66" s="1586">
        <v>0.8</v>
      </c>
      <c r="I66" s="1739" t="s">
        <v>1555</v>
      </c>
      <c r="J66" s="207">
        <f>IF(K66&gt;0,K66,IF(I68=Calculator!$H$158,1, IF(OR(R66=Calculator!$H$162,R66=Calculator!$H$163), VLOOKUP(I68,VAdjust,2,FALSE),1)))</f>
        <v>1</v>
      </c>
      <c r="K66" s="2456"/>
      <c r="L66" s="722">
        <f>VLOOKUP(B67,HWRange,5,FALSE)</f>
        <v>3600</v>
      </c>
      <c r="M66" s="464" t="str">
        <f>IF(ISERROR(VLOOKUP($K67,$L$5:$L$15,1,FALSE)),"","/"&amp;$L$4)</f>
        <v/>
      </c>
      <c r="N66" s="257" t="str">
        <f>IF(ISERROR(VLOOKUP($K67,$M$5:$M$15,1,FALSE)),IF(ISERROR(VLOOKUP($K67,$M$5:$M$15,1,FALSE)),"","/"&amp;$M$4),"/"&amp;$M$4)</f>
        <v/>
      </c>
      <c r="O66" s="465" t="str">
        <f>IF(ISERROR(VLOOKUP($K67,$N$5:$N$15,1,FALSE)),IF(ISERROR(VLOOKUP($K67,$N$5:$N$15,1,FALSE)),"","/"&amp;$N$4),"/"&amp;$N$4)</f>
        <v/>
      </c>
      <c r="P66" s="1587">
        <f>IF(A67=0,0,IF(P68&gt;0,1000*C67/C68,1000*C67/C68))/2</f>
        <v>0</v>
      </c>
      <c r="Q66" s="1734">
        <f>IF(I68=$J$163,0,VLOOKUP(I66,HostArray,2,FALSE))</f>
        <v>0</v>
      </c>
      <c r="R66" s="1588" t="s">
        <v>412</v>
      </c>
      <c r="S66" s="3071" t="str">
        <f>IF(S67=LEFT(B67,3),_xlfn.NUMBERVALUE(MID(B67,FIND("(",B67,1)+1,FIND(")",B67,1)-FIND("(",B67,1)-3)),"")</f>
        <v/>
      </c>
      <c r="T66" s="135">
        <v>10000</v>
      </c>
      <c r="U66" s="1616">
        <f>IF(E66&gt;0,IF(AND(M68="",N68=""),GC$18/F68,GD$18/F68),0)</f>
        <v>0</v>
      </c>
      <c r="V66" s="1822">
        <f t="shared" ref="V66:AD66" si="48">IF(V68&gt;0,IF($A67&gt;0.5,$A67,""),0)</f>
        <v>0</v>
      </c>
      <c r="W66" s="1823">
        <f>IF(AND($W67=W$163,$H69=I$187),W$164,IF(W68&gt;0,IF($A67&gt;0.5,$A67,""),0))</f>
        <v>0</v>
      </c>
      <c r="X66" s="1823">
        <f t="shared" si="48"/>
        <v>0</v>
      </c>
      <c r="Y66" s="1823">
        <f t="shared" si="48"/>
        <v>0</v>
      </c>
      <c r="Z66" s="1823">
        <f t="shared" si="48"/>
        <v>0</v>
      </c>
      <c r="AA66" s="1823">
        <f t="shared" si="48"/>
        <v>0</v>
      </c>
      <c r="AB66" s="1823">
        <f t="shared" si="48"/>
        <v>0</v>
      </c>
      <c r="AC66" s="1823">
        <f t="shared" si="48"/>
        <v>0</v>
      </c>
      <c r="AD66" s="1824">
        <f t="shared" si="48"/>
        <v>0</v>
      </c>
      <c r="AE66" s="1825">
        <f>L69</f>
        <v>0</v>
      </c>
      <c r="AF66" s="2977" t="str">
        <f>IF(I68=$H$187,$AF$18,"")</f>
        <v/>
      </c>
      <c r="AG66" s="1600"/>
      <c r="AH66" s="1600"/>
      <c r="AI66" s="1600"/>
      <c r="AJ66" s="1600"/>
      <c r="AK66" s="1600"/>
      <c r="AL66" s="1600"/>
      <c r="AM66" s="1600"/>
      <c r="AN66" s="1600"/>
      <c r="AO66" s="1600"/>
      <c r="AP66" s="1600"/>
      <c r="AQ66" s="1600"/>
      <c r="AR66" s="1600"/>
      <c r="AS66" s="1600"/>
      <c r="AT66" s="1600"/>
      <c r="AU66" s="1600"/>
      <c r="AV66" s="1600"/>
      <c r="AW66" s="1600"/>
      <c r="AX66" s="2"/>
      <c r="AY66" s="2"/>
      <c r="BC66" s="1"/>
      <c r="BF66" s="1592"/>
      <c r="BG66" s="1893"/>
      <c r="BH66" s="1601"/>
      <c r="BI66" s="1601"/>
      <c r="BJ66" s="1601"/>
      <c r="BK66" s="1601"/>
      <c r="BL66" s="1601"/>
      <c r="BM66" s="1601"/>
      <c r="BN66" s="1593"/>
      <c r="BO66" s="1893"/>
      <c r="BP66" s="891"/>
      <c r="BQ66" s="892"/>
      <c r="BR66" s="892"/>
      <c r="BS66" s="892"/>
      <c r="BT66" s="892"/>
      <c r="BU66" s="892"/>
      <c r="BV66" s="892"/>
      <c r="BW66" s="892"/>
      <c r="BX66" s="892"/>
      <c r="BY66" s="892"/>
      <c r="BZ66" s="892"/>
      <c r="CA66" s="892"/>
      <c r="CB66" s="892"/>
      <c r="CC66" s="892"/>
      <c r="CD66" s="892"/>
      <c r="CE66" s="892"/>
      <c r="CF66" s="1615"/>
      <c r="CG66" s="1689">
        <f t="shared" ref="CG66:CH68" si="49">A66</f>
        <v>0</v>
      </c>
      <c r="CH66" s="1690" t="str">
        <f t="shared" si="49"/>
        <v>Tier12: Platform Tier 12</v>
      </c>
      <c r="CI66" s="1179" t="str">
        <f>F66</f>
        <v>SRint2006</v>
      </c>
      <c r="CJ66" s="2718"/>
      <c r="CK66" s="2724">
        <f>T66</f>
        <v>10000</v>
      </c>
      <c r="CL66" s="1592"/>
      <c r="CM66" s="1594"/>
      <c r="CN66" s="1592"/>
      <c r="CQ66" s="1894"/>
      <c r="CR66" s="1594"/>
      <c r="CU66" s="1592"/>
      <c r="CY66" s="1205"/>
      <c r="DA66" s="1592"/>
      <c r="DB66" s="1594"/>
      <c r="DE66" s="1592"/>
      <c r="DF66" s="1594"/>
      <c r="DG66" s="1879"/>
      <c r="DI66" s="1592"/>
      <c r="DJ66" s="1"/>
      <c r="DK66" s="1"/>
      <c r="DL66" s="1592"/>
      <c r="DM66" s="1"/>
      <c r="DN66" s="1594"/>
      <c r="DO66" s="1595"/>
      <c r="DP66" s="394"/>
      <c r="DQ66" s="1"/>
      <c r="DR66" s="1593"/>
      <c r="DS66" s="1593"/>
      <c r="DT66" s="1415"/>
      <c r="DW66" s="1"/>
      <c r="DX66" s="1593"/>
      <c r="DY66" s="1415"/>
      <c r="EC66" s="1"/>
      <c r="ED66" s="1415"/>
      <c r="EH66" s="1593"/>
      <c r="EI66" s="1"/>
      <c r="EJ66" s="1415"/>
      <c r="EN66" s="1593"/>
      <c r="EO66" s="1"/>
      <c r="EP66" s="1415"/>
      <c r="ET66" s="1593"/>
      <c r="EU66" s="1"/>
      <c r="EV66" s="1205"/>
      <c r="EZ66" s="1593"/>
      <c r="FA66" s="1"/>
      <c r="FB66" s="1205"/>
      <c r="FF66" s="1593"/>
      <c r="FG66" s="1"/>
      <c r="FH66" s="1205"/>
      <c r="FL66" s="1593"/>
      <c r="FM66" s="1"/>
      <c r="FN66" s="1205"/>
      <c r="FR66" s="1593"/>
      <c r="FS66" s="1"/>
      <c r="FT66" s="1205"/>
      <c r="FX66" s="1593"/>
      <c r="FY66" s="1"/>
      <c r="FZ66" s="1205"/>
      <c r="GD66" s="1593"/>
      <c r="GE66" s="1"/>
      <c r="GG66" s="1415"/>
      <c r="GJ66" s="1593"/>
      <c r="GK66" s="1"/>
      <c r="GM66" s="1415"/>
      <c r="GO66" s="1415"/>
      <c r="GP66" s="1593"/>
      <c r="GQ66" s="1"/>
      <c r="GS66" s="1415"/>
      <c r="GT66" s="1415"/>
    </row>
    <row r="67" spans="1:209" ht="15" hidden="1" outlineLevel="2" x14ac:dyDescent="0.2">
      <c r="A67" s="2827">
        <f>IF(E66=0,0,A68/G68)</f>
        <v>0</v>
      </c>
      <c r="B67" s="156" t="str">
        <f>B63</f>
        <v>Xeon Gold 5122 4 core (1 chip) 3600 MHz</v>
      </c>
      <c r="C67" s="206">
        <f>ROUND(IF(P68&gt;0,2*P68*C68/1000, IF(L68=0,0, IF(I68=Calculator!$H$160, Calculator!$J$160*(1+L67), IF(K68=4, 4*H66*G67/13.4,L67*Calculator!$J$151)))),0)</f>
        <v>0</v>
      </c>
      <c r="D67" s="205">
        <f>F68*L67</f>
        <v>0</v>
      </c>
      <c r="E67" s="70">
        <f>IF(I68=J163,F68*VLOOKUP(B67,HWRange,8,FALSE),"Virtual Server")</f>
        <v>0</v>
      </c>
      <c r="F67" s="71">
        <f>IF(I68=$J$163,VLOOKUP(B67,HWRange,7,FALSE),IF(I67&gt;VLOOKUP(B67,HWRange,3,FALSE),VLOOKUP(B67,HWRange,7,FALSE)*VLOOKUP(B67,HWRange,3,FALSE)/I67,VLOOKUP(B67,HWRange,7,FALSE)))</f>
        <v>69.75</v>
      </c>
      <c r="G67" s="157">
        <f>IF(I68=$J$163,VLOOKUP(B67,HWRange,6,FALSE),VLOOKUP(B67,HWRange,6,FALSE)*I67/VLOOKUP(B67,HWRange,3,FALSE))</f>
        <v>279</v>
      </c>
      <c r="H67" s="161" t="s">
        <v>365</v>
      </c>
      <c r="I67" s="1247">
        <v>2</v>
      </c>
      <c r="J67" s="1881"/>
      <c r="K67" s="756" t="str">
        <f>A176</f>
        <v>Tier12</v>
      </c>
      <c r="L67" s="491">
        <f>IF(I68=$J$163,VLOOKUP(B67,HWRange,3,FALSE),I67)</f>
        <v>4</v>
      </c>
      <c r="M67" s="466" t="str">
        <f>IF(ISERROR(VLOOKUP($K67,$J$5:$J$15,1,FALSE)),IF(ISERROR(VLOOKUP($K67,$J$5:$J$15,1,FALSE)),"","/"&amp;$J$4),"/"&amp;$J$4)</f>
        <v/>
      </c>
      <c r="N67" s="467" t="str">
        <f>IF(ISERROR(VLOOKUP($K67,$K$5:$K$15,1,FALSE)),"","/"&amp;$K$4)</f>
        <v/>
      </c>
      <c r="O67" s="468">
        <f>IF(AND(O66="",M68=""),0,D67)</f>
        <v>0</v>
      </c>
      <c r="P67" s="1596" t="str">
        <f>IF(NOT(M67=""),Calculator!$A$158,IF(NOT(N67=""),Calculator!$B$158,IF(NOT(O66=""), Calculator!$C$158,Calculator!$G$158)))</f>
        <v>WindowsLinuxSolarisAIXHPUX</v>
      </c>
      <c r="Q67" s="1246" t="str">
        <f>VLOOKUP(B67,HWRange,2,FALSE)</f>
        <v>Xeon Gold 5122</v>
      </c>
      <c r="R67" s="1187">
        <f>F68*VLOOKUP(B67,HWRange,8,FALSE)</f>
        <v>0</v>
      </c>
      <c r="S67" s="3070">
        <f>IF(OR(LEFT(B67,3)="AMI",LEFT(B67,3)="AZI"),LEFT(B67,3),0)</f>
        <v>0</v>
      </c>
      <c r="T67" s="1624" t="s">
        <v>366</v>
      </c>
      <c r="U67" s="1599" t="s">
        <v>307</v>
      </c>
      <c r="V67" s="822">
        <f t="shared" ref="V67:AD67" si="50">IF(V68=0,0,IF($A67&lt;0.5,$A67,"+"))</f>
        <v>0</v>
      </c>
      <c r="W67" s="2063">
        <f>IF(AND($N68="/"&amp;$Q$4,$H69=I$187,$H68=0),W$163,IF(W68=0,0,IF($A67&lt;0.5,$A67,"+")))</f>
        <v>0</v>
      </c>
      <c r="X67" s="318">
        <f t="shared" si="50"/>
        <v>0</v>
      </c>
      <c r="Y67" s="318">
        <f t="shared" si="50"/>
        <v>0</v>
      </c>
      <c r="Z67" s="318">
        <f t="shared" si="50"/>
        <v>0</v>
      </c>
      <c r="AA67" s="318">
        <f t="shared" si="50"/>
        <v>0</v>
      </c>
      <c r="AB67" s="318">
        <f t="shared" si="50"/>
        <v>0</v>
      </c>
      <c r="AC67" s="318">
        <f t="shared" si="50"/>
        <v>0</v>
      </c>
      <c r="AD67" s="823">
        <f t="shared" si="50"/>
        <v>0</v>
      </c>
      <c r="AE67" s="1185">
        <f>D67</f>
        <v>0</v>
      </c>
      <c r="AF67" s="2998">
        <f>AF$19</f>
        <v>24</v>
      </c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1601"/>
      <c r="AY67" s="1601"/>
      <c r="BB67" s="1415">
        <f>BC66</f>
        <v>0</v>
      </c>
      <c r="BC67" s="1602"/>
      <c r="BF67" s="1592"/>
      <c r="BG67" s="1893"/>
      <c r="BH67" s="1601"/>
      <c r="BI67" s="1601"/>
      <c r="BJ67" s="1601"/>
      <c r="BK67" s="1601"/>
      <c r="BL67" s="1601"/>
      <c r="BM67" s="1601"/>
      <c r="BN67" s="1601"/>
      <c r="BO67" s="1601"/>
      <c r="BP67" s="885">
        <f>IF(A67&gt;0,1,0)</f>
        <v>0</v>
      </c>
      <c r="BQ67" s="56"/>
      <c r="BR67" s="1205"/>
      <c r="BS67" s="1892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1691">
        <f t="shared" si="49"/>
        <v>0</v>
      </c>
      <c r="CH67" s="1590" t="str">
        <f t="shared" si="49"/>
        <v>Xeon Gold 5122 4 core (1 chip) 3600 MHz</v>
      </c>
      <c r="CI67" s="1180">
        <f>F67</f>
        <v>69.75</v>
      </c>
      <c r="CJ67" s="1180">
        <f>G67</f>
        <v>279</v>
      </c>
      <c r="CK67" s="2723"/>
      <c r="CL67" s="1592"/>
      <c r="CM67" s="1594"/>
      <c r="CN67" s="1592"/>
      <c r="CQ67" s="1592"/>
      <c r="CR67" s="1594"/>
      <c r="CU67" s="1592"/>
      <c r="CW67" s="1415">
        <f>IF(ISERROR(IF(MID(#REF!,FIND(" ",#REF!),8)=" Imagery",MATCH(#REF!,ImageryDataList,0), MATCH(#REF!,MapDataList,0))),1,0)</f>
        <v>1</v>
      </c>
      <c r="CY67" s="1681"/>
      <c r="DA67" s="1592"/>
      <c r="DB67" s="1594"/>
      <c r="DE67" s="1592"/>
      <c r="DF67" s="1594"/>
      <c r="DG67" s="1879"/>
      <c r="DI67" s="1592"/>
      <c r="DJ67" s="1602"/>
      <c r="DK67" s="1602"/>
      <c r="DL67" s="1592"/>
      <c r="DM67" s="1602"/>
      <c r="DN67" s="1594"/>
      <c r="DO67" s="1594"/>
      <c r="DP67" s="394"/>
      <c r="DQ67" s="1602"/>
      <c r="DR67" s="1594"/>
      <c r="DS67" s="1594"/>
      <c r="DT67" s="1415"/>
      <c r="DW67" s="1602"/>
      <c r="DX67" s="1594"/>
      <c r="DY67" s="1415"/>
      <c r="EC67" s="1602"/>
      <c r="ED67" s="1415"/>
      <c r="EH67" s="1594"/>
      <c r="EI67" s="1602"/>
      <c r="EJ67" s="1415"/>
      <c r="EN67" s="1594"/>
      <c r="EO67" s="1602"/>
      <c r="EP67" s="1415"/>
      <c r="ET67" s="1594"/>
      <c r="EU67" s="1602"/>
      <c r="EV67" s="1415"/>
      <c r="EZ67" s="1594"/>
      <c r="FA67" s="1602"/>
      <c r="FB67" s="1415"/>
      <c r="FF67" s="1594"/>
      <c r="FG67" s="1602"/>
      <c r="FH67" s="1415"/>
      <c r="FL67" s="1594"/>
      <c r="FM67" s="1602"/>
      <c r="FN67" s="1415"/>
      <c r="FR67" s="1594"/>
      <c r="FS67" s="1602"/>
      <c r="FT67" s="1415"/>
      <c r="FX67" s="1594"/>
      <c r="FY67" s="1602"/>
      <c r="FZ67" s="1415"/>
      <c r="GD67" s="1594"/>
      <c r="GE67" s="1602"/>
      <c r="GG67" s="1415"/>
      <c r="GJ67" s="1594"/>
      <c r="GK67" s="1602"/>
      <c r="GM67" s="1415"/>
      <c r="GO67" s="1415"/>
      <c r="GP67" s="1594"/>
      <c r="GQ67" s="1602"/>
      <c r="GS67" s="1415"/>
      <c r="GT67" s="1415"/>
    </row>
    <row r="68" spans="1:209" ht="14" hidden="1" outlineLevel="2" thickBot="1" x14ac:dyDescent="0.2">
      <c r="A68" s="2828">
        <f>IF(E66=0,0,GB$18)</f>
        <v>0</v>
      </c>
      <c r="B68" s="3085" t="str">
        <f>"Install ("&amp;C69&amp;M66&amp;N66&amp;O66&amp;M67&amp;N67&amp;M68&amp;N68&amp;")"</f>
        <v>Install (Physical)</v>
      </c>
      <c r="C68" s="258">
        <f>IF(E66=0,0, IF(I68=Calculator!$H$160,1,E68/O68)*H66)</f>
        <v>0</v>
      </c>
      <c r="D68" s="140">
        <f>IF(J68=$H$188,J69,0)+IF(E66=0,0,J66*E66)*($BO$2/F67)</f>
        <v>0</v>
      </c>
      <c r="E68" s="141">
        <f>IF(E66=0,0,L67*60/D68)</f>
        <v>0</v>
      </c>
      <c r="F68" s="142">
        <f>IF(L68=0,0,IF(H68,H68,IF(I68=Calculator!$H$160,A66,IF(N68="/DBMS",1,IF(H69=$I$187,IF(N67="",IF(L68=1,2,L68),L68+1),L68)))))</f>
        <v>0</v>
      </c>
      <c r="G68" s="1182">
        <f>IF(E66=0,0,IF(F68&gt;0,+E68*F68,"Nodes?"))</f>
        <v>0</v>
      </c>
      <c r="H68" s="143"/>
      <c r="I68" s="1248" t="s">
        <v>408</v>
      </c>
      <c r="J68" s="3227" t="str">
        <f>J43</f>
        <v xml:space="preserve">Siloed </v>
      </c>
      <c r="K68" s="1604">
        <f>IF(AND(N68="",N67=""),2,4)</f>
        <v>2</v>
      </c>
      <c r="L68" s="1605">
        <f>IF(H68,H68,IF(E66=0,0,IF(A68&gt;0,+INT(A68/(E68*H66))+1,0)))</f>
        <v>0</v>
      </c>
      <c r="M68" s="469" t="str">
        <f>IF(ISERROR(VLOOKUP($K67,$O$5:$O$15,1,FALSE)),IF(ISERROR(VLOOKUP($K67,$O$5:$O$15,1,FALSE)),"","/"&amp;$O$4),"/"&amp;$O$4)</f>
        <v/>
      </c>
      <c r="N68" s="470" t="str">
        <f>IF(ISERROR(VLOOKUP($K67,$Q$5:$Q$15,1,FALSE)),IF(ISERROR(VLOOKUP($K67,$Q$5:$Q$15,1,FALSE)),"","/"&amp;$Q$4),"/"&amp;$Q$4)</f>
        <v/>
      </c>
      <c r="O68" s="471">
        <f>IF($GA$18&gt;0,$GB$18/$GA$18,0)</f>
        <v>0</v>
      </c>
      <c r="P68" s="886"/>
      <c r="Q68" s="1714">
        <f>D67/VLOOKUP(B67,HWRange,3,FALSE)</f>
        <v>0</v>
      </c>
      <c r="R68" s="1877">
        <f>P176</f>
        <v>0</v>
      </c>
      <c r="S68" s="1982">
        <f>IF(E66=0,0,H66*A66/A67)</f>
        <v>0</v>
      </c>
      <c r="T68" s="135">
        <v>10000</v>
      </c>
      <c r="U68" s="1608">
        <f>IF(E66=0,0,IF(U69=$I$188,U66,GD$18/F68))</f>
        <v>0</v>
      </c>
      <c r="V68" s="1826">
        <f>IF(G68&gt;0,1,0)</f>
        <v>0</v>
      </c>
      <c r="W68" s="1827">
        <f t="shared" ref="W68:AC68" si="51">IF(V68&gt;0,IF($F68&gt;V68,V68+1,0),0)</f>
        <v>0</v>
      </c>
      <c r="X68" s="1827">
        <f t="shared" si="51"/>
        <v>0</v>
      </c>
      <c r="Y68" s="1827">
        <f t="shared" si="51"/>
        <v>0</v>
      </c>
      <c r="Z68" s="1827">
        <f t="shared" si="51"/>
        <v>0</v>
      </c>
      <c r="AA68" s="1827">
        <f t="shared" si="51"/>
        <v>0</v>
      </c>
      <c r="AB68" s="1827">
        <f t="shared" si="51"/>
        <v>0</v>
      </c>
      <c r="AC68" s="1827">
        <f t="shared" si="51"/>
        <v>0</v>
      </c>
      <c r="AD68" s="1828">
        <f>IF(AC68&gt;0,IF($F68&gt;AC68,"…"&amp;$F68,0),0)</f>
        <v>0</v>
      </c>
      <c r="AE68" s="1829">
        <f>A67</f>
        <v>0</v>
      </c>
      <c r="AF68" s="2978">
        <f>IF(AF67="","",IF(H68=0,0,H68/AF67+IF(H69=$I$187,1,0)))</f>
        <v>0</v>
      </c>
      <c r="AG68" s="1591"/>
      <c r="AH68" s="1591"/>
      <c r="AI68" s="56"/>
      <c r="AJ68" s="1591"/>
      <c r="AK68" s="56"/>
      <c r="AL68" s="1591"/>
      <c r="AM68" s="56"/>
      <c r="AN68" s="1591"/>
      <c r="AO68" s="56"/>
      <c r="AP68" s="1591"/>
      <c r="AQ68" s="56"/>
      <c r="AR68" s="1591"/>
      <c r="AS68" s="56"/>
      <c r="AT68" s="1591"/>
      <c r="AU68" s="1591"/>
      <c r="AV68" s="1591"/>
      <c r="AW68" s="1591"/>
      <c r="BC68" s="1602"/>
      <c r="BF68" s="1592"/>
      <c r="BG68" s="1601"/>
      <c r="BH68" s="1601"/>
      <c r="BI68" s="1601"/>
      <c r="BJ68" s="1601"/>
      <c r="BK68" s="1601"/>
      <c r="BL68" s="1601"/>
      <c r="BM68" s="1601"/>
      <c r="BN68" s="1601"/>
      <c r="BO68" s="1601"/>
      <c r="BP68" s="1606"/>
      <c r="BQ68" s="890"/>
      <c r="BR68" s="890"/>
      <c r="BS68" s="890"/>
      <c r="BT68" s="890"/>
      <c r="BU68" s="890"/>
      <c r="BV68" s="890"/>
      <c r="BW68" s="890"/>
      <c r="BX68" s="890"/>
      <c r="BY68" s="890"/>
      <c r="BZ68" s="890"/>
      <c r="CA68" s="890"/>
      <c r="CB68" s="890"/>
      <c r="CC68" s="890"/>
      <c r="CD68" s="890"/>
      <c r="CE68" s="890"/>
      <c r="CF68" s="1606"/>
      <c r="CG68" s="1692">
        <f t="shared" si="49"/>
        <v>0</v>
      </c>
      <c r="CH68" s="1693" t="str">
        <f t="shared" si="49"/>
        <v>Install (Physical)</v>
      </c>
      <c r="CI68" s="1181">
        <f>F68</f>
        <v>0</v>
      </c>
      <c r="CJ68" s="2719">
        <f>D67</f>
        <v>0</v>
      </c>
      <c r="CK68" s="2724">
        <f>T68</f>
        <v>10000</v>
      </c>
      <c r="CL68" s="1592"/>
      <c r="CM68" s="1594"/>
      <c r="CN68" s="1592"/>
      <c r="CQ68" s="1592"/>
      <c r="CR68" s="1594"/>
      <c r="CU68" s="1592"/>
      <c r="DA68" s="1592"/>
      <c r="DB68" s="1594"/>
      <c r="DE68" s="1592"/>
      <c r="DF68" s="1594"/>
      <c r="DI68" s="1592"/>
      <c r="DJ68" s="1602"/>
      <c r="DK68" s="1602"/>
      <c r="DL68" s="1592"/>
      <c r="DM68" s="1602"/>
      <c r="DN68" s="1594"/>
      <c r="DO68" s="1594"/>
      <c r="DP68" s="394"/>
      <c r="DQ68" s="1602"/>
      <c r="DR68" s="1597"/>
      <c r="DS68" s="1597"/>
      <c r="DT68" s="1415"/>
      <c r="DW68" s="1602"/>
      <c r="DX68" s="1597"/>
      <c r="DY68" s="1415"/>
      <c r="EC68" s="1602"/>
      <c r="ED68" s="1415"/>
      <c r="EH68" s="1597"/>
      <c r="EI68" s="1602"/>
      <c r="EJ68" s="1415"/>
      <c r="EN68" s="1597"/>
      <c r="EO68" s="1602"/>
      <c r="EP68" s="1415"/>
      <c r="ET68" s="1597"/>
      <c r="EU68" s="1602"/>
      <c r="EV68" s="1415"/>
      <c r="EZ68" s="1597"/>
      <c r="FA68" s="1602"/>
      <c r="FB68" s="1415"/>
      <c r="FF68" s="1597"/>
      <c r="FG68" s="1602"/>
      <c r="FH68" s="1415"/>
      <c r="FL68" s="1597"/>
      <c r="FM68" s="1602"/>
      <c r="FN68" s="1415"/>
      <c r="FR68" s="1597"/>
      <c r="FS68" s="1602"/>
      <c r="FT68" s="1415"/>
      <c r="FX68" s="1597"/>
      <c r="FY68" s="1602"/>
      <c r="FZ68" s="1415"/>
      <c r="GD68" s="1597"/>
      <c r="GE68" s="1602"/>
      <c r="GG68" s="1415"/>
      <c r="GJ68" s="1597"/>
      <c r="GK68" s="1602"/>
      <c r="GM68" s="1415"/>
      <c r="GO68" s="1415"/>
      <c r="GP68" s="1597"/>
      <c r="GQ68" s="1602"/>
      <c r="GS68" s="1415"/>
      <c r="GT68" s="1415"/>
    </row>
    <row r="69" spans="1:209" ht="15" outlineLevel="1" collapsed="1" x14ac:dyDescent="0.15">
      <c r="A69" s="916">
        <f>IF(A68=0,0,ROUND(100*A67,0)&amp;"% CPU")</f>
        <v>0</v>
      </c>
      <c r="B69" s="917">
        <f>IF(A68&gt;0,IF(I68=$J$163,K67&amp;": "&amp;F68&amp;"x "&amp;B67&amp;" "&amp;C67&amp;" GB RAM",$K67&amp;": "&amp;$F68&amp;"x VM ("&amp;I67&amp;" core "&amp;C67&amp;" GB RAM) "&amp;Q67&amp;" "&amp;L66&amp;" MHz"),0)</f>
        <v>0</v>
      </c>
      <c r="C69" s="1609" t="str">
        <f>IF(I68=$H$185,I68,I66)</f>
        <v>Physical</v>
      </c>
      <c r="D69" s="918">
        <f>A66</f>
        <v>0</v>
      </c>
      <c r="E69" s="919">
        <f>IF(E68&gt;0,ROUND(E68*60/1000,0)&amp;"K TPH",0)</f>
        <v>0</v>
      </c>
      <c r="F69" s="920">
        <f>+L68</f>
        <v>0</v>
      </c>
      <c r="G69" s="919">
        <f>IF(G68&gt;0,ROUND(G68*60/1000,0)&amp;"K TPH",0)</f>
        <v>0</v>
      </c>
      <c r="H69" s="921" t="str">
        <f>H$19</f>
        <v>Minimum</v>
      </c>
      <c r="I69" s="1736">
        <f>IF(I68=$J$163,0,I66)</f>
        <v>0</v>
      </c>
      <c r="J69" s="2086">
        <f>IF(AND(O66="/"&amp;$N$4,J68=$H$188),IF(F68&gt;0,(F68-1)*A68/(60*$H$190),0),0)</f>
        <v>0</v>
      </c>
      <c r="K69" s="2086">
        <f>IF(E66&gt;0,D68/E66,0)</f>
        <v>0</v>
      </c>
      <c r="L69" s="2080">
        <f>IF($W67=$W$163,2,F68)</f>
        <v>0</v>
      </c>
      <c r="M69" s="3134">
        <f>IF(AND(S69&gt;0,I68=$H$185),1,0)</f>
        <v>0</v>
      </c>
      <c r="N69" s="1618"/>
      <c r="O69" s="1618"/>
      <c r="P69" s="922"/>
      <c r="Q69" s="1737">
        <f>IF($A71&lt;0.9999, $A71/((1+$CJ$2*$A71*($L71-1))*(1-$A71)),200)</f>
        <v>5.4549196013964713E-2</v>
      </c>
      <c r="R69" s="1618"/>
      <c r="S69" s="3118">
        <f>IF(LEFT(B67,3)=S67,VLOOKUP(B67,HWRange,10,FALSE),0)</f>
        <v>0</v>
      </c>
      <c r="T69" s="940" t="str">
        <f>U69</f>
        <v>Data</v>
      </c>
      <c r="U69" s="1595" t="s">
        <v>329</v>
      </c>
      <c r="V69" s="1918">
        <f>IF(A67&gt;0,B69&amp;" "&amp;C69&amp;IF(B69="",""," GB RAM"),0)</f>
        <v>0</v>
      </c>
      <c r="W69" s="1819"/>
      <c r="X69" s="1819"/>
      <c r="Y69" s="1819"/>
      <c r="Z69" s="1819"/>
      <c r="AA69" s="1819"/>
      <c r="AB69" s="1819"/>
      <c r="AC69" s="1819"/>
      <c r="AD69" s="1819"/>
      <c r="AE69" s="1919">
        <f>IF(A67&gt;0,F67,0)</f>
        <v>0</v>
      </c>
      <c r="AF69" s="2876">
        <f>IF(A66=0,0,IF(LEFT(B67,3)=S67,VLOOKUP(B67,HWRange,12,FALSE),0)*F68)</f>
        <v>0</v>
      </c>
      <c r="AG69" s="2877" t="str">
        <f>IF(AF69&gt;0,S67&amp;" 3-yr Pricing","")</f>
        <v/>
      </c>
      <c r="AH69" s="2878"/>
      <c r="AI69" s="56"/>
      <c r="AJ69" s="1591"/>
      <c r="AK69" s="56"/>
      <c r="AL69" s="1591"/>
      <c r="AM69" s="56"/>
      <c r="AN69" s="1591"/>
      <c r="AO69" s="56"/>
      <c r="AP69" s="1591"/>
      <c r="AQ69" s="56"/>
      <c r="AR69" s="1591"/>
      <c r="AS69" s="56"/>
      <c r="AT69" s="1591"/>
      <c r="AU69" s="1591"/>
      <c r="AV69" s="1591"/>
      <c r="AW69" s="1591"/>
      <c r="AX69" s="1601"/>
      <c r="AY69" s="1601"/>
      <c r="BC69" s="1614"/>
      <c r="BF69" s="1592"/>
      <c r="BG69" s="1601"/>
      <c r="BH69" s="1601"/>
      <c r="BI69" s="1601"/>
      <c r="BJ69" s="1601"/>
      <c r="BK69" s="1601"/>
      <c r="BL69" s="1601"/>
      <c r="BM69" s="1601"/>
      <c r="BN69" s="1601"/>
      <c r="BO69" s="1601"/>
      <c r="BP69" s="1619"/>
      <c r="BQ69" s="923"/>
      <c r="BR69" s="923"/>
      <c r="BS69" s="923"/>
      <c r="BT69" s="923"/>
      <c r="BU69" s="923"/>
      <c r="BV69" s="923"/>
      <c r="BW69" s="923"/>
      <c r="BX69" s="923"/>
      <c r="BY69" s="923"/>
      <c r="BZ69" s="923"/>
      <c r="CA69" s="923"/>
      <c r="CB69" s="923"/>
      <c r="CC69" s="923"/>
      <c r="CD69" s="923"/>
      <c r="CE69" s="923"/>
      <c r="CF69" s="1619"/>
      <c r="CG69" s="3403">
        <f>B69</f>
        <v>0</v>
      </c>
      <c r="CH69" s="3404"/>
      <c r="CI69" s="3404"/>
      <c r="CJ69" s="3404"/>
      <c r="CK69" s="2723"/>
      <c r="CL69" s="1592"/>
      <c r="CM69" s="1594"/>
      <c r="CN69" s="1592"/>
      <c r="CQ69" s="1592"/>
      <c r="CR69" s="1594"/>
      <c r="CU69" s="1592"/>
      <c r="CY69" s="1681"/>
      <c r="DA69" s="1592"/>
      <c r="DB69" s="1594"/>
      <c r="DE69" s="1592"/>
      <c r="DF69" s="1594"/>
      <c r="DI69" s="1592"/>
      <c r="DJ69" s="1614"/>
      <c r="DK69" s="1614"/>
      <c r="DL69" s="1592"/>
      <c r="DM69" s="1614"/>
      <c r="DN69" s="1594"/>
      <c r="DO69" s="1594"/>
      <c r="DP69" s="394"/>
      <c r="DQ69" s="1614"/>
      <c r="DR69" s="1597"/>
      <c r="DS69" s="1597"/>
      <c r="DT69" s="1415"/>
      <c r="DW69" s="1614"/>
      <c r="DX69" s="1597"/>
      <c r="DY69" s="1415"/>
      <c r="EC69" s="1614"/>
      <c r="ED69" s="1415"/>
      <c r="EH69" s="1597"/>
      <c r="EI69" s="1614"/>
      <c r="EJ69" s="1415"/>
      <c r="EN69" s="1597"/>
      <c r="EO69" s="1614"/>
      <c r="EP69" s="1415"/>
      <c r="ET69" s="1597"/>
      <c r="EU69" s="1614"/>
      <c r="EV69" s="1415"/>
      <c r="EZ69" s="1597"/>
      <c r="FA69" s="1614"/>
      <c r="FB69" s="1415"/>
      <c r="FF69" s="1597"/>
      <c r="FG69" s="1614"/>
      <c r="FH69" s="1415"/>
      <c r="FL69" s="1597"/>
      <c r="FM69" s="1614"/>
      <c r="FN69" s="1415"/>
      <c r="FR69" s="1597"/>
      <c r="FS69" s="1614"/>
      <c r="FT69" s="1415"/>
      <c r="FX69" s="1597"/>
      <c r="FY69" s="1614"/>
      <c r="FZ69" s="1415"/>
      <c r="GD69" s="1597"/>
      <c r="GE69" s="1614"/>
      <c r="GG69" s="1415"/>
      <c r="GJ69" s="1597"/>
      <c r="GK69" s="1614"/>
      <c r="GM69" s="1415"/>
      <c r="GO69" s="1415"/>
      <c r="GP69" s="1597"/>
      <c r="GQ69" s="1614"/>
      <c r="GS69" s="1415"/>
      <c r="GT69" s="1415"/>
    </row>
    <row r="70" spans="1:209" ht="17" outlineLevel="2" thickBot="1" x14ac:dyDescent="0.25">
      <c r="A70" s="2826">
        <f>IF(O72&gt;0,A72/O72,0)</f>
        <v>277.77777777777777</v>
      </c>
      <c r="B70" s="552" t="s">
        <v>1454</v>
      </c>
      <c r="C70" s="136" t="str">
        <f>VLOOKUP(B71,Hardware!$A$2:$I$632,9,FALSE)</f>
        <v>Intel</v>
      </c>
      <c r="D70" s="137" t="str">
        <f>D66</f>
        <v>Arc18=</v>
      </c>
      <c r="E70" s="138">
        <f>IF(GG$18=0,0,IF(GK$18&gt;0,GK$18/GH$18))</f>
        <v>8.2191985088536819E-3</v>
      </c>
      <c r="F70" s="139" t="s">
        <v>328</v>
      </c>
      <c r="G70" s="1585"/>
      <c r="H70" s="1586">
        <v>0.8</v>
      </c>
      <c r="I70" s="1739" t="str">
        <f>I66</f>
        <v>Host02</v>
      </c>
      <c r="J70" s="207">
        <f>IF(K70&gt;0,K70,IF(I72=Calculator!$H$158,1, IF(OR(R70=Calculator!$H$162,R70=Calculator!$H$163), VLOOKUP(I72,VAdjust,2,FALSE),1)))</f>
        <v>1</v>
      </c>
      <c r="K70" s="2456"/>
      <c r="L70" s="722">
        <f>VLOOKUP(B71,HWRange,5,FALSE)</f>
        <v>3600</v>
      </c>
      <c r="M70" s="464" t="str">
        <f>IF(ISERROR(VLOOKUP($K71,$L$5:$L$15,1,FALSE)),"","/"&amp;$L$4)</f>
        <v>/Web</v>
      </c>
      <c r="N70" s="257" t="str">
        <f>IF(ISERROR(VLOOKUP($K71,$M$5:$M$15,1,FALSE)),IF(ISERROR(VLOOKUP($K71,$M$5:$M$15,1,FALSE)),"","/"&amp;$M$4),"/"&amp;$M$4)</f>
        <v>/Portal</v>
      </c>
      <c r="O70" s="465" t="str">
        <f>IF(ISERROR(VLOOKUP($K71,$N$5:$N$15,1,FALSE)),IF(ISERROR(VLOOKUP($K71,$N$5:$N$15,1,FALSE)),"","/"&amp;$N$4),"/"&amp;$N$4)</f>
        <v/>
      </c>
      <c r="P70" s="1587">
        <f>IF(A71=0,0,IF(P72&gt;0,1000*C71/C72,1000*C71/C72))/2</f>
        <v>2.180002471882339</v>
      </c>
      <c r="Q70" s="1734">
        <f>IF(I72=$J$163,0,VLOOKUP(I70,HostArray,2,FALSE))</f>
        <v>0</v>
      </c>
      <c r="R70" s="1588" t="s">
        <v>412</v>
      </c>
      <c r="S70" s="3071" t="str">
        <f>IF(S71=LEFT(B71,3),_xlfn.NUMBERVALUE(MID(B71,FIND("(",B71,1)+1,FIND(")",B71,1)-FIND("(",B71,1)-3)),"")</f>
        <v/>
      </c>
      <c r="T70" s="135">
        <v>10000</v>
      </c>
      <c r="U70" s="1616">
        <f>IF(E70&gt;0,IF(AND(M72="",N72=""),GI$18/F72,GJ$18/F72),0)</f>
        <v>55.555555555555557</v>
      </c>
      <c r="V70" s="1822" t="str">
        <f t="shared" ref="V70:AD70" si="52">IF(V72&gt;0,IF($A71&gt;0.5,$A71,""),0)</f>
        <v/>
      </c>
      <c r="W70" s="1823">
        <f>IF(AND($W71=W$163,$H73=I$187),W$164,IF(W72&gt;0,IF($A71&gt;0.5,$A71,""),0))</f>
        <v>0</v>
      </c>
      <c r="X70" s="1823">
        <f t="shared" si="52"/>
        <v>0</v>
      </c>
      <c r="Y70" s="1823">
        <f t="shared" si="52"/>
        <v>0</v>
      </c>
      <c r="Z70" s="1823">
        <f t="shared" si="52"/>
        <v>0</v>
      </c>
      <c r="AA70" s="1823">
        <f t="shared" si="52"/>
        <v>0</v>
      </c>
      <c r="AB70" s="1823">
        <f t="shared" si="52"/>
        <v>0</v>
      </c>
      <c r="AC70" s="1823">
        <f t="shared" si="52"/>
        <v>0</v>
      </c>
      <c r="AD70" s="1824">
        <f t="shared" si="52"/>
        <v>0</v>
      </c>
      <c r="AE70" s="1825">
        <f>L73</f>
        <v>1</v>
      </c>
      <c r="AF70" s="2977" t="str">
        <f>IF(I72=$H$187,$AF$18,"")</f>
        <v/>
      </c>
      <c r="AG70" s="1600"/>
      <c r="AH70" s="1600"/>
      <c r="AI70" s="56"/>
      <c r="AJ70" s="1600"/>
      <c r="AK70" s="56"/>
      <c r="AL70" s="1600"/>
      <c r="AM70" s="56"/>
      <c r="AN70" s="1600"/>
      <c r="AO70" s="56"/>
      <c r="AP70" s="1600"/>
      <c r="AQ70" s="56"/>
      <c r="AR70" s="1600"/>
      <c r="AS70" s="56"/>
      <c r="AT70" s="1600"/>
      <c r="AU70" s="1600"/>
      <c r="AV70" s="1600"/>
      <c r="AW70" s="1600"/>
      <c r="AX70" s="2"/>
      <c r="AY70" s="2"/>
      <c r="BC70" s="1"/>
      <c r="BF70" s="1592"/>
      <c r="BG70" s="1601"/>
      <c r="BH70" s="1601"/>
      <c r="BI70" s="1601"/>
      <c r="BJ70" s="1601"/>
      <c r="BK70" s="1601"/>
      <c r="BL70" s="1601"/>
      <c r="BM70" s="1601"/>
      <c r="BN70" s="1593"/>
      <c r="BO70" s="1593"/>
      <c r="BP70" s="889"/>
      <c r="BQ70" s="892"/>
      <c r="BR70" s="892"/>
      <c r="BS70" s="892"/>
      <c r="BT70" s="892"/>
      <c r="BU70" s="892"/>
      <c r="BV70" s="892"/>
      <c r="BW70" s="892"/>
      <c r="BX70" s="892"/>
      <c r="BY70" s="892"/>
      <c r="BZ70" s="892"/>
      <c r="CA70" s="892"/>
      <c r="CB70" s="892"/>
      <c r="CC70" s="892"/>
      <c r="CD70" s="892"/>
      <c r="CE70" s="892"/>
      <c r="CF70" s="1615"/>
      <c r="CG70" s="1689">
        <f t="shared" ref="CG70:CH72" si="53">A70</f>
        <v>277.77777777777777</v>
      </c>
      <c r="CH70" s="1690" t="str">
        <f t="shared" si="53"/>
        <v>Web: Platform Tier 13</v>
      </c>
      <c r="CI70" s="1179" t="str">
        <f>F70</f>
        <v>SRint2006</v>
      </c>
      <c r="CJ70" s="2718"/>
      <c r="CK70" s="2724">
        <f>T70</f>
        <v>10000</v>
      </c>
      <c r="CL70" s="1592"/>
      <c r="CM70" s="1594"/>
      <c r="CN70" s="1592"/>
      <c r="CQ70" s="1592"/>
      <c r="CR70" s="1594"/>
      <c r="CU70" s="1592"/>
      <c r="DA70" s="1592"/>
      <c r="DB70" s="1594"/>
      <c r="DE70" s="1592"/>
      <c r="DF70" s="1594"/>
      <c r="DI70" s="1592"/>
      <c r="DJ70" s="1"/>
      <c r="DK70" s="1"/>
      <c r="DL70" s="1592"/>
      <c r="DM70" s="1"/>
      <c r="DN70" s="1594"/>
      <c r="DO70" s="1595"/>
      <c r="DP70" s="394"/>
      <c r="DQ70" s="1"/>
      <c r="DR70" s="1593"/>
      <c r="DS70" s="1593"/>
      <c r="DT70" s="1415"/>
      <c r="DW70" s="1"/>
      <c r="DX70" s="1593"/>
      <c r="DY70" s="1415"/>
      <c r="EC70" s="1"/>
      <c r="ED70" s="1415"/>
      <c r="EH70" s="1593"/>
      <c r="EI70" s="1"/>
      <c r="EJ70" s="1415"/>
      <c r="EN70" s="1593"/>
      <c r="EO70" s="1"/>
      <c r="EP70" s="1415"/>
      <c r="ET70" s="1593"/>
      <c r="EU70" s="1"/>
      <c r="EV70" s="1415"/>
      <c r="EZ70" s="1593"/>
      <c r="FA70" s="1"/>
      <c r="FB70" s="1415"/>
      <c r="FF70" s="1593"/>
      <c r="FG70" s="1"/>
      <c r="FH70" s="1415"/>
      <c r="FL70" s="1593"/>
      <c r="FM70" s="1"/>
      <c r="FN70" s="1415"/>
      <c r="FR70" s="1593"/>
      <c r="FS70" s="1"/>
      <c r="FT70" s="1415"/>
      <c r="FX70" s="1593"/>
      <c r="FY70" s="1"/>
      <c r="FZ70" s="1415"/>
      <c r="GD70" s="1593"/>
      <c r="GE70" s="1"/>
      <c r="GG70" s="1415"/>
      <c r="GJ70" s="1593"/>
      <c r="GK70" s="1"/>
      <c r="GM70" s="1415"/>
      <c r="GO70" s="1415"/>
      <c r="GP70" s="1593"/>
      <c r="GQ70" s="1"/>
      <c r="GS70" s="1415"/>
      <c r="GT70" s="1415"/>
    </row>
    <row r="71" spans="1:209" ht="15" outlineLevel="2" x14ac:dyDescent="0.2">
      <c r="A71" s="2827">
        <f>IF(E70=0,0,A72/G72)</f>
        <v>6.0555624218953857E-2</v>
      </c>
      <c r="B71" s="156" t="s">
        <v>1816</v>
      </c>
      <c r="C71" s="206">
        <f>ROUND(IF(P72&gt;0,2*P72*C72/1000, IF(L72=0,0, IF(I72=Calculator!$H$160, Calculator!$J$160*(1+L71), IF(K72=4, 4*H70*G71/13.4,L71*Calculator!$J$151)))),0)</f>
        <v>16</v>
      </c>
      <c r="D71" s="205">
        <f>F72*L71</f>
        <v>4</v>
      </c>
      <c r="E71" s="70">
        <f>IF(I72=J163,F72*VLOOKUP(B71,HWRange,8,FALSE),"Virtual Server")</f>
        <v>1</v>
      </c>
      <c r="F71" s="71">
        <f>IF(I72=$J$163,VLOOKUP(B71,HWRange,7,FALSE),IF(I71&gt;VLOOKUP(B71,HWRange,3,FALSE),VLOOKUP(B71,HWRange,7,FALSE)*VLOOKUP(B71,HWRange,3,FALSE)/I71,VLOOKUP(B71,HWRange,7,FALSE)))</f>
        <v>69.75</v>
      </c>
      <c r="G71" s="157">
        <f>IF(I72=$J$163,VLOOKUP(B71,HWRange,6,FALSE),VLOOKUP(B71,HWRange,6,FALSE)*I71/VLOOKUP(B71,HWRange,3,FALSE))</f>
        <v>279</v>
      </c>
      <c r="H71" s="161" t="s">
        <v>365</v>
      </c>
      <c r="I71" s="1247">
        <v>2</v>
      </c>
      <c r="J71" s="1881"/>
      <c r="K71" s="756" t="str">
        <f>A177</f>
        <v>Web</v>
      </c>
      <c r="L71" s="491">
        <f>IF(I72=$J$163,VLOOKUP(B71,HWRange,3,FALSE),I71)</f>
        <v>4</v>
      </c>
      <c r="M71" s="466" t="str">
        <f>IF(ISERROR(VLOOKUP($K71,$J$5:$J$15,1,FALSE)),IF(ISERROR(VLOOKUP($K71,$J$5:$J$15,1,FALSE)),"","/"&amp;$J$4),"/"&amp;$J$4)</f>
        <v/>
      </c>
      <c r="N71" s="467" t="str">
        <f>IF(ISERROR(VLOOKUP($K71,$K$5:$K$15,1,FALSE)),"","/"&amp;$K$4)</f>
        <v/>
      </c>
      <c r="O71" s="468">
        <f>IF(AND(O70="",M72=""),0,D71)</f>
        <v>0</v>
      </c>
      <c r="P71" s="1596" t="str">
        <f>IF(NOT(M71=""),Calculator!$A$158,IF(NOT(N71=""),Calculator!$B$158,IF(NOT(O70=""), Calculator!$C$158,Calculator!$G$158)))</f>
        <v>WindowsLinuxSolarisAIXHPUX</v>
      </c>
      <c r="Q71" s="1246" t="str">
        <f>VLOOKUP(B71,HWRange,2,FALSE)</f>
        <v>Xeon Gold 5122</v>
      </c>
      <c r="R71" s="1187">
        <f>F72*VLOOKUP(B71,HWRange,8,FALSE)</f>
        <v>1</v>
      </c>
      <c r="S71" s="3070">
        <f>IF(OR(LEFT(B71,3)="AMI",LEFT(B71,3)="AZI"),LEFT(B71,3),0)</f>
        <v>0</v>
      </c>
      <c r="T71" s="1625" t="s">
        <v>366</v>
      </c>
      <c r="U71" s="1599" t="s">
        <v>307</v>
      </c>
      <c r="V71" s="822">
        <f t="shared" ref="V71:AD71" si="54">IF(V72=0,0,IF($A71&lt;0.5,$A71,"+"))</f>
        <v>6.0555624218953857E-2</v>
      </c>
      <c r="W71" s="2063">
        <f>IF(AND($N72="/"&amp;$Q$4,$H73=I$187,$H72=0),W$163,IF(W72=0,0,IF($A71&lt;0.5,$A71,"+")))</f>
        <v>0</v>
      </c>
      <c r="X71" s="318">
        <f t="shared" si="54"/>
        <v>0</v>
      </c>
      <c r="Y71" s="318">
        <f t="shared" si="54"/>
        <v>0</v>
      </c>
      <c r="Z71" s="318">
        <f t="shared" si="54"/>
        <v>0</v>
      </c>
      <c r="AA71" s="318">
        <f t="shared" si="54"/>
        <v>0</v>
      </c>
      <c r="AB71" s="318">
        <f t="shared" si="54"/>
        <v>0</v>
      </c>
      <c r="AC71" s="318">
        <f t="shared" si="54"/>
        <v>0</v>
      </c>
      <c r="AD71" s="823">
        <f t="shared" si="54"/>
        <v>0</v>
      </c>
      <c r="AE71" s="1185">
        <f>D71</f>
        <v>4</v>
      </c>
      <c r="AF71" s="2998">
        <f>AF$19</f>
        <v>24</v>
      </c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1601"/>
      <c r="AY71" s="1601"/>
      <c r="BC71" s="1602"/>
      <c r="BF71" s="1592"/>
      <c r="BG71" s="1601"/>
      <c r="BH71" s="1601"/>
      <c r="BI71" s="1601"/>
      <c r="BJ71" s="1601"/>
      <c r="BK71" s="1601"/>
      <c r="BL71" s="1601"/>
      <c r="BM71" s="1601"/>
      <c r="BN71" s="1601"/>
      <c r="BO71" s="1601"/>
      <c r="BP71" s="885">
        <f>IF(A71&gt;0,1,0)</f>
        <v>1</v>
      </c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1691">
        <f t="shared" si="53"/>
        <v>6.0555624218953857E-2</v>
      </c>
      <c r="CH71" s="1590" t="str">
        <f t="shared" si="53"/>
        <v>Xeon Gold 5122 4 core (1 chip) 3600 MHz</v>
      </c>
      <c r="CI71" s="1180">
        <f>F71</f>
        <v>69.75</v>
      </c>
      <c r="CJ71" s="1180">
        <f>G71</f>
        <v>279</v>
      </c>
      <c r="CK71" s="2723"/>
      <c r="CL71" s="1592"/>
      <c r="CM71" s="1594"/>
      <c r="CN71" s="1592"/>
      <c r="CQ71" s="1592"/>
      <c r="CR71" s="1594"/>
      <c r="CU71" s="1592"/>
      <c r="DA71" s="1592"/>
      <c r="DB71" s="1594"/>
      <c r="DE71" s="1592"/>
      <c r="DF71" s="1594"/>
      <c r="DI71" s="1592"/>
      <c r="DJ71" s="1602"/>
      <c r="DK71" s="1602"/>
      <c r="DL71" s="1592"/>
      <c r="DM71" s="1602"/>
      <c r="DN71" s="1594"/>
      <c r="DO71" s="1594"/>
      <c r="DP71" s="394"/>
      <c r="DQ71" s="1602"/>
      <c r="DR71" s="1594"/>
      <c r="DS71" s="1594"/>
      <c r="DT71" s="1415"/>
      <c r="DW71" s="1602"/>
      <c r="DX71" s="1594"/>
      <c r="DY71" s="1415"/>
      <c r="EC71" s="1602"/>
      <c r="ED71" s="1415"/>
      <c r="EH71" s="1594"/>
      <c r="EI71" s="1602"/>
      <c r="EJ71" s="1415"/>
      <c r="EN71" s="1594"/>
      <c r="EO71" s="1602"/>
      <c r="EP71" s="1415"/>
      <c r="ET71" s="1594"/>
      <c r="EU71" s="1602"/>
      <c r="EV71" s="1415"/>
      <c r="EZ71" s="1594"/>
      <c r="FA71" s="1602"/>
      <c r="FB71" s="1415"/>
      <c r="FF71" s="1594"/>
      <c r="FG71" s="1602"/>
      <c r="FH71" s="1415"/>
      <c r="FL71" s="1594"/>
      <c r="FM71" s="1602"/>
      <c r="FN71" s="1415"/>
      <c r="FR71" s="1594"/>
      <c r="FS71" s="1602"/>
      <c r="FT71" s="1415"/>
      <c r="FX71" s="1594"/>
      <c r="FY71" s="1602"/>
      <c r="FZ71" s="1415"/>
      <c r="GD71" s="1594"/>
      <c r="GE71" s="1602"/>
      <c r="GG71" s="1415"/>
      <c r="GJ71" s="1594"/>
      <c r="GK71" s="1602"/>
      <c r="GM71" s="1415"/>
      <c r="GO71" s="1415"/>
      <c r="GP71" s="1594"/>
      <c r="GQ71" s="1602"/>
      <c r="GS71" s="1415"/>
      <c r="GT71" s="1415"/>
    </row>
    <row r="72" spans="1:209" ht="14" outlineLevel="2" thickBot="1" x14ac:dyDescent="0.2">
      <c r="A72" s="2828">
        <f>IF(E70=0,0,GH$18)</f>
        <v>1666.6666666666667</v>
      </c>
      <c r="B72" s="3086" t="str">
        <f>"Install ("&amp;C73&amp;M70&amp;N70&amp;O70&amp;M71&amp;N71&amp;M72&amp;N72&amp;")"</f>
        <v>Install (Physical/Web/Portal)</v>
      </c>
      <c r="C72" s="258">
        <f>IF(E70=0,0, IF(I72=Calculator!$H$160,1,E72/O72)*H70)</f>
        <v>3669.7206095790993</v>
      </c>
      <c r="D72" s="140">
        <f>IF(J72=$H$188,J73,0)+IF(E70=0,0,J70*E70)*($BO$2/F71)</f>
        <v>8.7200098875293546E-3</v>
      </c>
      <c r="E72" s="141">
        <f>IF(E70=0,0,L71*60/D72)</f>
        <v>27522.904571843246</v>
      </c>
      <c r="F72" s="142">
        <f>IF(L72=0,0,IF(H72,H72,IF(I72=Calculator!$H$160,A70,IF(N72="/DBMS",1,IF(H73=$I$187,IF(N71="",IF(L72=1,2,L72),L72+1),L72)))))</f>
        <v>1</v>
      </c>
      <c r="G72" s="158">
        <f>IF(E70=0,0,IF(F72&gt;0,+E72*F72,"Nodes?"))</f>
        <v>27522.904571843246</v>
      </c>
      <c r="H72" s="143"/>
      <c r="I72" s="1248" t="s">
        <v>408</v>
      </c>
      <c r="J72" s="3227" t="str">
        <f>J68</f>
        <v xml:space="preserve">Siloed </v>
      </c>
      <c r="K72" s="1604">
        <f>IF(AND(N72="",N71=""),2,4)</f>
        <v>2</v>
      </c>
      <c r="L72" s="1605">
        <f>IF(H72,H72,IF(E70=0,0,IF(A72&gt;0,+INT(A72/(E72*H70))+1,0)))</f>
        <v>1</v>
      </c>
      <c r="M72" s="469" t="str">
        <f>IF(ISERROR(VLOOKUP($K71,$O$5:$O$15,1,FALSE)),IF(ISERROR(VLOOKUP($K71,$O$5:$O$15,1,FALSE)),"","/"&amp;$O$4),"/"&amp;$O$4)</f>
        <v/>
      </c>
      <c r="N72" s="470" t="str">
        <f>IF(ISERROR(VLOOKUP($K71,$Q$5:$Q$15,1,FALSE)),IF(ISERROR(VLOOKUP($K71,$Q$5:$Q$15,1,FALSE)),"","/"&amp;$Q$4),"/"&amp;$Q$4)</f>
        <v/>
      </c>
      <c r="O72" s="471">
        <f>IF($GG$18&gt;0,$GH$18/$GG$18,0)</f>
        <v>6</v>
      </c>
      <c r="P72" s="886"/>
      <c r="Q72" s="1714">
        <f>D71/VLOOKUP(B71,HWRange,3,FALSE)</f>
        <v>1</v>
      </c>
      <c r="R72" s="1877">
        <f>P177</f>
        <v>0</v>
      </c>
      <c r="S72" s="1982">
        <f>IF(E70=0,0,H70*A70/A71)</f>
        <v>3669.7206095790993</v>
      </c>
      <c r="T72" s="135">
        <v>10000</v>
      </c>
      <c r="U72" s="1608">
        <f>IF(E70=0,0,IF(U73=$I$188,U70,GJ$18/F72))</f>
        <v>55.555555555555557</v>
      </c>
      <c r="V72" s="1826">
        <f>IF(G72&gt;0,1,0)</f>
        <v>1</v>
      </c>
      <c r="W72" s="1827">
        <f t="shared" ref="W72:AC72" si="55">IF(V72&gt;0,IF($F72&gt;V72,V72+1,0),0)</f>
        <v>0</v>
      </c>
      <c r="X72" s="1827">
        <f t="shared" si="55"/>
        <v>0</v>
      </c>
      <c r="Y72" s="1827">
        <f t="shared" si="55"/>
        <v>0</v>
      </c>
      <c r="Z72" s="1827">
        <f t="shared" si="55"/>
        <v>0</v>
      </c>
      <c r="AA72" s="1827">
        <f t="shared" si="55"/>
        <v>0</v>
      </c>
      <c r="AB72" s="1827">
        <f t="shared" si="55"/>
        <v>0</v>
      </c>
      <c r="AC72" s="1827">
        <f t="shared" si="55"/>
        <v>0</v>
      </c>
      <c r="AD72" s="1828">
        <f>IF(AC72&gt;0,IF($F72&gt;AC72,"…"&amp;$F72,0),0)</f>
        <v>0</v>
      </c>
      <c r="AE72" s="1829">
        <f>A71</f>
        <v>6.0555624218953857E-2</v>
      </c>
      <c r="AF72" s="2978">
        <f>IF(AF71="","",IF(H72=0,0,H72/AF71+IF(H73=$I$187,1,0)))</f>
        <v>0</v>
      </c>
      <c r="AG72" s="1591"/>
      <c r="AH72" s="1591"/>
      <c r="AI72" s="56"/>
      <c r="AJ72" s="1591"/>
      <c r="AK72" s="56"/>
      <c r="AL72" s="1591"/>
      <c r="AM72" s="56"/>
      <c r="AN72" s="1591"/>
      <c r="AO72" s="56"/>
      <c r="AP72" s="1591"/>
      <c r="AQ72" s="56"/>
      <c r="AR72" s="1591"/>
      <c r="AS72" s="56"/>
      <c r="AT72" s="1591"/>
      <c r="AU72" s="1591"/>
      <c r="AV72" s="1591"/>
      <c r="AW72" s="1591"/>
      <c r="BC72" s="1602"/>
      <c r="BF72" s="1592"/>
      <c r="BG72" s="1601"/>
      <c r="BH72" s="1601"/>
      <c r="BI72" s="1601"/>
      <c r="BJ72" s="1601"/>
      <c r="BK72" s="1601"/>
      <c r="BL72" s="1601"/>
      <c r="BM72" s="1601"/>
      <c r="BN72" s="1601"/>
      <c r="BO72" s="1601"/>
      <c r="BP72" s="1606"/>
      <c r="BQ72" s="890"/>
      <c r="BR72" s="890"/>
      <c r="BS72" s="890"/>
      <c r="BT72" s="890"/>
      <c r="BU72" s="890"/>
      <c r="BV72" s="890"/>
      <c r="BW72" s="890"/>
      <c r="BX72" s="890"/>
      <c r="BY72" s="890"/>
      <c r="BZ72" s="890"/>
      <c r="CA72" s="890"/>
      <c r="CB72" s="890"/>
      <c r="CC72" s="890"/>
      <c r="CD72" s="890"/>
      <c r="CE72" s="890"/>
      <c r="CF72" s="1606"/>
      <c r="CG72" s="1692">
        <f t="shared" si="53"/>
        <v>1666.6666666666667</v>
      </c>
      <c r="CH72" s="1693" t="str">
        <f t="shared" si="53"/>
        <v>Install (Physical/Web/Portal)</v>
      </c>
      <c r="CI72" s="1181">
        <f>F72</f>
        <v>1</v>
      </c>
      <c r="CJ72" s="2719">
        <f>D71</f>
        <v>4</v>
      </c>
      <c r="CK72" s="2724">
        <f>T72</f>
        <v>10000</v>
      </c>
      <c r="CL72" s="1592"/>
      <c r="CM72" s="1594"/>
      <c r="CN72" s="1592"/>
      <c r="CQ72" s="1592"/>
      <c r="CR72" s="1594"/>
      <c r="CU72" s="1592"/>
      <c r="DA72" s="1592"/>
      <c r="DB72" s="1594"/>
      <c r="DE72" s="1592"/>
      <c r="DF72" s="1594"/>
      <c r="DI72" s="1592"/>
      <c r="DJ72" s="1602"/>
      <c r="DK72" s="1602"/>
      <c r="DL72" s="1592"/>
      <c r="DM72" s="1602"/>
      <c r="DN72" s="1594"/>
      <c r="DO72" s="1594"/>
      <c r="DP72" s="394"/>
      <c r="DQ72" s="1602"/>
      <c r="DR72" s="1597"/>
      <c r="DS72" s="1597"/>
      <c r="DT72" s="1415"/>
      <c r="DW72" s="1602"/>
      <c r="DX72" s="1597"/>
      <c r="DY72" s="1415"/>
      <c r="EC72" s="1602"/>
      <c r="ED72" s="1415"/>
      <c r="EH72" s="1597"/>
      <c r="EI72" s="1602"/>
      <c r="EJ72" s="1415"/>
      <c r="EN72" s="1597"/>
      <c r="EO72" s="1602"/>
      <c r="EP72" s="1415"/>
      <c r="ET72" s="1597"/>
      <c r="EU72" s="1602"/>
      <c r="EV72" s="1415"/>
      <c r="EZ72" s="1597"/>
      <c r="FA72" s="1602"/>
      <c r="FB72" s="1415"/>
      <c r="FF72" s="1597"/>
      <c r="FG72" s="1602"/>
      <c r="FH72" s="1415"/>
      <c r="FL72" s="1597"/>
      <c r="FM72" s="1602"/>
      <c r="FN72" s="1415"/>
      <c r="FR72" s="1597"/>
      <c r="FS72" s="1602"/>
      <c r="FT72" s="1415"/>
      <c r="FX72" s="1597"/>
      <c r="FY72" s="1602"/>
      <c r="FZ72" s="1415"/>
      <c r="GD72" s="1597"/>
      <c r="GE72" s="1602"/>
      <c r="GG72" s="1415"/>
      <c r="GJ72" s="1597"/>
      <c r="GK72" s="1602"/>
      <c r="GM72" s="1415"/>
      <c r="GO72" s="1415"/>
      <c r="GP72" s="1597"/>
      <c r="GQ72" s="1602"/>
      <c r="GS72" s="1415"/>
      <c r="GT72" s="1415"/>
    </row>
    <row r="73" spans="1:209" ht="15" outlineLevel="1" x14ac:dyDescent="0.15">
      <c r="A73" s="916" t="str">
        <f>IF(A72=0,0,ROUND(100*A71,0)&amp;"% CPU")</f>
        <v>6% CPU</v>
      </c>
      <c r="B73" s="917" t="str">
        <f>IF(A72&gt;0,IF(I72=$J$163,K71&amp;": "&amp;F72&amp;"x "&amp;B71&amp;" "&amp;C71&amp;" GB RAM",$K71&amp;": "&amp;$F72&amp;"x VM ("&amp;I71&amp;" core "&amp;C71&amp;" GB RAM) "&amp;Q71&amp;" "&amp;L70&amp;" MHz"),0)</f>
        <v>Web: 1x Xeon Gold 5122 4 core (1 chip) 3600 MHz 16 GB RAM</v>
      </c>
      <c r="C73" s="1609" t="str">
        <f>IF(I72=$H$185,I72,I70)</f>
        <v>Physical</v>
      </c>
      <c r="D73" s="918">
        <f>A70</f>
        <v>277.77777777777777</v>
      </c>
      <c r="E73" s="919" t="str">
        <f>IF(E72&gt;0,ROUND(E72*60/1000,0)&amp;"K TPH",0)</f>
        <v>1651K TPH</v>
      </c>
      <c r="F73" s="920">
        <f>+L72</f>
        <v>1</v>
      </c>
      <c r="G73" s="919" t="str">
        <f>IF(G72&gt;0,ROUND(G72*60/1000,0)&amp;"K TPH",0)</f>
        <v>1651K TPH</v>
      </c>
      <c r="H73" s="921" t="str">
        <f>H$19</f>
        <v>Minimum</v>
      </c>
      <c r="I73" s="1736">
        <f>IF(I72=$J$163,0,I70)</f>
        <v>0</v>
      </c>
      <c r="J73" s="2086">
        <f>IF(AND(O70="/"&amp;$N$4,J72=$H$188),IF(F72&gt;0,(F72-1)*A72/(60*$H$190),0),0)</f>
        <v>0</v>
      </c>
      <c r="K73" s="2086">
        <f>IF(E70&gt;0,D72/E70,0)</f>
        <v>1.0609318996415771</v>
      </c>
      <c r="L73" s="2080">
        <f>IF($W71=$W$163,2,F72)</f>
        <v>1</v>
      </c>
      <c r="M73" s="3134">
        <f>IF(AND(S73&gt;0,I72=$H$185),1,0)</f>
        <v>0</v>
      </c>
      <c r="N73" s="1618"/>
      <c r="O73" s="1618"/>
      <c r="P73" s="922"/>
      <c r="Q73" s="1737">
        <f>IF($A75&lt;0.9999, $A75/((1+$CJ$2*$A75*($L75-1))*(1-$A75)),200)</f>
        <v>0.70218016513240689</v>
      </c>
      <c r="R73" s="1618"/>
      <c r="S73" s="3118">
        <f>IF(LEFT(B71,3)=S71,VLOOKUP(B71,HWRange,10,FALSE),0)</f>
        <v>0</v>
      </c>
      <c r="T73" s="940" t="str">
        <f>U73</f>
        <v>Client</v>
      </c>
      <c r="U73" s="1595" t="s">
        <v>303</v>
      </c>
      <c r="V73" s="1918" t="str">
        <f>IF(A71&gt;0,B73&amp;" "&amp;C73&amp;IF(B73="",""," GB RAM"),0)</f>
        <v>Web: 1x Xeon Gold 5122 4 core (1 chip) 3600 MHz 16 GB RAM Physical GB RAM</v>
      </c>
      <c r="W73" s="1819"/>
      <c r="X73" s="1819"/>
      <c r="Y73" s="1819"/>
      <c r="Z73" s="1819"/>
      <c r="AA73" s="1819"/>
      <c r="AB73" s="1819"/>
      <c r="AC73" s="1819"/>
      <c r="AD73" s="1819"/>
      <c r="AE73" s="1919">
        <f>IF(A71&gt;0,F71,0)</f>
        <v>69.75</v>
      </c>
      <c r="AF73" s="2876">
        <f>IF(A70=0,0,IF(LEFT(B71,3)=S71,VLOOKUP(B71,HWRange,12,FALSE),0)*F72)</f>
        <v>0</v>
      </c>
      <c r="AG73" s="2877" t="str">
        <f>IF(AF73&gt;0,S71&amp;" 3-yr Pricing","")</f>
        <v/>
      </c>
      <c r="AH73" s="2878"/>
      <c r="AI73" s="1591"/>
      <c r="AJ73" s="1591"/>
      <c r="AK73" s="1591"/>
      <c r="AL73" s="1591"/>
      <c r="AM73" s="1591"/>
      <c r="AN73" s="1591"/>
      <c r="AO73" s="1591"/>
      <c r="AP73" s="1591"/>
      <c r="AQ73" s="1591"/>
      <c r="AR73" s="1591"/>
      <c r="AS73" s="1591"/>
      <c r="AT73" s="1591"/>
      <c r="AU73" s="1591"/>
      <c r="AV73" s="1591"/>
      <c r="AW73" s="1591"/>
      <c r="AX73" s="1601"/>
      <c r="AY73" s="1601"/>
      <c r="BC73" s="1614"/>
      <c r="BF73" s="1592"/>
      <c r="BG73" s="1601"/>
      <c r="BH73" s="1601"/>
      <c r="BI73" s="1601"/>
      <c r="BJ73" s="1601"/>
      <c r="BK73" s="1601"/>
      <c r="BL73" s="1601"/>
      <c r="BM73" s="1601"/>
      <c r="BN73" s="1601"/>
      <c r="BO73" s="1601"/>
      <c r="BP73" s="1619"/>
      <c r="BQ73" s="923"/>
      <c r="BR73" s="923"/>
      <c r="BS73" s="923"/>
      <c r="BT73" s="923"/>
      <c r="BU73" s="923"/>
      <c r="BV73" s="923"/>
      <c r="BW73" s="923"/>
      <c r="BX73" s="923"/>
      <c r="BY73" s="923"/>
      <c r="BZ73" s="923"/>
      <c r="CA73" s="923"/>
      <c r="CB73" s="923"/>
      <c r="CC73" s="923"/>
      <c r="CD73" s="923"/>
      <c r="CE73" s="923"/>
      <c r="CF73" s="1619"/>
      <c r="CG73" s="3403" t="str">
        <f>B73</f>
        <v>Web: 1x Xeon Gold 5122 4 core (1 chip) 3600 MHz 16 GB RAM</v>
      </c>
      <c r="CH73" s="3404"/>
      <c r="CI73" s="3404"/>
      <c r="CJ73" s="3404"/>
      <c r="CK73" s="2723"/>
      <c r="CL73" s="1592"/>
      <c r="CM73" s="1594"/>
      <c r="CN73" s="1592"/>
      <c r="CQ73" s="1592"/>
      <c r="CR73" s="1594"/>
      <c r="CU73" s="1592"/>
      <c r="DA73" s="1592"/>
      <c r="DB73" s="1594"/>
      <c r="DE73" s="1592"/>
      <c r="DF73" s="1594"/>
      <c r="DI73" s="1592"/>
      <c r="DJ73" s="1614"/>
      <c r="DK73" s="1614"/>
      <c r="DL73" s="1592"/>
      <c r="DM73" s="1614"/>
      <c r="DN73" s="1594"/>
      <c r="DO73" s="1594"/>
      <c r="DP73" s="394"/>
      <c r="DQ73" s="1614"/>
      <c r="DR73" s="1597"/>
      <c r="DS73" s="1597"/>
      <c r="DT73" s="1415"/>
      <c r="DW73" s="1614"/>
      <c r="DX73" s="1597"/>
      <c r="DY73" s="1415"/>
      <c r="EC73" s="1614"/>
      <c r="ED73" s="1415"/>
      <c r="EH73" s="1597"/>
      <c r="EI73" s="1614"/>
      <c r="EJ73" s="1415"/>
      <c r="EN73" s="1597"/>
      <c r="EO73" s="1614"/>
      <c r="EP73" s="1415"/>
      <c r="ET73" s="1597"/>
      <c r="EU73" s="1614"/>
      <c r="EV73" s="1415"/>
      <c r="EZ73" s="1597"/>
      <c r="FA73" s="1614"/>
      <c r="FB73" s="1415"/>
      <c r="FF73" s="1597"/>
      <c r="FG73" s="1614"/>
      <c r="FH73" s="1415"/>
      <c r="FL73" s="1597"/>
      <c r="FM73" s="1614"/>
      <c r="FN73" s="1415"/>
      <c r="FR73" s="1597"/>
      <c r="FS73" s="1614"/>
      <c r="FT73" s="1415"/>
      <c r="FX73" s="1597"/>
      <c r="FY73" s="1614"/>
      <c r="FZ73" s="1415"/>
      <c r="GD73" s="1597"/>
      <c r="GE73" s="1614"/>
      <c r="GG73" s="1415"/>
      <c r="GJ73" s="1597"/>
      <c r="GK73" s="1614"/>
      <c r="GM73" s="1415"/>
      <c r="GO73" s="1415"/>
      <c r="GP73" s="1597"/>
      <c r="GQ73" s="1614"/>
      <c r="GS73" s="1415"/>
      <c r="GT73" s="1415"/>
    </row>
    <row r="74" spans="1:209" ht="17" outlineLevel="2" thickBot="1" x14ac:dyDescent="0.25">
      <c r="A74" s="2823">
        <f>IF(O76&gt;0,A76/O76,0)</f>
        <v>277.77777777777777</v>
      </c>
      <c r="B74" s="552" t="s">
        <v>1455</v>
      </c>
      <c r="C74" s="136" t="str">
        <f>VLOOKUP(B75,Hardware!$A$2:$I$632,9,FALSE)</f>
        <v>Intel</v>
      </c>
      <c r="D74" s="137" t="str">
        <f>D70</f>
        <v>Arc18=</v>
      </c>
      <c r="E74" s="138">
        <f>IF(GM$18=0,0,IF(GQ$18&gt;0,GQ$18/GN$18))</f>
        <v>0.18493196644920787</v>
      </c>
      <c r="F74" s="139" t="s">
        <v>328</v>
      </c>
      <c r="G74" s="1585"/>
      <c r="H74" s="1586">
        <v>0.8</v>
      </c>
      <c r="I74" s="1739" t="str">
        <f>I70</f>
        <v>Host02</v>
      </c>
      <c r="J74" s="207">
        <f>IF(K74&gt;0,K74,IF(I76=Calculator!$H$158,1, IF(OR(R74=Calculator!$H$162,R74=Calculator!$H$163), VLOOKUP(I76,VAdjust,2,FALSE),1)))</f>
        <v>1</v>
      </c>
      <c r="K74" s="2456"/>
      <c r="L74" s="722">
        <f>VLOOKUP(B75,HWRange,5,FALSE)</f>
        <v>3600</v>
      </c>
      <c r="M74" s="464" t="str">
        <f>IF(ISERROR(VLOOKUP($K75,$L$5:$L$15,1,FALSE)),"","/"&amp;$L$4)</f>
        <v/>
      </c>
      <c r="N74" s="257" t="str">
        <f>IF(ISERROR(VLOOKUP($K75,$M$5:$M$15,1,FALSE)),IF(ISERROR(VLOOKUP($K75,$M$5:$M$15,1,FALSE)),"","/"&amp;$M$4),"/"&amp;$M$4)</f>
        <v/>
      </c>
      <c r="O74" s="465" t="str">
        <f>IF(ISERROR(VLOOKUP($K75,$N$5:$N$15,1,FALSE)),IF(ISERROR(VLOOKUP($K75,$N$5:$N$15,1,FALSE)),"","/"&amp;$N$4),"/"&amp;$N$4)</f>
        <v>/SOC</v>
      </c>
      <c r="P74" s="1587">
        <f>IF(A75=0,0,IF(P76&gt;0,1000*C75/C76,1000*C75/C76))/2</f>
        <v>49.050055617352612</v>
      </c>
      <c r="Q74" s="1734">
        <f>IF(I76=$J$163,0,VLOOKUP(I74,HostArray,2,FALSE))</f>
        <v>0</v>
      </c>
      <c r="R74" s="1588" t="s">
        <v>412</v>
      </c>
      <c r="S74" s="3071" t="str">
        <f>IF(S75=LEFT(B75,3),_xlfn.NUMBERVALUE(MID(B75,FIND("(",B75,1)+1,FIND(")",B75,1)-FIND("(",B75,1)-3)),"")</f>
        <v/>
      </c>
      <c r="T74" s="135">
        <v>10000</v>
      </c>
      <c r="U74" s="1616">
        <f>IF(E74&gt;0,IF(AND(M76="",N76=""),GO$18/F76,GP$18/F76),0)</f>
        <v>27.777777777777779</v>
      </c>
      <c r="V74" s="1822">
        <f t="shared" ref="V74:AD74" si="56">IF(V76&gt;0,IF($A75&gt;0.5,$A75,""),0)</f>
        <v>0.68125077246323085</v>
      </c>
      <c r="W74" s="1823">
        <f>IF(AND($W75=W$163,$H77=I$187),W$164,IF(W76&gt;0,IF($A75&gt;0.5,$A75,""),0))</f>
        <v>0.68125077246323085</v>
      </c>
      <c r="X74" s="1823">
        <f t="shared" si="56"/>
        <v>0</v>
      </c>
      <c r="Y74" s="1823">
        <f t="shared" si="56"/>
        <v>0</v>
      </c>
      <c r="Z74" s="1823">
        <f t="shared" si="56"/>
        <v>0</v>
      </c>
      <c r="AA74" s="1823">
        <f t="shared" si="56"/>
        <v>0</v>
      </c>
      <c r="AB74" s="1823">
        <f t="shared" si="56"/>
        <v>0</v>
      </c>
      <c r="AC74" s="1823">
        <f t="shared" si="56"/>
        <v>0</v>
      </c>
      <c r="AD74" s="1824">
        <f t="shared" si="56"/>
        <v>0</v>
      </c>
      <c r="AE74" s="1825">
        <f>L77</f>
        <v>2</v>
      </c>
      <c r="AF74" s="2977" t="str">
        <f>IF(I76=$H$187,$AF$18,"")</f>
        <v/>
      </c>
      <c r="AG74" s="1600"/>
      <c r="AH74" s="1600"/>
      <c r="AI74" s="1600"/>
      <c r="AJ74" s="1600"/>
      <c r="AK74" s="1600"/>
      <c r="AL74" s="1600"/>
      <c r="AM74" s="1600"/>
      <c r="AN74" s="1600"/>
      <c r="AO74" s="1600"/>
      <c r="AP74" s="1600"/>
      <c r="AQ74" s="1600"/>
      <c r="AR74" s="1600"/>
      <c r="AS74" s="1600"/>
      <c r="AT74" s="1600"/>
      <c r="AU74" s="1600"/>
      <c r="AV74" s="1600"/>
      <c r="AW74" s="1600"/>
      <c r="AX74" s="2"/>
      <c r="AY74" s="2"/>
      <c r="BC74" s="1"/>
      <c r="BF74" s="1592"/>
      <c r="BG74" s="1593"/>
      <c r="BH74" s="1593"/>
      <c r="BI74" s="1906"/>
      <c r="BJ74" s="1601"/>
      <c r="BK74" s="1893"/>
      <c r="BL74" s="1593"/>
      <c r="BM74" s="1593"/>
      <c r="BN74" s="1593"/>
      <c r="BO74" s="1593"/>
      <c r="BP74" s="889"/>
      <c r="BQ74" s="1740"/>
      <c r="BR74" s="1740"/>
      <c r="BS74" s="1740"/>
      <c r="BT74" s="1740"/>
      <c r="BU74" s="1615"/>
      <c r="BV74" s="1615"/>
      <c r="BW74" s="1615"/>
      <c r="BX74" s="1615"/>
      <c r="BY74" s="1615"/>
      <c r="BZ74" s="1615"/>
      <c r="CA74" s="1615"/>
      <c r="CB74" s="1615"/>
      <c r="CC74" s="1615"/>
      <c r="CD74" s="1615"/>
      <c r="CE74" s="1615"/>
      <c r="CF74" s="1615"/>
      <c r="CG74" s="1689">
        <f t="shared" ref="CG74:CH76" si="57">A74</f>
        <v>277.77777777777777</v>
      </c>
      <c r="CH74" s="1690" t="str">
        <f t="shared" si="57"/>
        <v>GIS: Platform Tier 14</v>
      </c>
      <c r="CI74" s="1179" t="str">
        <f>F74</f>
        <v>SRint2006</v>
      </c>
      <c r="CJ74" s="2718"/>
      <c r="CK74" s="2724">
        <f>T74</f>
        <v>10000</v>
      </c>
      <c r="CL74" s="1592"/>
      <c r="CM74" s="1594"/>
      <c r="CN74" s="1592"/>
      <c r="CQ74" s="1592"/>
      <c r="CR74" s="1594"/>
      <c r="CU74" s="1592"/>
      <c r="DA74" s="1592"/>
      <c r="DB74" s="1594"/>
      <c r="DE74" s="1592"/>
      <c r="DF74" s="1594"/>
      <c r="DI74" s="1592"/>
      <c r="DJ74" s="1"/>
      <c r="DK74" s="1"/>
      <c r="DL74" s="1592"/>
      <c r="DM74" s="1"/>
      <c r="DN74" s="1594"/>
      <c r="DO74" s="1595"/>
      <c r="DP74" s="394"/>
      <c r="DQ74" s="1"/>
      <c r="DR74" s="1593"/>
      <c r="DS74" s="1593"/>
      <c r="DT74" s="1415"/>
      <c r="DW74" s="1"/>
      <c r="DX74" s="1593"/>
      <c r="DY74" s="1415"/>
      <c r="EC74" s="1"/>
      <c r="ED74" s="1415"/>
      <c r="EH74" s="1593"/>
      <c r="EI74" s="1"/>
      <c r="EJ74" s="1415"/>
      <c r="EN74" s="1593"/>
      <c r="EO74" s="1"/>
      <c r="EP74" s="1415"/>
      <c r="ET74" s="1593"/>
      <c r="EU74" s="1"/>
      <c r="EV74" s="1415"/>
      <c r="EZ74" s="1593"/>
      <c r="FA74" s="1"/>
      <c r="FB74" s="1415"/>
      <c r="FF74" s="1593"/>
      <c r="FG74" s="1"/>
      <c r="FH74" s="1415"/>
      <c r="FL74" s="1593"/>
      <c r="FM74" s="1"/>
      <c r="FN74" s="1415"/>
      <c r="FR74" s="1593"/>
      <c r="FS74" s="1"/>
      <c r="FT74" s="1415"/>
      <c r="FX74" s="1593"/>
      <c r="FY74" s="1"/>
      <c r="FZ74" s="1415"/>
      <c r="GD74" s="1593"/>
      <c r="GE74" s="1"/>
      <c r="GG74" s="1415"/>
      <c r="GJ74" s="1593"/>
      <c r="GK74" s="1"/>
      <c r="GM74" s="1415"/>
      <c r="GO74" s="1415"/>
      <c r="GP74" s="1593"/>
      <c r="GQ74" s="1"/>
      <c r="GS74" s="1415"/>
      <c r="GT74" s="1415"/>
    </row>
    <row r="75" spans="1:209" ht="15" outlineLevel="2" x14ac:dyDescent="0.2">
      <c r="A75" s="2824">
        <f>IF(E74=0,0,A76/G76)</f>
        <v>0.68125077246323085</v>
      </c>
      <c r="B75" s="156" t="str">
        <f>B71</f>
        <v>Xeon Gold 5122 4 core (1 chip) 3600 MHz</v>
      </c>
      <c r="C75" s="206">
        <f>ROUND(IF(P76&gt;0,2*P76*C76/1000, IF(L76=0,0, IF(I76=Calculator!$H$160, Calculator!$J$160*(1+L75), IF(K76=4, 4*H74*G75/13.4,L75*Calculator!$J$151)))),0)</f>
        <v>16</v>
      </c>
      <c r="D75" s="205">
        <f>F76*L75</f>
        <v>8</v>
      </c>
      <c r="E75" s="70">
        <f>IF(I76=J163,F76*VLOOKUP(B75,HWRange,8,FALSE),"Virtual Server")</f>
        <v>2</v>
      </c>
      <c r="F75" s="71">
        <f>IF(I76=$J$163,VLOOKUP(B75,HWRange,7,FALSE),IF(I75&gt;VLOOKUP(B75,HWRange,3,FALSE),VLOOKUP(B75,HWRange,7,FALSE)*VLOOKUP(B75,HWRange,3,FALSE)/I75,VLOOKUP(B75,HWRange,7,FALSE)))</f>
        <v>69.75</v>
      </c>
      <c r="G75" s="157">
        <f>IF(I76=$J$163,VLOOKUP(B75,HWRange,6,FALSE),VLOOKUP(B75,HWRange,6,FALSE)*I75/VLOOKUP(B75,HWRange,3,FALSE))</f>
        <v>279</v>
      </c>
      <c r="H75" s="161" t="s">
        <v>365</v>
      </c>
      <c r="I75" s="1247">
        <v>2</v>
      </c>
      <c r="J75" s="1881"/>
      <c r="K75" s="756" t="str">
        <f>A178</f>
        <v>GIS</v>
      </c>
      <c r="L75" s="491">
        <f>IF(I76=$J$163,VLOOKUP(B75,HWRange,3,FALSE),I75)</f>
        <v>4</v>
      </c>
      <c r="M75" s="466" t="str">
        <f>IF(ISERROR(VLOOKUP($K75,$J$5:$J$15,1,FALSE)),IF(ISERROR(VLOOKUP($K75,$J$5:$J$15,1,FALSE)),"","/"&amp;$J$4),"/"&amp;$J$4)</f>
        <v/>
      </c>
      <c r="N75" s="467" t="str">
        <f>IF(ISERROR(VLOOKUP($K75,$K$5:$K$15,1,FALSE)),"","/"&amp;$K$4)</f>
        <v/>
      </c>
      <c r="O75" s="468">
        <f>IF(AND(O74="",M76=""),0,D75)</f>
        <v>8</v>
      </c>
      <c r="P75" s="1596" t="str">
        <f>IF(NOT(M75=""),Calculator!$A$158,IF(NOT(N75=""),Calculator!$B$158,IF(NOT(O74=""), Calculator!$C$158,Calculator!$G$158)))</f>
        <v>WindowsLinux</v>
      </c>
      <c r="Q75" s="1246" t="str">
        <f>VLOOKUP(B75,HWRange,2,FALSE)</f>
        <v>Xeon Gold 5122</v>
      </c>
      <c r="R75" s="1187">
        <f>F76*VLOOKUP(B75,HWRange,8,FALSE)</f>
        <v>2</v>
      </c>
      <c r="S75" s="3070">
        <f>IF(OR(LEFT(B75,3)="AMI",LEFT(B75,3)="AZI"),LEFT(B75,3),0)</f>
        <v>0</v>
      </c>
      <c r="T75" s="1626" t="s">
        <v>366</v>
      </c>
      <c r="U75" s="1599" t="s">
        <v>307</v>
      </c>
      <c r="V75" s="822" t="str">
        <f t="shared" ref="V75:AD75" si="58">IF(V76=0,0,IF($A75&lt;0.5,$A75,"+"))</f>
        <v>+</v>
      </c>
      <c r="W75" s="2063" t="str">
        <f>IF(AND($N76="/"&amp;$Q$4,$H77=I$187,$H76=0),W$163,IF(W76=0,0,IF($A75&lt;0.5,$A75,"+")))</f>
        <v>+</v>
      </c>
      <c r="X75" s="318">
        <f t="shared" si="58"/>
        <v>0</v>
      </c>
      <c r="Y75" s="318">
        <f t="shared" si="58"/>
        <v>0</v>
      </c>
      <c r="Z75" s="318">
        <f t="shared" si="58"/>
        <v>0</v>
      </c>
      <c r="AA75" s="318">
        <f t="shared" si="58"/>
        <v>0</v>
      </c>
      <c r="AB75" s="318">
        <f t="shared" si="58"/>
        <v>0</v>
      </c>
      <c r="AC75" s="318">
        <f t="shared" si="58"/>
        <v>0</v>
      </c>
      <c r="AD75" s="823">
        <f t="shared" si="58"/>
        <v>0</v>
      </c>
      <c r="AE75" s="1185">
        <f>D75</f>
        <v>8</v>
      </c>
      <c r="AF75" s="2998">
        <f>AF$19</f>
        <v>24</v>
      </c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1601"/>
      <c r="AY75" s="1601"/>
      <c r="BC75" s="1602"/>
      <c r="BF75" s="1592"/>
      <c r="BG75" s="1601"/>
      <c r="BH75" s="1601"/>
      <c r="BI75" s="1906"/>
      <c r="BJ75" s="1601"/>
      <c r="BK75" s="1601"/>
      <c r="BL75" s="1906"/>
      <c r="BM75" s="1601"/>
      <c r="BN75" s="1601"/>
      <c r="BO75" s="1601"/>
      <c r="BP75" s="885">
        <f>IF(A75&gt;0,1,0)</f>
        <v>1</v>
      </c>
      <c r="BQ75" s="1597"/>
      <c r="BR75" s="1597"/>
      <c r="BS75" s="1597"/>
      <c r="BT75" s="1597"/>
      <c r="BU75" s="1600"/>
      <c r="BV75" s="1600"/>
      <c r="BW75" s="1600"/>
      <c r="BX75" s="1600"/>
      <c r="BY75" s="1600"/>
      <c r="BZ75" s="1600"/>
      <c r="CA75" s="1600"/>
      <c r="CB75" s="1600"/>
      <c r="CC75" s="1600"/>
      <c r="CD75" s="1600"/>
      <c r="CE75" s="1600"/>
      <c r="CF75" s="56"/>
      <c r="CG75" s="1691">
        <f t="shared" si="57"/>
        <v>0.68125077246323085</v>
      </c>
      <c r="CH75" s="1590" t="str">
        <f t="shared" si="57"/>
        <v>Xeon Gold 5122 4 core (1 chip) 3600 MHz</v>
      </c>
      <c r="CI75" s="1180">
        <f>F75</f>
        <v>69.75</v>
      </c>
      <c r="CJ75" s="1180">
        <f>G75</f>
        <v>279</v>
      </c>
      <c r="CK75" s="2723"/>
      <c r="CL75" s="1592"/>
      <c r="CM75" s="1594"/>
      <c r="CN75" s="1592"/>
      <c r="CQ75" s="1592"/>
      <c r="CR75" s="1594"/>
      <c r="CU75" s="1592"/>
      <c r="DA75" s="1592"/>
      <c r="DB75" s="1594"/>
      <c r="DE75" s="1592"/>
      <c r="DF75" s="1594"/>
      <c r="DI75" s="1592"/>
      <c r="DJ75" s="1602"/>
      <c r="DK75" s="1602"/>
      <c r="DL75" s="1592"/>
      <c r="DM75" s="1602"/>
      <c r="DN75" s="1594"/>
      <c r="DO75" s="1594"/>
      <c r="DP75" s="394"/>
      <c r="DQ75" s="1602"/>
      <c r="DR75" s="1594"/>
      <c r="DS75" s="1594"/>
      <c r="DT75" s="1415"/>
      <c r="DW75" s="1602"/>
      <c r="DX75" s="1594"/>
      <c r="DY75" s="1415"/>
      <c r="EC75" s="1602"/>
      <c r="ED75" s="1415"/>
      <c r="EH75" s="1594"/>
      <c r="EI75" s="1602"/>
      <c r="EJ75" s="1415"/>
      <c r="EN75" s="1594"/>
      <c r="EO75" s="1602"/>
      <c r="EP75" s="1415"/>
      <c r="ET75" s="1594"/>
      <c r="EU75" s="1602"/>
      <c r="EV75" s="1415"/>
      <c r="EZ75" s="1594"/>
      <c r="FA75" s="1602"/>
      <c r="FB75" s="1415"/>
      <c r="FF75" s="1594"/>
      <c r="FG75" s="1602"/>
      <c r="FH75" s="1415"/>
      <c r="FL75" s="1594"/>
      <c r="FM75" s="1602"/>
      <c r="FN75" s="1415"/>
      <c r="FR75" s="1594"/>
      <c r="FS75" s="1602"/>
      <c r="FT75" s="1415"/>
      <c r="FX75" s="1594"/>
      <c r="FY75" s="1602"/>
      <c r="FZ75" s="1415"/>
      <c r="GD75" s="1594"/>
      <c r="GE75" s="1602"/>
      <c r="GG75" s="1415"/>
      <c r="GJ75" s="1594"/>
      <c r="GK75" s="1602"/>
      <c r="GM75" s="1415"/>
      <c r="GO75" s="1415"/>
      <c r="GP75" s="1594"/>
      <c r="GQ75" s="1602"/>
      <c r="GS75" s="1415"/>
      <c r="GT75" s="1415"/>
    </row>
    <row r="76" spans="1:209" ht="16" outlineLevel="2" thickBot="1" x14ac:dyDescent="0.2">
      <c r="A76" s="2825">
        <f>IF(E74=0,0,GN$18)</f>
        <v>1666.6666666666667</v>
      </c>
      <c r="B76" s="3087" t="str">
        <f>"Install ("&amp;C77&amp;M74&amp;N74&amp;O74&amp;M75&amp;N75&amp;M76&amp;N76&amp;")"</f>
        <v>Install (Physical/SOC)</v>
      </c>
      <c r="C76" s="258">
        <f>IF(E74=0,0, IF(I76=Calculator!$H$160,1,E76/O76)*H74)</f>
        <v>163.09869375907112</v>
      </c>
      <c r="D76" s="140">
        <f>IF(J76=$H$188,J77,0)+IF(E74=0,0,J74*E74)*($BO$2/F75)</f>
        <v>0.19620022246941049</v>
      </c>
      <c r="E76" s="141">
        <f>IF(E74=0,0,L75*60/D76)</f>
        <v>1223.2402031930333</v>
      </c>
      <c r="F76" s="142">
        <f>IF(L76=0,0,IF(H76,H76,IF(I76=Calculator!$H$160,A74,IF(N76="/DBMS",1,IF(H77=$I$187,IF(N75="",IF(L76=1,2,L76),L76+1),L76)))))</f>
        <v>2</v>
      </c>
      <c r="G76" s="158">
        <f>IF(E74=0,0,IF(F76&gt;0,+E76*F76,"Nodes?"))</f>
        <v>2446.4804063860665</v>
      </c>
      <c r="H76" s="143"/>
      <c r="I76" s="1248" t="s">
        <v>408</v>
      </c>
      <c r="J76" s="3227" t="str">
        <f>J72</f>
        <v xml:space="preserve">Siloed </v>
      </c>
      <c r="K76" s="1604">
        <f>IF(AND(N76="",N75=""),2,4)</f>
        <v>2</v>
      </c>
      <c r="L76" s="1605">
        <f>IF(H76,H76,IF(E74=0,0,IF(A76&gt;0,+INT(A76/(E76*H74))+1,0)))</f>
        <v>2</v>
      </c>
      <c r="M76" s="469" t="str">
        <f>IF(ISERROR(VLOOKUP($K75,$O$5:$O$15,1,FALSE)),IF(ISERROR(VLOOKUP($K75,$O$5:$O$15,1,FALSE)),"","/"&amp;$O$4),"/"&amp;$O$4)</f>
        <v/>
      </c>
      <c r="N76" s="470" t="str">
        <f>IF(ISERROR(VLOOKUP($K75,$Q$5:$Q$15,1,FALSE)),IF(ISERROR(VLOOKUP($K75,$Q$5:$Q$15,1,FALSE)),"","/"&amp;$Q$4),"/"&amp;$Q$4)</f>
        <v/>
      </c>
      <c r="O76" s="471">
        <f>IF($GM$18&gt;0,$GN$18/$GM$18,0)</f>
        <v>6</v>
      </c>
      <c r="P76" s="886"/>
      <c r="Q76" s="1714">
        <f>D75/VLOOKUP(B75,HWRange,3,FALSE)</f>
        <v>2</v>
      </c>
      <c r="R76" s="1877">
        <f>P178</f>
        <v>0</v>
      </c>
      <c r="S76" s="1982">
        <f>IF(E74=0,0,H74*A74/A75)</f>
        <v>326.19738751814219</v>
      </c>
      <c r="T76" s="135">
        <v>10000</v>
      </c>
      <c r="U76" s="1608">
        <f>IF(E74=0,0,IF(U77=$I$188,U74,GP$18/F76))</f>
        <v>27.777777777777779</v>
      </c>
      <c r="V76" s="1826">
        <f>IF(G76&gt;0,1,0)</f>
        <v>1</v>
      </c>
      <c r="W76" s="1827">
        <f t="shared" ref="W76:AC76" si="59">IF(V76&gt;0,IF($F76&gt;V76,V76+1,0),0)</f>
        <v>2</v>
      </c>
      <c r="X76" s="1827">
        <f t="shared" si="59"/>
        <v>0</v>
      </c>
      <c r="Y76" s="1827">
        <f t="shared" si="59"/>
        <v>0</v>
      </c>
      <c r="Z76" s="1827">
        <f t="shared" si="59"/>
        <v>0</v>
      </c>
      <c r="AA76" s="1827">
        <f t="shared" si="59"/>
        <v>0</v>
      </c>
      <c r="AB76" s="1827">
        <f t="shared" si="59"/>
        <v>0</v>
      </c>
      <c r="AC76" s="1827">
        <f t="shared" si="59"/>
        <v>0</v>
      </c>
      <c r="AD76" s="1828">
        <f>IF(AC76&gt;0,IF($F76&gt;AC76,"…"&amp;$F76,0),0)</f>
        <v>0</v>
      </c>
      <c r="AE76" s="1829">
        <f>A75</f>
        <v>0.68125077246323085</v>
      </c>
      <c r="AF76" s="2978">
        <f>IF(AF75="","",IF(H76=0,0,H76/AF75+IF(H77=$I$187,1,0)))</f>
        <v>0</v>
      </c>
      <c r="AG76" s="1591"/>
      <c r="AH76" s="1591"/>
      <c r="AI76" s="1591"/>
      <c r="AJ76" s="1591"/>
      <c r="AK76" s="1591"/>
      <c r="AL76" s="1591"/>
      <c r="AM76" s="1591"/>
      <c r="AN76" s="1591"/>
      <c r="AO76" s="1591"/>
      <c r="AP76" s="1591"/>
      <c r="AQ76" s="1591"/>
      <c r="AR76" s="1591"/>
      <c r="AS76" s="1591"/>
      <c r="AT76" s="1591"/>
      <c r="AU76" s="1591"/>
      <c r="AV76" s="1591"/>
      <c r="AW76" s="1591"/>
      <c r="BC76" s="1602"/>
      <c r="BF76" s="1592"/>
      <c r="BG76" s="1601"/>
      <c r="BH76" s="1601"/>
      <c r="BI76" s="1601"/>
      <c r="BJ76" s="1601"/>
      <c r="BK76" s="1601"/>
      <c r="BL76" s="1601"/>
      <c r="BM76" s="1601"/>
      <c r="BN76" s="1601"/>
      <c r="BO76" s="1601"/>
      <c r="BP76" s="1606"/>
      <c r="BQ76" s="1606"/>
      <c r="BR76" s="1606"/>
      <c r="BS76" s="1606"/>
      <c r="BT76" s="1606"/>
      <c r="BU76" s="1606"/>
      <c r="BV76" s="1606"/>
      <c r="BW76" s="1606"/>
      <c r="BX76" s="1606"/>
      <c r="BY76" s="1606"/>
      <c r="BZ76" s="1606"/>
      <c r="CA76" s="1606"/>
      <c r="CB76" s="1606"/>
      <c r="CC76" s="1606"/>
      <c r="CD76" s="1606"/>
      <c r="CE76" s="1606"/>
      <c r="CF76" s="1606"/>
      <c r="CG76" s="1692">
        <f t="shared" si="57"/>
        <v>1666.6666666666667</v>
      </c>
      <c r="CH76" s="1693" t="str">
        <f t="shared" si="57"/>
        <v>Install (Physical/SOC)</v>
      </c>
      <c r="CI76" s="1181">
        <f>F76</f>
        <v>2</v>
      </c>
      <c r="CJ76" s="2719">
        <f>D75</f>
        <v>8</v>
      </c>
      <c r="CK76" s="2724">
        <f>T76</f>
        <v>10000</v>
      </c>
      <c r="CL76" s="1592"/>
      <c r="CM76" s="1594"/>
      <c r="CN76" s="1592"/>
      <c r="CQ76" s="1592"/>
      <c r="CR76" s="1594"/>
      <c r="CU76" s="1592"/>
      <c r="CV76" s="1681"/>
      <c r="DA76" s="1592"/>
      <c r="DB76" s="1594"/>
      <c r="DE76" s="1592"/>
      <c r="DF76" s="1594"/>
      <c r="DI76" s="1592"/>
      <c r="DJ76" s="1602"/>
      <c r="DK76" s="1602"/>
      <c r="DL76" s="1592"/>
      <c r="DM76" s="1602"/>
      <c r="DN76" s="1594"/>
      <c r="DO76" s="1594"/>
      <c r="DP76" s="394"/>
      <c r="DQ76" s="1602"/>
      <c r="DR76" s="1597"/>
      <c r="DS76" s="1597"/>
      <c r="DT76" s="1415"/>
      <c r="DW76" s="1602"/>
      <c r="DX76" s="1597"/>
      <c r="DY76" s="1415"/>
      <c r="EC76" s="1602"/>
      <c r="ED76" s="1415"/>
      <c r="EH76" s="1597"/>
      <c r="EI76" s="1602"/>
      <c r="EJ76" s="1415"/>
      <c r="EN76" s="1597"/>
      <c r="EO76" s="1602"/>
      <c r="EP76" s="1415"/>
      <c r="ET76" s="1597"/>
      <c r="EU76" s="1602"/>
      <c r="EV76" s="1415"/>
      <c r="EZ76" s="1597"/>
      <c r="FA76" s="1602"/>
      <c r="FB76" s="1415"/>
      <c r="FF76" s="1597"/>
      <c r="FG76" s="1602"/>
      <c r="FH76" s="1415"/>
      <c r="FL76" s="1597"/>
      <c r="FM76" s="1602"/>
      <c r="FN76" s="1415"/>
      <c r="FR76" s="1597"/>
      <c r="FS76" s="1602"/>
      <c r="FT76" s="1415"/>
      <c r="FX76" s="1597"/>
      <c r="FY76" s="1602"/>
      <c r="FZ76" s="1415"/>
      <c r="GD76" s="1597"/>
      <c r="GE76" s="1602"/>
      <c r="GG76" s="1415"/>
      <c r="GJ76" s="1597"/>
      <c r="GK76" s="1602"/>
      <c r="GM76" s="1415"/>
      <c r="GO76" s="1415"/>
      <c r="GP76" s="1597"/>
      <c r="GQ76" s="1602"/>
      <c r="GS76" s="1415"/>
      <c r="GT76" s="1415"/>
    </row>
    <row r="77" spans="1:209" ht="15" outlineLevel="1" x14ac:dyDescent="0.15">
      <c r="A77" s="916" t="str">
        <f>IF(A76=0,0,ROUND(100*A75,0)&amp;"% CPU")</f>
        <v>68% CPU</v>
      </c>
      <c r="B77" s="917" t="str">
        <f>IF(A76&gt;0,IF(I76=$J$163,K75&amp;": "&amp;F76&amp;"x "&amp;B75&amp;" "&amp;C75&amp;" GB RAM",$K75&amp;": "&amp;$F76&amp;"x VM ("&amp;I75&amp;" core "&amp;C75&amp;" GB RAM) "&amp;Q75&amp;" "&amp;L74&amp;" MHz"),0)</f>
        <v>GIS: 2x Xeon Gold 5122 4 core (1 chip) 3600 MHz 16 GB RAM</v>
      </c>
      <c r="C77" s="1609" t="str">
        <f>IF(I76=$H$185,I76,I74)</f>
        <v>Physical</v>
      </c>
      <c r="D77" s="918">
        <f>A74</f>
        <v>277.77777777777777</v>
      </c>
      <c r="E77" s="919" t="str">
        <f>IF(E76&gt;0,ROUND(E76*60/1000,0)&amp;"K TPH",0)</f>
        <v>73K TPH</v>
      </c>
      <c r="F77" s="920">
        <f>+L76</f>
        <v>2</v>
      </c>
      <c r="G77" s="919" t="str">
        <f>IF(G76&gt;0,ROUND(G76*60/1000,0)&amp;"K TPH",0)</f>
        <v>147K TPH</v>
      </c>
      <c r="H77" s="921" t="str">
        <f>H$19</f>
        <v>Minimum</v>
      </c>
      <c r="I77" s="1736">
        <f>IF(I76=$J$163,0,I74)</f>
        <v>0</v>
      </c>
      <c r="J77" s="2086">
        <f>IF(AND(O74="/"&amp;$N$4,J76=$H$188),IF(F76&gt;0,(F76-1)*A76/(60*$H$190),0),0)</f>
        <v>0</v>
      </c>
      <c r="K77" s="2086">
        <f>IF(E74&gt;0,D76/E74,0)</f>
        <v>1.0609318996415771</v>
      </c>
      <c r="L77" s="2080">
        <f>IF($W75=$W$163,2,F76)</f>
        <v>2</v>
      </c>
      <c r="M77" s="3134">
        <f>IF(AND(S77&gt;0,I76=$H$185),1,0)</f>
        <v>0</v>
      </c>
      <c r="N77" s="1618"/>
      <c r="O77" s="1618"/>
      <c r="P77" s="922"/>
      <c r="Q77" s="1737">
        <f>IF($A79&lt;0.9999, $A79/((1+$CJ$2*$A79*($L79-1))*(1-$A79)),200)</f>
        <v>0.20773803556013065</v>
      </c>
      <c r="R77" s="1618"/>
      <c r="S77" s="3118">
        <f>IF(LEFT(B75,3)=S75,VLOOKUP(B75,HWRange,10,FALSE),0)</f>
        <v>0</v>
      </c>
      <c r="T77" s="940" t="str">
        <f>U77</f>
        <v>Client</v>
      </c>
      <c r="U77" s="1595" t="s">
        <v>303</v>
      </c>
      <c r="V77" s="1918" t="str">
        <f>IF(A75&gt;0,B77&amp;" "&amp;C77&amp;IF(B77="",""," GB RAM"),0)</f>
        <v>GIS: 2x Xeon Gold 5122 4 core (1 chip) 3600 MHz 16 GB RAM Physical GB RAM</v>
      </c>
      <c r="W77" s="1819"/>
      <c r="X77" s="1819"/>
      <c r="Y77" s="1819"/>
      <c r="Z77" s="1819"/>
      <c r="AA77" s="1819"/>
      <c r="AB77" s="1819"/>
      <c r="AC77" s="1819"/>
      <c r="AD77" s="1819"/>
      <c r="AE77" s="1919">
        <f>IF(A75&gt;0,F75,0)</f>
        <v>69.75</v>
      </c>
      <c r="AF77" s="2876">
        <f>IF(A74=0,0,IF(LEFT(B75,3)=S75,VLOOKUP(B75,HWRange,12,FALSE),0)*F76)</f>
        <v>0</v>
      </c>
      <c r="AG77" s="2877" t="str">
        <f>IF(AF77&gt;0,S75&amp;" 3-yr Pricing","")</f>
        <v/>
      </c>
      <c r="AH77" s="2878"/>
      <c r="AI77" s="1591"/>
      <c r="AJ77" s="1591"/>
      <c r="AK77" s="1591"/>
      <c r="AL77" s="1591"/>
      <c r="AM77" s="1591"/>
      <c r="AN77" s="1591"/>
      <c r="AO77" s="1591"/>
      <c r="AP77" s="1591"/>
      <c r="AQ77" s="1591"/>
      <c r="AR77" s="1591"/>
      <c r="AS77" s="1591"/>
      <c r="AT77" s="1591"/>
      <c r="AU77" s="1591"/>
      <c r="AV77" s="1591"/>
      <c r="AW77" s="1591"/>
      <c r="AX77" s="1601"/>
      <c r="AY77" s="1601"/>
      <c r="BC77" s="1614"/>
      <c r="BF77" s="1592"/>
      <c r="BG77" s="1601"/>
      <c r="BH77" s="1601"/>
      <c r="BI77" s="1601"/>
      <c r="BJ77" s="1601"/>
      <c r="BK77" s="1601"/>
      <c r="BL77" s="1601"/>
      <c r="BM77" s="1601"/>
      <c r="BN77" s="1601"/>
      <c r="BO77" s="1601"/>
      <c r="BP77" s="1772"/>
      <c r="BQ77" s="1772"/>
      <c r="BR77" s="1772"/>
      <c r="BS77" s="1772"/>
      <c r="BT77" s="1619"/>
      <c r="BU77" s="1619"/>
      <c r="BV77" s="1619"/>
      <c r="BW77" s="1619"/>
      <c r="BX77" s="1619"/>
      <c r="BY77" s="1619"/>
      <c r="BZ77" s="1619"/>
      <c r="CA77" s="1619"/>
      <c r="CB77" s="1619"/>
      <c r="CC77" s="1619"/>
      <c r="CD77" s="1619"/>
      <c r="CE77" s="1619"/>
      <c r="CF77" s="1619"/>
      <c r="CG77" s="3403" t="str">
        <f>B77</f>
        <v>GIS: 2x Xeon Gold 5122 4 core (1 chip) 3600 MHz 16 GB RAM</v>
      </c>
      <c r="CH77" s="3404"/>
      <c r="CI77" s="3404"/>
      <c r="CJ77" s="3404"/>
      <c r="CK77" s="2723"/>
      <c r="CL77" s="1592"/>
      <c r="CM77" s="1594"/>
      <c r="CN77" s="1592"/>
      <c r="CQ77" s="1592"/>
      <c r="CR77" s="1594"/>
      <c r="CU77" s="1592"/>
      <c r="DA77" s="1592"/>
      <c r="DB77" s="1594"/>
      <c r="DE77" s="1592"/>
      <c r="DF77" s="1594"/>
      <c r="DI77" s="1592"/>
      <c r="DJ77" s="1614"/>
      <c r="DK77" s="1614"/>
      <c r="DL77" s="1592"/>
      <c r="DM77" s="1614"/>
      <c r="DN77" s="1594"/>
      <c r="DO77" s="1594"/>
      <c r="DP77" s="394"/>
      <c r="DQ77" s="1614"/>
      <c r="DR77" s="1597"/>
      <c r="DS77" s="1597"/>
      <c r="DT77" s="1415"/>
      <c r="DW77" s="1614"/>
      <c r="DX77" s="1597"/>
      <c r="DY77" s="1415"/>
      <c r="EC77" s="1614"/>
      <c r="ED77" s="1415"/>
      <c r="EH77" s="1597"/>
      <c r="EI77" s="1614"/>
      <c r="EJ77" s="1415"/>
      <c r="EN77" s="1597"/>
      <c r="EO77" s="1614"/>
      <c r="EP77" s="1415"/>
      <c r="ET77" s="1597"/>
      <c r="EU77" s="1614"/>
      <c r="EV77" s="1415"/>
      <c r="EZ77" s="1597"/>
      <c r="FA77" s="1614"/>
      <c r="FB77" s="1415"/>
      <c r="FF77" s="1597"/>
      <c r="FG77" s="1614"/>
      <c r="FH77" s="1415"/>
      <c r="FL77" s="1597"/>
      <c r="FM77" s="1614"/>
      <c r="FN77" s="1415"/>
      <c r="FR77" s="1597"/>
      <c r="FS77" s="1614"/>
      <c r="FT77" s="1415"/>
      <c r="FX77" s="1597"/>
      <c r="FY77" s="1614"/>
      <c r="FZ77" s="1415"/>
      <c r="GD77" s="1597"/>
      <c r="GE77" s="1614"/>
      <c r="GG77" s="1415"/>
      <c r="GJ77" s="1597"/>
      <c r="GK77" s="1614"/>
      <c r="GM77" s="1415"/>
      <c r="GO77" s="1415"/>
      <c r="GP77" s="1597"/>
      <c r="GQ77" s="1614"/>
      <c r="GS77" s="1415"/>
      <c r="GT77" s="1415"/>
    </row>
    <row r="78" spans="1:209" ht="17" outlineLevel="2" thickBot="1" x14ac:dyDescent="0.25">
      <c r="A78" s="2826">
        <f>IF(O80&gt;0,A80/O80,0)</f>
        <v>370.77777777777777</v>
      </c>
      <c r="B78" s="552" t="s">
        <v>1456</v>
      </c>
      <c r="C78" s="136" t="str">
        <f>VLOOKUP(B79,Hardware!$A$2:$I$632,9,FALSE)</f>
        <v>Intel</v>
      </c>
      <c r="D78" s="137" t="str">
        <f>D74</f>
        <v>Arc18=</v>
      </c>
      <c r="E78" s="138">
        <f>IF(GS$18=0,0,IF(GW$18&gt;0,GW$18/GT$18))</f>
        <v>2.3944594056231432E-2</v>
      </c>
      <c r="F78" s="139" t="s">
        <v>328</v>
      </c>
      <c r="G78" s="1585"/>
      <c r="H78" s="1586">
        <v>0.8</v>
      </c>
      <c r="I78" s="1739" t="str">
        <f>I74</f>
        <v>Host02</v>
      </c>
      <c r="J78" s="207">
        <f>IF(K78&gt;0,K78,IF(I80=Calculator!$H$158,1, IF(OR(R78=Calculator!$H$162,R78=Calculator!$H$163), VLOOKUP(I80,VAdjust,2,FALSE),1)))</f>
        <v>1</v>
      </c>
      <c r="K78" s="2456"/>
      <c r="L78" s="722">
        <f>VLOOKUP(B79,HWRange,5,FALSE)</f>
        <v>3600</v>
      </c>
      <c r="M78" s="464" t="str">
        <f>IF(ISERROR(VLOOKUP($K79,$L$5:$L$15,1,FALSE)),"","/"&amp;$L$4)</f>
        <v/>
      </c>
      <c r="N78" s="257" t="str">
        <f>IF(ISERROR(VLOOKUP($K79,$M$5:$M$15,1,FALSE)),IF(ISERROR(VLOOKUP($K79,$M$5:$M$15,1,FALSE)),"","/"&amp;$M$4),"/"&amp;$M$4)</f>
        <v/>
      </c>
      <c r="O78" s="465" t="str">
        <f>IF(ISERROR(VLOOKUP($K79,$N$5:$N$15,1,FALSE)),IF(ISERROR(VLOOKUP($K79,$N$5:$N$15,1,FALSE)),"","/"&amp;$N$4),"/"&amp;$N$4)</f>
        <v/>
      </c>
      <c r="P78" s="1587">
        <f>IF(A79=0,0,IF(P80&gt;0,1000*C79/C80,1000*C79/C80))/2</f>
        <v>31.041383584471617</v>
      </c>
      <c r="Q78" s="1734">
        <f>IF(I80=$J$163,0,VLOOKUP(I78,HostArray,2,FALSE))</f>
        <v>0</v>
      </c>
      <c r="R78" s="1588" t="s">
        <v>412</v>
      </c>
      <c r="S78" s="3071" t="str">
        <f>IF(S79=LEFT(B79,3),_xlfn.NUMBERVALUE(MID(B79,FIND("(",B79,1)+1,FIND(")",B79,1)-FIND("(",B79,1)-3)),"")</f>
        <v/>
      </c>
      <c r="T78" s="135">
        <v>10000</v>
      </c>
      <c r="U78" s="1616">
        <f>IF(E78&gt;0,IF(AND(M80="",N80=""),GU$18/F80,GU$18/F80),0)</f>
        <v>432.77777777777777</v>
      </c>
      <c r="V78" s="1822" t="str">
        <f t="shared" ref="V78:AD78" si="60">IF(V80&gt;0,IF($A79&gt;0.5,$A79,""),0)</f>
        <v/>
      </c>
      <c r="W78" s="1823">
        <f>IF(AND($W79=W$163,$H81=I$187),W$164,IF(W80&gt;0,IF($A79&gt;0.5,$A79,""),0))</f>
        <v>0</v>
      </c>
      <c r="X78" s="1823">
        <f t="shared" si="60"/>
        <v>0</v>
      </c>
      <c r="Y78" s="1823">
        <f t="shared" si="60"/>
        <v>0</v>
      </c>
      <c r="Z78" s="1823">
        <f t="shared" si="60"/>
        <v>0</v>
      </c>
      <c r="AA78" s="1823">
        <f t="shared" si="60"/>
        <v>0</v>
      </c>
      <c r="AB78" s="1823">
        <f t="shared" si="60"/>
        <v>0</v>
      </c>
      <c r="AC78" s="1823">
        <f t="shared" si="60"/>
        <v>0</v>
      </c>
      <c r="AD78" s="1824">
        <f t="shared" si="60"/>
        <v>0</v>
      </c>
      <c r="AE78" s="1825">
        <f>L81</f>
        <v>1</v>
      </c>
      <c r="AF78" s="2977" t="str">
        <f>IF(I80=$H$187,$AF$18,"")</f>
        <v/>
      </c>
      <c r="AG78" s="1600"/>
      <c r="AH78" s="1600"/>
      <c r="AI78" s="1600"/>
      <c r="AJ78" s="1600"/>
      <c r="AK78" s="1600"/>
      <c r="AL78" s="1600"/>
      <c r="AM78" s="1600"/>
      <c r="AN78" s="1600"/>
      <c r="AO78" s="1600"/>
      <c r="AP78" s="1600"/>
      <c r="AQ78" s="1600"/>
      <c r="AR78" s="1600"/>
      <c r="AS78" s="1600"/>
      <c r="AT78" s="1600"/>
      <c r="AU78" s="1600"/>
      <c r="AV78" s="1600"/>
      <c r="AW78" s="1600"/>
      <c r="AX78" s="2"/>
      <c r="AY78" s="2"/>
      <c r="BC78" s="1"/>
      <c r="BF78" s="1592"/>
      <c r="BG78" s="1593"/>
      <c r="BH78" s="1593"/>
      <c r="BI78" s="1593"/>
      <c r="BJ78" s="1593"/>
      <c r="BK78" s="1593"/>
      <c r="BL78" s="1593"/>
      <c r="BM78" s="1593"/>
      <c r="BN78" s="1593"/>
      <c r="BO78" s="1593"/>
      <c r="BP78" s="889"/>
      <c r="BQ78" s="889"/>
      <c r="BR78" s="889"/>
      <c r="BS78" s="889"/>
      <c r="BT78" s="889"/>
      <c r="BU78" s="889"/>
      <c r="BV78" s="1615"/>
      <c r="BW78" s="1615"/>
      <c r="BX78" s="1615"/>
      <c r="BY78" s="1615"/>
      <c r="BZ78" s="1615"/>
      <c r="CA78" s="1615"/>
      <c r="CB78" s="1615"/>
      <c r="CC78" s="1615"/>
      <c r="CD78" s="1615"/>
      <c r="CE78" s="1615"/>
      <c r="CF78" s="1615"/>
      <c r="CG78" s="1689">
        <f t="shared" ref="CG78:CH80" si="61">A78</f>
        <v>370.77777777777777</v>
      </c>
      <c r="CH78" s="1690" t="str">
        <f t="shared" si="61"/>
        <v>DBMS: Platform Tier 15</v>
      </c>
      <c r="CI78" s="1179" t="str">
        <f>F78</f>
        <v>SRint2006</v>
      </c>
      <c r="CJ78" s="2718"/>
      <c r="CK78" s="2724">
        <f>T78</f>
        <v>10000</v>
      </c>
      <c r="CL78" s="1592"/>
      <c r="CM78" s="1594"/>
      <c r="CN78" s="1592"/>
      <c r="CQ78" s="1592"/>
      <c r="CR78" s="1594"/>
      <c r="CU78" s="1592"/>
      <c r="DA78" s="1592"/>
      <c r="DB78" s="1594"/>
      <c r="DE78" s="1592"/>
      <c r="DF78" s="1594"/>
      <c r="DI78" s="1592"/>
      <c r="DJ78" s="1"/>
      <c r="DK78" s="1"/>
      <c r="DL78" s="1592"/>
      <c r="DM78" s="1"/>
      <c r="DN78" s="1594"/>
      <c r="DO78" s="1595"/>
      <c r="DP78" s="394"/>
      <c r="DQ78" s="1"/>
      <c r="DR78" s="1593"/>
      <c r="DS78" s="1593"/>
      <c r="DT78" s="1415"/>
      <c r="DW78" s="1"/>
      <c r="DX78" s="1593"/>
      <c r="DY78" s="1415"/>
      <c r="EC78" s="1"/>
      <c r="ED78" s="1415"/>
      <c r="EH78" s="1593"/>
      <c r="EI78" s="1"/>
      <c r="EJ78" s="1415"/>
      <c r="EN78" s="1593"/>
      <c r="EO78" s="1"/>
      <c r="EP78" s="1415"/>
      <c r="ET78" s="1593"/>
      <c r="EU78" s="1"/>
      <c r="EV78" s="1415"/>
      <c r="EZ78" s="1593"/>
      <c r="FA78" s="1"/>
      <c r="FB78" s="1415"/>
      <c r="FF78" s="1593"/>
      <c r="FG78" s="1"/>
      <c r="FH78" s="1415"/>
      <c r="FL78" s="1593"/>
      <c r="FM78" s="1"/>
      <c r="FN78" s="1415"/>
      <c r="FR78" s="1593"/>
      <c r="FS78" s="1"/>
      <c r="FT78" s="1415"/>
      <c r="FX78" s="1593"/>
      <c r="FY78" s="1"/>
      <c r="FZ78" s="1415"/>
      <c r="GD78" s="1593"/>
      <c r="GE78" s="1"/>
      <c r="GG78" s="1415"/>
      <c r="GJ78" s="1593"/>
      <c r="GK78" s="1"/>
      <c r="GM78" s="1415"/>
      <c r="GO78" s="1415"/>
      <c r="GP78" s="1593"/>
      <c r="GQ78" s="1"/>
      <c r="GS78" s="1415"/>
      <c r="GT78" s="1415"/>
    </row>
    <row r="79" spans="1:209" ht="15" outlineLevel="2" x14ac:dyDescent="0.2">
      <c r="A79" s="2827">
        <f>IF(E78=0,0,A80/G80)</f>
        <v>0.27485266207995168</v>
      </c>
      <c r="B79" s="156" t="str">
        <f>B75</f>
        <v>Xeon Gold 5122 4 core (1 chip) 3600 MHz</v>
      </c>
      <c r="C79" s="206">
        <f>ROUND(IF(P80&gt;0,2*P80*C80/1000, IF(L80=0,0, IF(I80=Calculator!$H$160, Calculator!$J$160*(1+L79), IF(K80=4, 4*H78*G79/13.4,L79*Calculator!$J$151)))),0)</f>
        <v>67</v>
      </c>
      <c r="D79" s="205">
        <f>F80*L79</f>
        <v>4</v>
      </c>
      <c r="E79" s="70">
        <f>IF(I80=J163,F80*VLOOKUP(B79,HWRange,8,FALSE),"Virtual Server")</f>
        <v>1</v>
      </c>
      <c r="F79" s="71">
        <f>IF(I80=$J$163,VLOOKUP(B79,HWRange,7,FALSE),IF(I79&gt;VLOOKUP(B79,HWRange,3,FALSE),VLOOKUP(B79,HWRange,7,FALSE)*VLOOKUP(B79,HWRange,3,FALSE)/I79,VLOOKUP(B79,HWRange,7,FALSE)))</f>
        <v>69.75</v>
      </c>
      <c r="G79" s="157">
        <f>IF(I80=$J$163,VLOOKUP(B79,HWRange,6,FALSE),VLOOKUP(B79,HWRange,6,FALSE)*I79/VLOOKUP(B79,HWRange,3,FALSE))</f>
        <v>279</v>
      </c>
      <c r="H79" s="161" t="s">
        <v>365</v>
      </c>
      <c r="I79" s="1247">
        <v>2</v>
      </c>
      <c r="J79" s="1881"/>
      <c r="K79" s="756" t="str">
        <f>A179</f>
        <v>DBMS</v>
      </c>
      <c r="L79" s="491">
        <f>IF(I80=$J$163,VLOOKUP(B79,HWRange,3,FALSE),I79)</f>
        <v>4</v>
      </c>
      <c r="M79" s="466" t="str">
        <f>IF(ISERROR(VLOOKUP($K79,$J$5:$J$15,1,FALSE)),IF(ISERROR(VLOOKUP($K79,$J$5:$J$15,1,FALSE)),"","/"&amp;$J$4),"/"&amp;$J$4)</f>
        <v/>
      </c>
      <c r="N79" s="467" t="str">
        <f>IF(ISERROR(VLOOKUP($K79,$K$5:$K$15,1,FALSE)),"","/"&amp;$K$4)</f>
        <v/>
      </c>
      <c r="O79" s="468">
        <f>IF(AND(O78="",M80=""),0,D79)</f>
        <v>0</v>
      </c>
      <c r="P79" s="1596" t="str">
        <f>IF(NOT(M79=""),Calculator!$A$158,IF(NOT(N79=""),Calculator!$B$158,IF(NOT(O78=""), Calculator!$C$158,Calculator!$G$158)))</f>
        <v>WindowsLinuxSolarisAIXHPUX</v>
      </c>
      <c r="Q79" s="1246" t="str">
        <f>VLOOKUP(B79,HWRange,2,FALSE)</f>
        <v>Xeon Gold 5122</v>
      </c>
      <c r="R79" s="1187">
        <f>F80*VLOOKUP(B79,HWRange,8,FALSE)</f>
        <v>1</v>
      </c>
      <c r="S79" s="3070">
        <f>IF(OR(LEFT(B79,3)="AMI",LEFT(B79,3)="AZI"),LEFT(B79,3),0)</f>
        <v>0</v>
      </c>
      <c r="T79" s="1627" t="s">
        <v>366</v>
      </c>
      <c r="U79" s="1599" t="s">
        <v>307</v>
      </c>
      <c r="V79" s="822">
        <f t="shared" ref="V79:AD79" si="62">IF(V80=0,0,IF($A79&lt;0.5,$A79,"+"))</f>
        <v>0.27485266207995168</v>
      </c>
      <c r="W79" s="2063">
        <f>IF(AND($N80="/"&amp;$Q$4,$H81=I$187,$H80=0),W$163,IF(W80=0,0,IF($A79&lt;0.5,$A79,"+")))</f>
        <v>0</v>
      </c>
      <c r="X79" s="318">
        <f t="shared" si="62"/>
        <v>0</v>
      </c>
      <c r="Y79" s="318">
        <f t="shared" si="62"/>
        <v>0</v>
      </c>
      <c r="Z79" s="318">
        <f t="shared" si="62"/>
        <v>0</v>
      </c>
      <c r="AA79" s="318">
        <f t="shared" si="62"/>
        <v>0</v>
      </c>
      <c r="AB79" s="318">
        <f t="shared" si="62"/>
        <v>0</v>
      </c>
      <c r="AC79" s="318">
        <f t="shared" si="62"/>
        <v>0</v>
      </c>
      <c r="AD79" s="823">
        <f t="shared" si="62"/>
        <v>0</v>
      </c>
      <c r="AE79" s="1185">
        <f>D79</f>
        <v>4</v>
      </c>
      <c r="AF79" s="2998">
        <f>AF$19</f>
        <v>24</v>
      </c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1601"/>
      <c r="AY79" s="1601"/>
      <c r="BC79" s="1602"/>
      <c r="BF79" s="1592"/>
      <c r="BG79" s="1601"/>
      <c r="BH79" s="1601"/>
      <c r="BI79" s="1601"/>
      <c r="BJ79" s="1601"/>
      <c r="BK79" s="1601"/>
      <c r="BL79" s="1601"/>
      <c r="BM79" s="1601"/>
      <c r="BN79" s="1601"/>
      <c r="BO79" s="1601"/>
      <c r="BP79" s="885">
        <f>IF(A79&gt;0,1,0)</f>
        <v>1</v>
      </c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1691">
        <f t="shared" si="61"/>
        <v>0.27485266207995168</v>
      </c>
      <c r="CH79" s="1590" t="str">
        <f t="shared" si="61"/>
        <v>Xeon Gold 5122 4 core (1 chip) 3600 MHz</v>
      </c>
      <c r="CI79" s="1180">
        <f>F79</f>
        <v>69.75</v>
      </c>
      <c r="CJ79" s="1180">
        <f>G79</f>
        <v>279</v>
      </c>
      <c r="CK79" s="2723"/>
      <c r="CL79" s="1592"/>
      <c r="CM79" s="1594"/>
      <c r="CN79" s="1592"/>
      <c r="CQ79" s="1592"/>
      <c r="CR79" s="1594"/>
      <c r="CU79" s="1592"/>
      <c r="DA79" s="1592"/>
      <c r="DB79" s="1594"/>
      <c r="DE79" s="1592"/>
      <c r="DF79" s="1594"/>
      <c r="DI79" s="1592"/>
      <c r="DJ79" s="1602"/>
      <c r="DK79" s="1602"/>
      <c r="DL79" s="1592"/>
      <c r="DM79" s="1602"/>
      <c r="DN79" s="1594"/>
      <c r="DO79" s="1594"/>
      <c r="DP79" s="394"/>
      <c r="DQ79" s="1602"/>
      <c r="DR79" s="1594"/>
      <c r="DS79" s="1594"/>
      <c r="DT79" s="1415"/>
      <c r="DW79" s="1602"/>
      <c r="DX79" s="1594"/>
      <c r="DY79" s="1415"/>
      <c r="EC79" s="1602"/>
      <c r="ED79" s="1415"/>
      <c r="EH79" s="1594"/>
      <c r="EI79" s="1602"/>
      <c r="EJ79" s="1415"/>
      <c r="EN79" s="1594"/>
      <c r="EO79" s="1602"/>
      <c r="EP79" s="1415"/>
      <c r="ET79" s="1594"/>
      <c r="EU79" s="1602"/>
      <c r="EV79" s="1415"/>
      <c r="EZ79" s="1594"/>
      <c r="FA79" s="1602"/>
      <c r="FB79" s="1415"/>
      <c r="FF79" s="1594"/>
      <c r="FG79" s="1602"/>
      <c r="FH79" s="1415"/>
      <c r="FL79" s="1594"/>
      <c r="FM79" s="1602"/>
      <c r="FN79" s="1415"/>
      <c r="FR79" s="1594"/>
      <c r="FS79" s="1602"/>
      <c r="FT79" s="1415"/>
      <c r="FX79" s="1594"/>
      <c r="FY79" s="1602"/>
      <c r="FZ79" s="1415"/>
      <c r="GD79" s="1594"/>
      <c r="GE79" s="1602"/>
      <c r="GG79" s="1415"/>
      <c r="GJ79" s="1594"/>
      <c r="GK79" s="1602"/>
      <c r="GM79" s="1415"/>
      <c r="GO79" s="1415"/>
      <c r="GP79" s="1594"/>
      <c r="GQ79" s="1602"/>
      <c r="GS79" s="1415"/>
      <c r="GT79" s="1415"/>
    </row>
    <row r="80" spans="1:209" ht="17" outlineLevel="2" thickBot="1" x14ac:dyDescent="0.25">
      <c r="A80" s="2828">
        <f>IF(E78=0,0,GT$18)</f>
        <v>2596.666666666667</v>
      </c>
      <c r="B80" s="3088" t="str">
        <f>"Install ("&amp;C81&amp;M78&amp;N78&amp;O78&amp;M79&amp;N79&amp;M80&amp;N80&amp;")"</f>
        <v>Install (Physical/DBMS)</v>
      </c>
      <c r="C80" s="258">
        <f>IF(E78=0,0, IF(I80=Calculator!$H$160,1,E80/O80)*H78)</f>
        <v>1079.2044725982607</v>
      </c>
      <c r="D80" s="140">
        <f>IF(J80=$H$188,J81,0)+IF(E78=0,0,J78*E78)*($BO$2/F79)</f>
        <v>2.5403583658224028E-2</v>
      </c>
      <c r="E80" s="141">
        <f>IF(E78=0,0,L79*60/D80)</f>
        <v>9447.4859621746164</v>
      </c>
      <c r="F80" s="142">
        <f>IF(L80=0,0,IF(H80,H80,IF(I80=Calculator!$H$160,A78,IF(N80="/DBMS",1,IF(H81=$I$187,IF(N79="",IF(L80=1,2,L80),L80+1),L80)))))</f>
        <v>1</v>
      </c>
      <c r="G80" s="158">
        <f>IF(E78=0,0,IF(F80&gt;0,+E80*F80,"Nodes?"))</f>
        <v>9447.4859621746164</v>
      </c>
      <c r="H80" s="143"/>
      <c r="I80" s="1248" t="s">
        <v>408</v>
      </c>
      <c r="J80" s="3227" t="str">
        <f>J76</f>
        <v xml:space="preserve">Siloed </v>
      </c>
      <c r="K80" s="1604">
        <f>IF(AND(N80="",N79=""),2,4)</f>
        <v>4</v>
      </c>
      <c r="L80" s="1605">
        <f>IF(H80,H80,IF(E78=0,0,IF(A80&gt;0,+INT(A80/(E80*H78))+1,0)))</f>
        <v>1</v>
      </c>
      <c r="M80" s="469" t="str">
        <f>IF(ISERROR(VLOOKUP($K79,$O$5:$O$15,1,FALSE)),IF(ISERROR(VLOOKUP($K79,$O$5:$O$15,1,FALSE)),"","/"&amp;$O$4),"/"&amp;$O$4)</f>
        <v/>
      </c>
      <c r="N80" s="470" t="str">
        <f>IF(ISERROR(VLOOKUP($K79,$Q$5:$Q$15,1,FALSE)),IF(ISERROR(VLOOKUP($K79,$Q$5:$Q$15,1,FALSE)),"","/"&amp;$Q$4),"/"&amp;$Q$4)</f>
        <v>/DBMS</v>
      </c>
      <c r="O80" s="471">
        <f>IF($GS$18&gt;0,$GT$18/$GS$18,0)</f>
        <v>7.0032963739886132</v>
      </c>
      <c r="P80" s="886"/>
      <c r="Q80" s="1714">
        <f>D79/VLOOKUP(B79,HWRange,3,FALSE)</f>
        <v>1</v>
      </c>
      <c r="R80" s="1877">
        <f>P179</f>
        <v>0</v>
      </c>
      <c r="S80" s="1982">
        <f>IF(E78=0,0,H78*A78/A79)</f>
        <v>1079.2044725982607</v>
      </c>
      <c r="T80" s="135">
        <v>10000</v>
      </c>
      <c r="U80" s="1608">
        <f>IF(E78=0,0,IF(U81=$I$188,U78,0))</f>
        <v>0</v>
      </c>
      <c r="V80" s="1826">
        <f>IF(G80&gt;0,1,0)</f>
        <v>1</v>
      </c>
      <c r="W80" s="1827">
        <f t="shared" ref="W80:AC80" si="63">IF(V80&gt;0,IF($F80&gt;V80,V80+1,0),0)</f>
        <v>0</v>
      </c>
      <c r="X80" s="1827">
        <f t="shared" si="63"/>
        <v>0</v>
      </c>
      <c r="Y80" s="1827">
        <f t="shared" si="63"/>
        <v>0</v>
      </c>
      <c r="Z80" s="1827">
        <f t="shared" si="63"/>
        <v>0</v>
      </c>
      <c r="AA80" s="1827">
        <f t="shared" si="63"/>
        <v>0</v>
      </c>
      <c r="AB80" s="1827">
        <f t="shared" si="63"/>
        <v>0</v>
      </c>
      <c r="AC80" s="1827">
        <f t="shared" si="63"/>
        <v>0</v>
      </c>
      <c r="AD80" s="1828">
        <f>IF(AC80&gt;0,IF($F80&gt;AC80,"…"&amp;$F80,0),0)</f>
        <v>0</v>
      </c>
      <c r="AE80" s="1829">
        <f>A79</f>
        <v>0.27485266207995168</v>
      </c>
      <c r="AF80" s="2978">
        <f>IF(AF79="","",IF(H80=0,0,H80/AF79+IF(H81=$I$187,1,0)))</f>
        <v>0</v>
      </c>
      <c r="AG80" s="1591"/>
      <c r="AH80" s="1591"/>
      <c r="AI80" s="1591"/>
      <c r="AJ80" s="1591"/>
      <c r="AK80" s="1591"/>
      <c r="AL80" s="1591"/>
      <c r="AM80" s="1591"/>
      <c r="AN80" s="1591"/>
      <c r="AO80" s="1591"/>
      <c r="AP80" s="1591"/>
      <c r="AQ80" s="1591"/>
      <c r="AR80" s="1591"/>
      <c r="AS80" s="1591"/>
      <c r="AT80" s="1591"/>
      <c r="AU80" s="1591"/>
      <c r="AV80" s="1591"/>
      <c r="AW80" s="1591"/>
      <c r="BC80" s="1602"/>
      <c r="BF80" s="1592"/>
      <c r="BG80" s="1601"/>
      <c r="BH80" s="1601"/>
      <c r="BI80" s="1601"/>
      <c r="BJ80" s="1601"/>
      <c r="BK80" s="1601"/>
      <c r="BL80" s="1601"/>
      <c r="BM80" s="1601"/>
      <c r="BN80" s="1601"/>
      <c r="BO80" s="1601"/>
      <c r="BP80" s="893"/>
      <c r="BQ80" s="1628"/>
      <c r="BR80" s="1628"/>
      <c r="BS80" s="1628"/>
      <c r="BT80" s="1628"/>
      <c r="BU80" s="1628"/>
      <c r="BV80" s="1629"/>
      <c r="BW80" s="1629"/>
      <c r="BX80" s="1629"/>
      <c r="BY80" s="1629"/>
      <c r="BZ80" s="1629"/>
      <c r="CA80" s="1629"/>
      <c r="CB80" s="1629"/>
      <c r="CC80" s="1629"/>
      <c r="CD80" s="1629"/>
      <c r="CE80" s="1629"/>
      <c r="CF80" s="894"/>
      <c r="CG80" s="1692">
        <f t="shared" si="61"/>
        <v>2596.666666666667</v>
      </c>
      <c r="CH80" s="1693" t="str">
        <f t="shared" si="61"/>
        <v>Install (Physical/DBMS)</v>
      </c>
      <c r="CI80" s="1181">
        <f>F80</f>
        <v>1</v>
      </c>
      <c r="CJ80" s="2719">
        <f>D79</f>
        <v>4</v>
      </c>
      <c r="CK80" s="2724">
        <f>T80</f>
        <v>10000</v>
      </c>
      <c r="CL80" s="1592"/>
      <c r="CM80" s="1594"/>
      <c r="CN80" s="1592"/>
      <c r="CQ80" s="1592"/>
      <c r="CR80" s="1594"/>
      <c r="CU80" s="1592"/>
      <c r="DA80" s="1592"/>
      <c r="DB80" s="1594"/>
      <c r="DE80" s="1592"/>
      <c r="DF80" s="1594"/>
      <c r="DI80" s="1592"/>
      <c r="DJ80" s="1602"/>
      <c r="DK80" s="1602"/>
      <c r="DL80" s="1592"/>
      <c r="DM80" s="1602"/>
      <c r="DN80" s="1594"/>
      <c r="DO80" s="1594"/>
      <c r="DP80" s="394"/>
      <c r="DQ80" s="1602"/>
      <c r="DR80" s="1597"/>
      <c r="DS80" s="1597"/>
      <c r="DT80" s="1415"/>
      <c r="DW80" s="1602"/>
      <c r="DX80" s="1597"/>
      <c r="DY80" s="1415"/>
      <c r="EC80" s="1602"/>
      <c r="ED80" s="1415"/>
      <c r="EH80" s="1597"/>
      <c r="EI80" s="1602"/>
      <c r="EJ80" s="1415"/>
      <c r="EN80" s="1597"/>
      <c r="EO80" s="1602"/>
      <c r="EP80" s="1415"/>
      <c r="ET80" s="1597"/>
      <c r="EU80" s="1602"/>
      <c r="EV80" s="1415"/>
      <c r="EZ80" s="1597"/>
      <c r="FA80" s="1602"/>
      <c r="FB80" s="1415"/>
      <c r="FF80" s="1597"/>
      <c r="FG80" s="1602"/>
      <c r="FH80" s="1415"/>
      <c r="FL80" s="1597"/>
      <c r="FM80" s="1602"/>
      <c r="FN80" s="1415"/>
      <c r="FR80" s="1597"/>
      <c r="FS80" s="1602"/>
      <c r="FT80" s="1415"/>
      <c r="FX80" s="1597"/>
      <c r="FY80" s="1602"/>
      <c r="FZ80" s="1415"/>
      <c r="GD80" s="1597"/>
      <c r="GE80" s="1602"/>
      <c r="GG80" s="1415"/>
      <c r="GJ80" s="1597"/>
      <c r="GK80" s="1602"/>
      <c r="GM80" s="1415"/>
      <c r="GO80" s="1415"/>
      <c r="GP80" s="1597"/>
      <c r="GQ80" s="1602"/>
      <c r="GS80" s="1415"/>
      <c r="GT80" s="1415"/>
    </row>
    <row r="81" spans="1:209" ht="16" outlineLevel="1" thickBot="1" x14ac:dyDescent="0.2">
      <c r="A81" s="916" t="str">
        <f>IF(A80=0,0,ROUND(100*A79,0)&amp;"% CPU")</f>
        <v>27% CPU</v>
      </c>
      <c r="B81" s="917" t="str">
        <f>IF(A80&gt;0,IF(I80=$J$163,K79&amp;": "&amp;F80&amp;"x "&amp;B79&amp;" "&amp;C79&amp;" GB RAM",$K79&amp;": "&amp;$F80&amp;"x VM ("&amp;I79&amp;" core "&amp;C79&amp;" GB RAM) "&amp;Q79&amp;" "&amp;L78&amp;" MHz"),0)</f>
        <v>DBMS: 1x Xeon Gold 5122 4 core (1 chip) 3600 MHz 67 GB RAM</v>
      </c>
      <c r="C81" s="1609" t="str">
        <f>IF(I80=$H$185,I80,I78)</f>
        <v>Physical</v>
      </c>
      <c r="D81" s="918">
        <f>A78</f>
        <v>370.77777777777777</v>
      </c>
      <c r="E81" s="919" t="str">
        <f>IF(E80&gt;0,ROUND(E80*60/1000,0)&amp;"K TPH",0)</f>
        <v>567K TPH</v>
      </c>
      <c r="F81" s="920">
        <f>+L80</f>
        <v>1</v>
      </c>
      <c r="G81" s="919" t="str">
        <f>IF(G80&gt;0,ROUND(G80*60/1000,0)&amp;"K TPH",0)</f>
        <v>567K TPH</v>
      </c>
      <c r="H81" s="921" t="str">
        <f>H$19</f>
        <v>Minimum</v>
      </c>
      <c r="I81" s="1736">
        <f>IF(I80=$J$163,0,I78)</f>
        <v>0</v>
      </c>
      <c r="J81" s="2086">
        <f>IF(AND(O78="/"&amp;$N$4,J80=$H$188),IF(F80&gt;0,(F80-1)*A80/(60*$H$190),0),0)</f>
        <v>0</v>
      </c>
      <c r="K81" s="2086">
        <f>IF(E78&gt;0,D80/E78,0)</f>
        <v>1.0609318996415771</v>
      </c>
      <c r="L81" s="2080">
        <f>IF($W79=$W$163,2,F80)</f>
        <v>1</v>
      </c>
      <c r="M81" s="3134">
        <f>IF(AND(S81&gt;0,I80=$H$185),1,0)</f>
        <v>0</v>
      </c>
      <c r="N81" s="1618"/>
      <c r="O81" s="1618"/>
      <c r="P81" s="922"/>
      <c r="Q81" s="1618"/>
      <c r="R81" s="1618"/>
      <c r="S81" s="3118">
        <f>IF(LEFT(B79,3)=S79,VLOOKUP(B79,HWRange,10,FALSE),0)</f>
        <v>0</v>
      </c>
      <c r="T81" s="940">
        <f>U81</f>
        <v>0</v>
      </c>
      <c r="U81" s="1591"/>
      <c r="V81" s="1918" t="str">
        <f>IF(A79&gt;0,B81&amp;" "&amp;C81&amp;IF(B81="",""," GB RAM"),0)</f>
        <v>DBMS: 1x Xeon Gold 5122 4 core (1 chip) 3600 MHz 67 GB RAM Physical GB RAM</v>
      </c>
      <c r="W81" s="1819"/>
      <c r="X81" s="1819"/>
      <c r="Y81" s="1819"/>
      <c r="Z81" s="1819"/>
      <c r="AA81" s="1819"/>
      <c r="AB81" s="1819"/>
      <c r="AC81" s="1819"/>
      <c r="AD81" s="1819"/>
      <c r="AE81" s="1919">
        <f>IF(A79&gt;0,F79,0)</f>
        <v>69.75</v>
      </c>
      <c r="AF81" s="2876">
        <f>IF(A78=0,0,IF(LEFT(B79,3)=S79,VLOOKUP(B79,HWRange,12,FALSE),0)*F80)</f>
        <v>0</v>
      </c>
      <c r="AG81" s="2877" t="str">
        <f>IF(AF81&gt;0,S79&amp;" 3-yr Pricing","")</f>
        <v/>
      </c>
      <c r="AH81" s="2882"/>
      <c r="AI81" s="2883"/>
      <c r="AJ81" s="1591"/>
      <c r="AK81" s="1591"/>
      <c r="AL81" s="1591"/>
      <c r="AM81" s="1591"/>
      <c r="AN81" s="1591"/>
      <c r="AO81" s="1591"/>
      <c r="AP81" s="1591"/>
      <c r="AQ81" s="1591"/>
      <c r="AR81" s="1591"/>
      <c r="AS81" s="1591"/>
      <c r="AT81" s="1591"/>
      <c r="AU81" s="1591"/>
      <c r="AV81" s="1591"/>
      <c r="AW81" s="1591"/>
      <c r="AX81" s="1601"/>
      <c r="AY81" s="1601"/>
      <c r="BC81" s="1614"/>
      <c r="BF81" s="1592"/>
      <c r="BG81" s="1601"/>
      <c r="BH81" s="1601"/>
      <c r="BI81" s="1906"/>
      <c r="BJ81" s="1601"/>
      <c r="BK81" s="1601"/>
      <c r="BL81" s="1601"/>
      <c r="BM81" s="1601"/>
      <c r="BN81" s="1601"/>
      <c r="BO81" s="1601"/>
      <c r="BP81" s="1773" t="s">
        <v>273</v>
      </c>
      <c r="BQ81" s="1774" t="str">
        <f t="shared" ref="BQ81:BW82" si="64">CY181</f>
        <v>Tier01</v>
      </c>
      <c r="BR81" s="1774" t="str">
        <f t="shared" si="64"/>
        <v>Tier02</v>
      </c>
      <c r="BS81" s="1774" t="str">
        <f t="shared" si="64"/>
        <v>Tier03</v>
      </c>
      <c r="BT81" s="1774" t="str">
        <f t="shared" si="64"/>
        <v>Tier04</v>
      </c>
      <c r="BU81" s="1774" t="str">
        <f t="shared" si="64"/>
        <v>Tier05</v>
      </c>
      <c r="BV81" s="1774" t="str">
        <f t="shared" si="64"/>
        <v>Tier06</v>
      </c>
      <c r="BW81" s="1774" t="str">
        <f t="shared" si="64"/>
        <v>Tier12</v>
      </c>
      <c r="BX81" s="1774" t="str">
        <f t="shared" ref="BX81:CB82" si="65">DB181</f>
        <v>Tier04</v>
      </c>
      <c r="BY81" s="1774" t="str">
        <f t="shared" si="65"/>
        <v>Tier05</v>
      </c>
      <c r="BZ81" s="1774" t="str">
        <f t="shared" si="65"/>
        <v>Tier06</v>
      </c>
      <c r="CA81" s="1774" t="str">
        <f t="shared" si="65"/>
        <v>Tier12</v>
      </c>
      <c r="CB81" s="1774" t="str">
        <f t="shared" si="65"/>
        <v>Web</v>
      </c>
      <c r="CC81" s="1774" t="str">
        <f t="shared" ref="CC81:CE82" si="66">DF181</f>
        <v>Web</v>
      </c>
      <c r="CD81" s="1774" t="str">
        <f t="shared" si="66"/>
        <v>GIS</v>
      </c>
      <c r="CE81" s="1774" t="str">
        <f t="shared" si="66"/>
        <v>DBMS</v>
      </c>
      <c r="CF81" s="1619"/>
      <c r="CG81" s="3403" t="str">
        <f>B81</f>
        <v>DBMS: 1x Xeon Gold 5122 4 core (1 chip) 3600 MHz 67 GB RAM</v>
      </c>
      <c r="CH81" s="3404"/>
      <c r="CI81" s="3404"/>
      <c r="CJ81" s="3404"/>
      <c r="CK81" s="2723"/>
      <c r="CL81" s="1592"/>
      <c r="CM81" s="1594"/>
      <c r="CN81" s="1592"/>
      <c r="CQ81" s="1592"/>
      <c r="CR81" s="1594"/>
      <c r="CU81" s="1592"/>
      <c r="DA81" s="1592"/>
      <c r="DB81" s="1594"/>
      <c r="DE81" s="1592"/>
      <c r="DF81" s="1594"/>
      <c r="DI81" s="1592"/>
      <c r="DJ81" s="1614"/>
      <c r="DK81" s="1614"/>
      <c r="DL81" s="1592"/>
      <c r="DM81" s="1614"/>
      <c r="DN81" s="1594"/>
      <c r="DO81" s="1594"/>
      <c r="DP81" s="394"/>
      <c r="DQ81" s="1614"/>
      <c r="DR81" s="1597"/>
      <c r="DS81" s="1597"/>
      <c r="DT81" s="1415"/>
      <c r="DW81" s="1614"/>
      <c r="DX81" s="1597"/>
      <c r="DY81" s="1415"/>
      <c r="EC81" s="1614"/>
      <c r="ED81" s="1415"/>
      <c r="EH81" s="1597"/>
      <c r="EI81" s="1614"/>
      <c r="EJ81" s="1415"/>
      <c r="EN81" s="1597"/>
      <c r="EO81" s="1614"/>
      <c r="EP81" s="1415"/>
      <c r="ET81" s="1597"/>
      <c r="EU81" s="1614"/>
      <c r="EV81" s="1415"/>
      <c r="EZ81" s="1597"/>
      <c r="FA81" s="1614"/>
      <c r="FB81" s="1415"/>
      <c r="FF81" s="1597"/>
      <c r="FG81" s="1614"/>
      <c r="FH81" s="1415"/>
      <c r="FL81" s="1597"/>
      <c r="FM81" s="1614"/>
      <c r="FN81" s="1415"/>
      <c r="FR81" s="1597"/>
      <c r="FS81" s="1614"/>
      <c r="FT81" s="1415"/>
      <c r="FX81" s="1597"/>
      <c r="FY81" s="1614"/>
      <c r="FZ81" s="1415"/>
      <c r="GD81" s="1597"/>
      <c r="GE81" s="1614"/>
      <c r="GG81" s="1415"/>
      <c r="GJ81" s="1597"/>
      <c r="GK81" s="1614"/>
      <c r="GM81" s="1415"/>
      <c r="GO81" s="1415"/>
      <c r="GP81" s="1597"/>
      <c r="GQ81" s="1614"/>
      <c r="GS81" s="1415"/>
      <c r="GT81" s="1415"/>
    </row>
    <row r="82" spans="1:209" ht="16" thickTop="1" thickBot="1" x14ac:dyDescent="0.2">
      <c r="A82" s="2806" t="s">
        <v>1461</v>
      </c>
      <c r="B82" s="2807" t="s">
        <v>371</v>
      </c>
      <c r="C82" s="2808"/>
      <c r="D82" s="2809"/>
      <c r="E82" s="2810"/>
      <c r="F82" s="2811"/>
      <c r="G82" s="2810"/>
      <c r="H82" s="2812"/>
      <c r="I82" s="2812"/>
      <c r="J82" s="2812"/>
      <c r="K82" s="2812"/>
      <c r="L82" s="2812"/>
      <c r="M82" s="2812"/>
      <c r="N82" s="2812"/>
      <c r="O82" s="2812"/>
      <c r="P82" s="2812"/>
      <c r="Q82" s="2812"/>
      <c r="R82" s="2812"/>
      <c r="S82" s="2813"/>
      <c r="T82" s="135">
        <v>10000</v>
      </c>
      <c r="U82" s="1917">
        <f>GX18</f>
        <v>0</v>
      </c>
      <c r="V82" s="2313"/>
      <c r="W82" s="2314"/>
      <c r="X82" s="2315" t="str">
        <f>B127</f>
        <v>TOTAL HARDWARE =</v>
      </c>
      <c r="Y82" s="2871">
        <f>C127</f>
        <v>49458.75</v>
      </c>
      <c r="Z82" s="3405" t="s">
        <v>1219</v>
      </c>
      <c r="AA82" s="3405"/>
      <c r="AB82" s="2871">
        <f>G127</f>
        <v>0</v>
      </c>
      <c r="AC82" s="3226"/>
      <c r="AD82" s="3226" t="s">
        <v>1550</v>
      </c>
      <c r="AE82" s="2996">
        <f>I127</f>
        <v>2892.7738931341055</v>
      </c>
      <c r="AF82" s="2879">
        <f>AF81+AF77+AF73+AF69+AF65+AF60+AF56+AF52+AF48+AF44+AF39+AF35+AF31+AF27+AF23</f>
        <v>0</v>
      </c>
      <c r="AG82" s="2880" t="str">
        <f>IF(AF82&gt;0,"Total AMI 3-yr Pricing","")</f>
        <v/>
      </c>
      <c r="AH82" s="2878"/>
      <c r="AI82" s="2855"/>
      <c r="BG82" s="1590"/>
      <c r="BH82" s="1590"/>
      <c r="BI82" s="1590"/>
      <c r="BJ82" s="1590"/>
      <c r="BK82" s="1590"/>
      <c r="BL82" s="1590"/>
      <c r="BM82" s="1590"/>
      <c r="BN82" s="1590"/>
      <c r="BO82" s="1590"/>
      <c r="BP82" s="1724">
        <f>SUM(BQ82:CE82)</f>
        <v>5</v>
      </c>
      <c r="BQ82" s="1725">
        <f t="shared" si="64"/>
        <v>0</v>
      </c>
      <c r="BR82" s="1725">
        <f t="shared" si="64"/>
        <v>0</v>
      </c>
      <c r="BS82" s="1725">
        <f t="shared" si="64"/>
        <v>0</v>
      </c>
      <c r="BT82" s="1725">
        <f t="shared" si="64"/>
        <v>0</v>
      </c>
      <c r="BU82" s="1725">
        <f t="shared" si="64"/>
        <v>0</v>
      </c>
      <c r="BV82" s="1725">
        <f t="shared" si="64"/>
        <v>0</v>
      </c>
      <c r="BW82" s="1725">
        <f t="shared" si="64"/>
        <v>0</v>
      </c>
      <c r="BX82" s="1725">
        <f t="shared" si="65"/>
        <v>0</v>
      </c>
      <c r="BY82" s="1725">
        <f t="shared" si="65"/>
        <v>0</v>
      </c>
      <c r="BZ82" s="1725">
        <f t="shared" si="65"/>
        <v>0</v>
      </c>
      <c r="CA82" s="1725">
        <f t="shared" si="65"/>
        <v>0</v>
      </c>
      <c r="CB82" s="1725">
        <f t="shared" si="65"/>
        <v>1</v>
      </c>
      <c r="CC82" s="1725">
        <f t="shared" si="66"/>
        <v>1</v>
      </c>
      <c r="CD82" s="1725">
        <f t="shared" si="66"/>
        <v>2</v>
      </c>
      <c r="CE82" s="1725">
        <f t="shared" si="66"/>
        <v>1</v>
      </c>
      <c r="CF82" s="1726"/>
      <c r="CG82" s="1694"/>
      <c r="CH82" s="1695" t="s">
        <v>525</v>
      </c>
      <c r="CI82" s="1696">
        <f>CI80+CI76+CI72+CI68+CI43+CI38+CI34+CI30+CI26+CI22</f>
        <v>4</v>
      </c>
      <c r="CJ82" s="2720">
        <f>CJ80+CJ76+CJ72+CJ68+CJ43+CJ38+CJ34+CJ30+CJ26+CJ22</f>
        <v>16</v>
      </c>
      <c r="CK82" s="2723"/>
      <c r="DL82" s="1630"/>
      <c r="DM82" s="1590"/>
      <c r="DN82" s="1590"/>
      <c r="DO82" s="1590"/>
      <c r="DP82" s="1590"/>
      <c r="DS82" s="1415"/>
      <c r="DT82" s="1597"/>
      <c r="DU82" s="1597"/>
      <c r="DV82" s="1592"/>
      <c r="DX82" s="1415"/>
      <c r="DY82" s="1597"/>
      <c r="DZ82" s="1597"/>
      <c r="EA82" s="1592"/>
      <c r="ED82" s="1597"/>
      <c r="EE82" s="1597"/>
      <c r="EF82" s="1592"/>
      <c r="EH82" s="1415"/>
      <c r="EJ82" s="1597"/>
      <c r="EK82" s="1597"/>
      <c r="EL82" s="1592"/>
      <c r="EN82" s="1415"/>
      <c r="EP82" s="1597"/>
      <c r="EQ82" s="1597"/>
      <c r="ER82" s="1592"/>
      <c r="ET82" s="1415"/>
      <c r="EV82" s="1597"/>
      <c r="EW82" s="1597"/>
      <c r="EX82" s="1592"/>
      <c r="EZ82" s="1415"/>
      <c r="FB82" s="1597"/>
      <c r="FC82" s="1597"/>
      <c r="FD82" s="1592"/>
      <c r="FF82" s="1415"/>
      <c r="FH82" s="1597"/>
      <c r="FI82" s="1597"/>
      <c r="FJ82" s="1592"/>
      <c r="FL82" s="1415"/>
      <c r="FN82" s="1597"/>
      <c r="FO82" s="1597"/>
      <c r="FP82" s="1592"/>
      <c r="FR82" s="1415"/>
      <c r="FT82" s="1597"/>
      <c r="FU82" s="1597"/>
      <c r="FV82" s="1592"/>
      <c r="FX82" s="1415"/>
      <c r="FZ82" s="1597"/>
      <c r="GA82" s="1597"/>
      <c r="GB82" s="1592"/>
      <c r="GD82" s="1415"/>
      <c r="GF82" s="1597"/>
      <c r="GG82" s="1597"/>
      <c r="GH82" s="1590"/>
      <c r="GI82" s="1592"/>
      <c r="GJ82" s="1415"/>
      <c r="GL82" s="1597"/>
      <c r="GM82" s="1597"/>
      <c r="GN82" s="1590"/>
      <c r="GP82" s="1415"/>
      <c r="GR82" s="1597"/>
      <c r="GU82" s="1590"/>
      <c r="GV82" s="1600"/>
      <c r="HA82" s="390"/>
    </row>
    <row r="83" spans="1:209" s="390" customFormat="1" x14ac:dyDescent="0.15">
      <c r="A83" s="2311" t="str">
        <f>BP83&amp;" Tier"</f>
        <v>0 Tier</v>
      </c>
      <c r="B83" s="2310" t="s">
        <v>1211</v>
      </c>
      <c r="C83" s="1707" t="s">
        <v>723</v>
      </c>
      <c r="D83" s="1708" t="s">
        <v>1241</v>
      </c>
      <c r="E83" s="1708" t="s">
        <v>724</v>
      </c>
      <c r="F83" s="1709" t="s">
        <v>725</v>
      </c>
      <c r="G83" s="1709"/>
      <c r="H83" s="1708" t="s">
        <v>65</v>
      </c>
      <c r="I83" s="1708" t="s">
        <v>726</v>
      </c>
      <c r="J83" s="1710" t="s">
        <v>408</v>
      </c>
      <c r="K83" s="1711" t="s">
        <v>718</v>
      </c>
      <c r="L83" s="1712"/>
      <c r="M83" s="1712"/>
      <c r="N83" s="1712"/>
      <c r="O83" s="1712"/>
      <c r="P83" s="1712"/>
      <c r="Q83" s="1713"/>
      <c r="R83" s="1712"/>
      <c r="S83" s="1713"/>
      <c r="T83" s="1712"/>
      <c r="U83" s="1735"/>
      <c r="V83" s="1864" t="str">
        <f>BP83&amp;" Tier Host Platform Solution"</f>
        <v>0 Tier Host Platform Solution</v>
      </c>
      <c r="W83" s="1183"/>
      <c r="X83" s="1183"/>
      <c r="Y83" s="1183"/>
      <c r="Z83" s="1188"/>
      <c r="AA83" s="3406">
        <f>F85+F88+F91</f>
        <v>0</v>
      </c>
      <c r="AB83" s="3407"/>
      <c r="AC83" s="3408">
        <f>R85+R88+R91</f>
        <v>0</v>
      </c>
      <c r="AD83" s="3408"/>
      <c r="AE83" s="2854">
        <f>AE84+AE87+AE90</f>
        <v>0</v>
      </c>
      <c r="AF83" s="2199" t="s">
        <v>1491</v>
      </c>
      <c r="AG83" s="1415"/>
      <c r="AH83" s="1415"/>
      <c r="AI83" s="1415"/>
      <c r="AJ83" s="1415"/>
      <c r="AK83" s="1415"/>
      <c r="AL83" s="1415"/>
      <c r="AM83" s="1415"/>
      <c r="AN83" s="1415"/>
      <c r="AO83" s="1415"/>
      <c r="AP83" s="1415"/>
      <c r="AQ83" s="1415"/>
      <c r="AR83" s="1415"/>
      <c r="AS83" s="1415"/>
      <c r="AT83" s="1415"/>
      <c r="AU83" s="1415"/>
      <c r="AV83" s="1415"/>
      <c r="AW83" s="1415"/>
      <c r="AX83" s="1415"/>
      <c r="AY83" s="1415"/>
      <c r="AZ83" s="1415"/>
      <c r="BA83" s="1415"/>
      <c r="BB83" s="1415"/>
      <c r="BC83" s="392"/>
      <c r="BD83" s="392"/>
      <c r="BE83" s="392"/>
      <c r="BG83" s="393"/>
      <c r="BH83" s="393"/>
      <c r="BI83" s="393"/>
      <c r="BJ83" s="393"/>
      <c r="BK83" s="393"/>
      <c r="BL83" s="393"/>
      <c r="BM83" s="393"/>
      <c r="BN83" s="393"/>
      <c r="BO83" s="393"/>
      <c r="BP83" s="1741">
        <f>SUM(BP84:BP98)</f>
        <v>0</v>
      </c>
      <c r="BQ83" s="1742"/>
      <c r="BR83" s="1742"/>
      <c r="BS83" s="1742"/>
      <c r="BT83" s="1742"/>
      <c r="BU83" s="1742"/>
      <c r="BV83" s="1743"/>
      <c r="BW83" s="1743"/>
      <c r="BX83" s="1743"/>
      <c r="BY83" s="1743"/>
      <c r="BZ83" s="1743"/>
      <c r="CA83" s="1743"/>
      <c r="CB83" s="1743"/>
      <c r="CC83" s="1743"/>
      <c r="CD83" s="1743"/>
      <c r="CE83" s="1743"/>
      <c r="CF83" s="1743"/>
      <c r="CG83" s="1685" t="str">
        <f>BP83&amp;" Tier"</f>
        <v>0 Tier</v>
      </c>
      <c r="CH83" s="1686" t="s">
        <v>729</v>
      </c>
      <c r="CI83" s="1687"/>
      <c r="CJ83" s="2721"/>
      <c r="CK83" s="2725"/>
      <c r="DJ83" s="392"/>
      <c r="DK83" s="392"/>
      <c r="DL83" s="392"/>
      <c r="DM83" s="392"/>
      <c r="DN83" s="392"/>
      <c r="DO83" s="392"/>
      <c r="DP83" s="392"/>
      <c r="DQ83" s="392"/>
      <c r="DT83" s="394"/>
      <c r="DU83" s="394"/>
      <c r="DW83" s="392"/>
      <c r="DY83" s="394"/>
      <c r="DZ83" s="394"/>
      <c r="EC83" s="392"/>
      <c r="ED83" s="394"/>
      <c r="EE83" s="394"/>
      <c r="EI83" s="392"/>
      <c r="EJ83" s="394"/>
      <c r="EK83" s="394"/>
      <c r="EO83" s="392"/>
      <c r="EP83" s="394"/>
      <c r="EQ83" s="394"/>
      <c r="EU83" s="392"/>
      <c r="EV83" s="394"/>
      <c r="EW83" s="394"/>
      <c r="FA83" s="392"/>
      <c r="FB83" s="394"/>
      <c r="FC83" s="394"/>
      <c r="FG83" s="392"/>
      <c r="FH83" s="394"/>
      <c r="FI83" s="394"/>
      <c r="FM83" s="392"/>
      <c r="FN83" s="394"/>
      <c r="FO83" s="394"/>
      <c r="FS83" s="392"/>
      <c r="FT83" s="394"/>
      <c r="FU83" s="394"/>
      <c r="FY83" s="392"/>
      <c r="FZ83" s="394"/>
      <c r="GA83" s="394"/>
      <c r="GE83" s="392"/>
      <c r="GF83" s="394"/>
      <c r="GG83" s="392"/>
      <c r="GH83" s="394"/>
      <c r="GK83" s="392"/>
      <c r="GL83" s="394"/>
      <c r="GM83" s="392"/>
      <c r="GN83" s="394"/>
      <c r="GP83" s="394"/>
      <c r="GQ83" s="392"/>
      <c r="GR83" s="394"/>
      <c r="GS83" s="392"/>
      <c r="GT83" s="392"/>
      <c r="GU83" s="394"/>
      <c r="HA83" s="12"/>
    </row>
    <row r="84" spans="1:209" s="12" customFormat="1" ht="16" hidden="1" outlineLevel="2" thickBot="1" x14ac:dyDescent="0.25">
      <c r="A84" s="1786">
        <f>IF(J85=0,0,D85/G85)</f>
        <v>0</v>
      </c>
      <c r="B84" s="2967" t="s">
        <v>716</v>
      </c>
      <c r="C84" s="1787">
        <f>IF(F85=0,0,ROUNDUP(MAX(L84*3,$N$181/L85),0)+L84)</f>
        <v>0</v>
      </c>
      <c r="D84" s="1788">
        <f>F85*L84</f>
        <v>0</v>
      </c>
      <c r="E84" s="1789">
        <f>O181</f>
        <v>0</v>
      </c>
      <c r="F84" s="1790">
        <f>VLOOKUP(B85,HWRange,7,FALSE)</f>
        <v>69.75</v>
      </c>
      <c r="G84" s="1791">
        <f>VLOOKUP(B85,HWRange,6,FALSE)</f>
        <v>279</v>
      </c>
      <c r="H84" s="161" t="s">
        <v>365</v>
      </c>
      <c r="I84" s="1792">
        <v>0.8</v>
      </c>
      <c r="J84" s="1793"/>
      <c r="K84" s="1877">
        <f>IF(LEFT(B85,3)=S86,1,P181)</f>
        <v>0</v>
      </c>
      <c r="L84" s="491">
        <f>VLOOKUP(B85,HWRange,3,FALSE)</f>
        <v>4</v>
      </c>
      <c r="M84" s="1794"/>
      <c r="N84" s="1795"/>
      <c r="O84" s="1796"/>
      <c r="P84" s="1797"/>
      <c r="Q84" s="1734">
        <f>IF($A84&lt;0.9999, $A84/((1+$CJ$2*$A84*($L84-1))*(1-$A84)),2000)</f>
        <v>0</v>
      </c>
      <c r="R84" s="1588" t="s">
        <v>412</v>
      </c>
      <c r="S84" s="1798" t="s">
        <v>366</v>
      </c>
      <c r="T84" s="135">
        <v>10000</v>
      </c>
      <c r="U84" s="1831">
        <f>IF(J85&gt;0,IF(AND(M85="",N85=""),GI$18/F85,GJ$18/F85),0)</f>
        <v>0</v>
      </c>
      <c r="V84" s="2968">
        <f>IF(V85=0,0,$A84)</f>
        <v>0</v>
      </c>
      <c r="W84" s="2969">
        <f t="shared" ref="W84:AB84" si="67">IF(W85=0,0,$A84)</f>
        <v>0</v>
      </c>
      <c r="X84" s="2968">
        <f t="shared" si="67"/>
        <v>0</v>
      </c>
      <c r="Y84" s="2968">
        <f t="shared" si="67"/>
        <v>0</v>
      </c>
      <c r="Z84" s="2968">
        <f t="shared" si="67"/>
        <v>0</v>
      </c>
      <c r="AA84" s="2968">
        <f t="shared" si="67"/>
        <v>0</v>
      </c>
      <c r="AB84" s="2968">
        <f t="shared" si="67"/>
        <v>0</v>
      </c>
      <c r="AC84" s="2970">
        <f>IF(AC85=0,0,$A84)</f>
        <v>0</v>
      </c>
      <c r="AD84" s="1830">
        <f>E84</f>
        <v>0</v>
      </c>
      <c r="AE84" s="2856">
        <f>D84</f>
        <v>0</v>
      </c>
      <c r="AF84" s="2975" t="str">
        <f>IF(H85&gt;0,D84*(1-A84)*(2-$H$191),"")</f>
        <v/>
      </c>
      <c r="AG84" s="1415"/>
      <c r="AH84" s="1415"/>
      <c r="AI84" s="1415"/>
      <c r="AJ84" s="1415"/>
      <c r="AK84" s="1415"/>
      <c r="AL84" s="1415"/>
      <c r="AM84" s="1415"/>
      <c r="AN84" s="1415"/>
      <c r="AO84" s="1415"/>
      <c r="AP84" s="1415"/>
      <c r="AQ84" s="1415"/>
      <c r="AR84" s="1415"/>
      <c r="AS84" s="1415"/>
      <c r="AT84" s="1415"/>
      <c r="AU84" s="1415"/>
      <c r="AV84" s="1415"/>
      <c r="AW84" s="1415"/>
      <c r="AX84" s="1415"/>
      <c r="AY84" s="1415"/>
      <c r="AZ84" s="1415"/>
      <c r="BA84" s="1415"/>
      <c r="BB84" s="1415"/>
      <c r="BC84" s="20"/>
      <c r="BF84" s="13"/>
      <c r="BG84" s="15"/>
      <c r="BH84" s="15"/>
      <c r="BI84" s="15"/>
      <c r="BJ84" s="15"/>
      <c r="BK84" s="15"/>
      <c r="BL84" s="15"/>
      <c r="BM84" s="15"/>
      <c r="BN84" s="15"/>
      <c r="BO84" s="15"/>
      <c r="BP84" s="1799">
        <f>IF(A84&gt;0,1,0)</f>
        <v>0</v>
      </c>
      <c r="BQ84" s="892"/>
      <c r="BR84" s="892"/>
      <c r="BS84" s="892"/>
      <c r="BT84" s="892"/>
      <c r="BU84" s="892"/>
      <c r="BV84" s="892"/>
      <c r="BW84" s="892"/>
      <c r="BX84" s="892"/>
      <c r="BY84" s="892"/>
      <c r="BZ84" s="892"/>
      <c r="CA84" s="892"/>
      <c r="CB84" s="892"/>
      <c r="CC84" s="892"/>
      <c r="CD84" s="892"/>
      <c r="CE84" s="892"/>
      <c r="CF84" s="892"/>
      <c r="CG84" s="1691">
        <f>A84</f>
        <v>0</v>
      </c>
      <c r="CH84" s="14" t="str">
        <f>B85</f>
        <v>Xeon Gold 5122 4 core (1 chip) 3600 MHz</v>
      </c>
      <c r="CI84" s="1180">
        <f>F84</f>
        <v>69.75</v>
      </c>
      <c r="CJ84" s="1180">
        <f>G84</f>
        <v>279</v>
      </c>
      <c r="CK84" s="2724">
        <f>T84</f>
        <v>10000</v>
      </c>
      <c r="CL84" s="13"/>
      <c r="CM84" s="18"/>
      <c r="CN84" s="13"/>
      <c r="CQ84" s="13"/>
      <c r="CR84" s="18"/>
      <c r="CU84" s="13"/>
      <c r="DA84" s="13"/>
      <c r="DB84" s="18"/>
      <c r="DE84" s="13"/>
      <c r="DF84" s="18"/>
      <c r="DI84" s="13"/>
      <c r="DJ84" s="20"/>
      <c r="DK84" s="20"/>
      <c r="DL84" s="13"/>
      <c r="DM84" s="20"/>
      <c r="DN84" s="18"/>
      <c r="DO84" s="18"/>
      <c r="DP84" s="19"/>
      <c r="DQ84" s="20"/>
      <c r="DR84" s="18"/>
      <c r="DS84" s="18"/>
      <c r="DW84" s="20"/>
      <c r="DX84" s="18"/>
      <c r="EC84" s="20"/>
      <c r="EH84" s="18"/>
      <c r="EI84" s="20"/>
      <c r="EN84" s="18"/>
      <c r="EO84" s="20"/>
      <c r="ET84" s="18"/>
      <c r="EU84" s="20"/>
      <c r="EZ84" s="18"/>
      <c r="FA84" s="20"/>
      <c r="FF84" s="18"/>
      <c r="FG84" s="20"/>
      <c r="FL84" s="18"/>
      <c r="FM84" s="20"/>
      <c r="FR84" s="18"/>
      <c r="FS84" s="20"/>
      <c r="FX84" s="18"/>
      <c r="FY84" s="20"/>
      <c r="GD84" s="18"/>
      <c r="GE84" s="20"/>
      <c r="GJ84" s="18"/>
      <c r="GK84" s="20"/>
      <c r="GP84" s="18"/>
      <c r="GQ84" s="20"/>
    </row>
    <row r="85" spans="1:209" s="12" customFormat="1" ht="14" hidden="1" outlineLevel="2" thickBot="1" x14ac:dyDescent="0.2">
      <c r="A85" s="1800"/>
      <c r="B85" s="156" t="str">
        <f>B63</f>
        <v>Xeon Gold 5122 4 core (1 chip) 3600 MHz</v>
      </c>
      <c r="C85" s="258" t="str">
        <f>A184</f>
        <v>Host01</v>
      </c>
      <c r="D85" s="1801">
        <f>IF(J85=0,0,J85*($BO$2/F84))</f>
        <v>0</v>
      </c>
      <c r="E85" s="1802">
        <f>IF(J85=0,0,L84*60)</f>
        <v>0</v>
      </c>
      <c r="F85" s="142">
        <f>IF(J85=0,0,IF(H85,H85,IF(H86=$I$187,L85+1,L85)))</f>
        <v>0</v>
      </c>
      <c r="G85" s="1803">
        <f>IF(J85=0,0,IF(F85&gt;0,+E85*F85,"Nodes?"))</f>
        <v>0</v>
      </c>
      <c r="H85" s="143"/>
      <c r="I85" s="1861" t="s">
        <v>408</v>
      </c>
      <c r="J85" s="2391">
        <f>$H$191*$M$181</f>
        <v>0</v>
      </c>
      <c r="K85" s="1804">
        <f>IF(AND(N85="",N84=""),2,4)</f>
        <v>2</v>
      </c>
      <c r="L85" s="1805">
        <f>IF(H85,H85,IF(J85=0,1,IF(D85&gt;0,+INT(D85/(E85*I84))+1,1)))</f>
        <v>1</v>
      </c>
      <c r="M85" s="1806"/>
      <c r="N85" s="1807"/>
      <c r="O85" s="1808"/>
      <c r="P85" s="1809"/>
      <c r="Q85" s="1246" t="str">
        <f>VLOOKUP(B85,HWRange,2,FALSE)</f>
        <v>Xeon Gold 5122</v>
      </c>
      <c r="R85" s="1810">
        <f>F85*VLOOKUP(B85,HWRange,8,FALSE)</f>
        <v>0</v>
      </c>
      <c r="S85" s="1981" t="str">
        <f>IF(D85&gt;0,I84*$Q$181/A84-1,"")</f>
        <v/>
      </c>
      <c r="T85" s="135">
        <v>10000</v>
      </c>
      <c r="U85" s="1608">
        <f>IF(J85=0,0,IF(U86=$I$188,U84,0))</f>
        <v>0</v>
      </c>
      <c r="V85" s="2971">
        <f>IF(G85&gt;0,1,0)</f>
        <v>0</v>
      </c>
      <c r="W85" s="2972">
        <f t="shared" ref="W85:AB85" si="68">IF(V85&gt;0,IF($F85&gt;V85,V85+1,0),0)</f>
        <v>0</v>
      </c>
      <c r="X85" s="2972">
        <f t="shared" si="68"/>
        <v>0</v>
      </c>
      <c r="Y85" s="2972">
        <f t="shared" si="68"/>
        <v>0</v>
      </c>
      <c r="Z85" s="2972">
        <f t="shared" si="68"/>
        <v>0</v>
      </c>
      <c r="AA85" s="2972">
        <f t="shared" si="68"/>
        <v>0</v>
      </c>
      <c r="AB85" s="2972">
        <f t="shared" si="68"/>
        <v>0</v>
      </c>
      <c r="AC85" s="2973">
        <f>IF(AB85&gt;0,IF($F85&gt;AB85,"…"&amp;$F85,0),0)</f>
        <v>0</v>
      </c>
      <c r="AD85" s="1916">
        <f>F85</f>
        <v>0</v>
      </c>
      <c r="AE85" s="2857">
        <f>A84</f>
        <v>0</v>
      </c>
      <c r="AF85" s="2998">
        <f>AF$19</f>
        <v>24</v>
      </c>
      <c r="AG85" s="1415"/>
      <c r="AH85" s="1415"/>
      <c r="AI85" s="1415"/>
      <c r="AJ85" s="1415"/>
      <c r="AK85" s="1415"/>
      <c r="AL85" s="1415"/>
      <c r="AM85" s="1415"/>
      <c r="AN85" s="1415"/>
      <c r="AO85" s="1415"/>
      <c r="AP85" s="1415"/>
      <c r="AQ85" s="1415"/>
      <c r="AR85" s="1415"/>
      <c r="AS85" s="1415"/>
      <c r="AT85" s="1415"/>
      <c r="AU85" s="1415"/>
      <c r="AV85" s="1415"/>
      <c r="AW85" s="1415"/>
      <c r="AX85" s="1415"/>
      <c r="AY85" s="1415"/>
      <c r="AZ85" s="1415"/>
      <c r="BA85" s="1415"/>
      <c r="BB85" s="1415"/>
      <c r="BC85" s="20"/>
      <c r="BF85" s="13"/>
      <c r="BG85" s="15"/>
      <c r="BH85" s="15"/>
      <c r="BI85" s="15"/>
      <c r="BJ85" s="15"/>
      <c r="BK85" s="15"/>
      <c r="BL85" s="15"/>
      <c r="BM85" s="15"/>
      <c r="BN85" s="15"/>
      <c r="BO85" s="15"/>
      <c r="BP85" s="1811"/>
      <c r="BQ85" s="890"/>
      <c r="BR85" s="890"/>
      <c r="BS85" s="890"/>
      <c r="BT85" s="890"/>
      <c r="BU85" s="890"/>
      <c r="BV85" s="890"/>
      <c r="BW85" s="890"/>
      <c r="BX85" s="890"/>
      <c r="BY85" s="890"/>
      <c r="BZ85" s="890"/>
      <c r="CA85" s="890"/>
      <c r="CB85" s="890"/>
      <c r="CC85" s="890"/>
      <c r="CD85" s="890"/>
      <c r="CE85" s="890"/>
      <c r="CF85" s="1811"/>
      <c r="CG85" s="1697" t="str">
        <f>IF(ISERROR(FIND(":",B84)),B84,LEFT(B84,FIND(":",B84)-1))</f>
        <v>Host01</v>
      </c>
      <c r="CH85" s="1698" t="str">
        <f>J86&amp;" physical and "&amp;K86&amp;" virtual core"</f>
        <v>0 physical and 0 virtual core</v>
      </c>
      <c r="CI85" s="1181">
        <f>F85</f>
        <v>0</v>
      </c>
      <c r="CJ85" s="2719">
        <f>D84</f>
        <v>0</v>
      </c>
      <c r="CK85" s="2724">
        <f>T85</f>
        <v>10000</v>
      </c>
      <c r="CL85" s="13"/>
      <c r="CM85" s="18"/>
      <c r="CN85" s="13"/>
      <c r="CQ85" s="13"/>
      <c r="CR85" s="18"/>
      <c r="CU85" s="13"/>
      <c r="DA85" s="13"/>
      <c r="DB85" s="18"/>
      <c r="DE85" s="13"/>
      <c r="DF85" s="18"/>
      <c r="DI85" s="13"/>
      <c r="DJ85" s="20"/>
      <c r="DK85" s="20"/>
      <c r="DL85" s="13"/>
      <c r="DM85" s="20"/>
      <c r="DN85" s="18"/>
      <c r="DO85" s="18"/>
      <c r="DP85" s="19"/>
      <c r="DQ85" s="20"/>
      <c r="DR85" s="21"/>
      <c r="DS85" s="21"/>
      <c r="DW85" s="20"/>
      <c r="DX85" s="21"/>
      <c r="EC85" s="20"/>
      <c r="EH85" s="21"/>
      <c r="EI85" s="20"/>
      <c r="EN85" s="21"/>
      <c r="EO85" s="20"/>
      <c r="ET85" s="21"/>
      <c r="EU85" s="20"/>
      <c r="EZ85" s="21"/>
      <c r="FA85" s="20"/>
      <c r="FF85" s="21"/>
      <c r="FG85" s="20"/>
      <c r="FL85" s="21"/>
      <c r="FM85" s="20"/>
      <c r="FR85" s="21"/>
      <c r="FS85" s="20"/>
      <c r="FX85" s="21"/>
      <c r="FY85" s="20"/>
      <c r="GD85" s="21"/>
      <c r="GE85" s="20"/>
      <c r="GJ85" s="21"/>
      <c r="GK85" s="20"/>
      <c r="GP85" s="21"/>
      <c r="GQ85" s="20"/>
    </row>
    <row r="86" spans="1:209" s="12" customFormat="1" ht="14" hidden="1" outlineLevel="1" collapsed="1" x14ac:dyDescent="0.2">
      <c r="A86" s="916">
        <f>IF(A84=0,0,ROUND(100*A84,0)&amp;"% CPU")</f>
        <v>0</v>
      </c>
      <c r="B86" s="917">
        <f>IF(A84&gt;0,$A$184&amp;": "&amp;F85&amp;"x "&amp;B85&amp;" "&amp;C84&amp;" GB RAM",0)</f>
        <v>0</v>
      </c>
      <c r="C86" s="1775">
        <f>IF(A84&gt;0,IF(B86="","",R84),0)</f>
        <v>0</v>
      </c>
      <c r="D86" s="1776">
        <f>IF(D85&gt;0,ROUND(D85*60/1000,0)&amp;"K sec",0)</f>
        <v>0</v>
      </c>
      <c r="E86" s="1777">
        <f>IF(E85&gt;0,ROUND(E85*60/1000,0)&amp;"K sec/hr",0)</f>
        <v>0</v>
      </c>
      <c r="F86" s="920">
        <f>F85</f>
        <v>0</v>
      </c>
      <c r="G86" s="1777">
        <f>IF(G85&gt;0,ROUND(G85*60/1000,0)&amp;"K sec/hr",0)</f>
        <v>0</v>
      </c>
      <c r="H86" s="921" t="str">
        <f>H81</f>
        <v>Minimum</v>
      </c>
      <c r="I86" s="1778">
        <f>IF(J86&gt;0,K86&amp;":"&amp;J86,0)</f>
        <v>0</v>
      </c>
      <c r="J86" s="1779">
        <f>D84</f>
        <v>0</v>
      </c>
      <c r="K86" s="1980">
        <f>E84</f>
        <v>0</v>
      </c>
      <c r="L86" s="1780"/>
      <c r="M86" s="2317" t="str">
        <f>A184</f>
        <v>Host01</v>
      </c>
      <c r="N86" s="1781"/>
      <c r="O86" s="1781"/>
      <c r="P86" s="922"/>
      <c r="Q86" s="3110">
        <f>IF(A84&gt;0,R86*F86/D84,0)</f>
        <v>0</v>
      </c>
      <c r="R86" s="3110">
        <f>O181</f>
        <v>0</v>
      </c>
      <c r="S86" s="3109" t="str">
        <f>IF(OR(LEFT(B85,3)="AMI",LEFT(B85,3)="AZI"),LEFT(B85,3),"")</f>
        <v/>
      </c>
      <c r="T86" s="1783" t="str">
        <f>U86</f>
        <v>Data</v>
      </c>
      <c r="U86" s="1821" t="s">
        <v>329</v>
      </c>
      <c r="V86" s="1920">
        <f>IF(A84&gt;0,B86&amp;" "&amp;C86&amp;IF(B86="",""," GB RAM"),0)</f>
        <v>0</v>
      </c>
      <c r="W86" s="1921"/>
      <c r="X86" s="1921"/>
      <c r="Y86" s="1921"/>
      <c r="Z86" s="1921"/>
      <c r="AA86" s="1921"/>
      <c r="AB86" s="1921"/>
      <c r="AC86" s="1921"/>
      <c r="AD86" s="1921"/>
      <c r="AE86" s="2858">
        <f>IF(A84&gt;0,F84,0)</f>
        <v>0</v>
      </c>
      <c r="AF86" s="2875">
        <f>H85*(HWPricing!$I$5+VLOOKUP(AF85,GPU_Pricing,2,FALSE))</f>
        <v>0</v>
      </c>
      <c r="AG86" s="1415"/>
      <c r="AH86" s="1415"/>
      <c r="AI86" s="1415"/>
      <c r="AJ86" s="1415"/>
      <c r="AK86" s="1415"/>
      <c r="AL86" s="1415"/>
      <c r="AM86" s="1415"/>
      <c r="AN86" s="1415"/>
      <c r="AO86" s="1415"/>
      <c r="AP86" s="1415"/>
      <c r="AQ86" s="1415"/>
      <c r="AR86" s="1415"/>
      <c r="AS86" s="1415"/>
      <c r="AT86" s="1415"/>
      <c r="AU86" s="1415"/>
      <c r="AV86" s="1415"/>
      <c r="AW86" s="1415"/>
      <c r="AX86" s="1415"/>
      <c r="AY86" s="1415"/>
      <c r="AZ86" s="1415"/>
      <c r="BA86" s="1415"/>
      <c r="BB86" s="1415"/>
      <c r="BC86" s="4"/>
      <c r="BF86" s="13"/>
      <c r="BG86" s="15"/>
      <c r="BH86" s="15"/>
      <c r="BI86" s="15"/>
      <c r="BJ86" s="15"/>
      <c r="BK86" s="15"/>
      <c r="BL86" s="15"/>
      <c r="BM86" s="15"/>
      <c r="BN86" s="15"/>
      <c r="BO86" s="15"/>
      <c r="BP86" s="1782"/>
      <c r="BQ86" s="923"/>
      <c r="BR86" s="923"/>
      <c r="BS86" s="923"/>
      <c r="BT86" s="923"/>
      <c r="BU86" s="923"/>
      <c r="BV86" s="923"/>
      <c r="BW86" s="923"/>
      <c r="BX86" s="923"/>
      <c r="BY86" s="923"/>
      <c r="BZ86" s="923"/>
      <c r="CA86" s="923"/>
      <c r="CB86" s="923"/>
      <c r="CC86" s="923"/>
      <c r="CD86" s="923"/>
      <c r="CE86" s="923"/>
      <c r="CF86" s="1782"/>
      <c r="CG86" s="3403">
        <f>B86</f>
        <v>0</v>
      </c>
      <c r="CH86" s="3404"/>
      <c r="CI86" s="3404"/>
      <c r="CJ86" s="3404"/>
      <c r="CK86" s="2726"/>
      <c r="CL86" s="13"/>
      <c r="CM86" s="18"/>
      <c r="CN86" s="13"/>
      <c r="CQ86" s="13"/>
      <c r="CR86" s="18"/>
      <c r="CU86" s="13"/>
      <c r="DA86" s="13"/>
      <c r="DB86" s="18"/>
      <c r="DE86" s="13"/>
      <c r="DF86" s="18"/>
      <c r="DI86" s="13"/>
      <c r="DJ86" s="4"/>
      <c r="DK86" s="4"/>
      <c r="DL86" s="13"/>
      <c r="DM86" s="4"/>
      <c r="DN86" s="18"/>
      <c r="DO86" s="18"/>
      <c r="DP86" s="19"/>
      <c r="DQ86" s="4"/>
      <c r="DR86" s="21"/>
      <c r="DS86" s="21"/>
      <c r="DW86" s="4"/>
      <c r="DX86" s="21"/>
      <c r="EC86" s="4"/>
      <c r="EH86" s="21"/>
      <c r="EI86" s="4"/>
      <c r="EN86" s="21"/>
      <c r="EO86" s="4"/>
      <c r="ET86" s="21"/>
      <c r="EU86" s="4"/>
      <c r="EZ86" s="21"/>
      <c r="FA86" s="4"/>
      <c r="FF86" s="21"/>
      <c r="FG86" s="4"/>
      <c r="FL86" s="21"/>
      <c r="FM86" s="4"/>
      <c r="FR86" s="21"/>
      <c r="FS86" s="4"/>
      <c r="FX86" s="21"/>
      <c r="FY86" s="4"/>
      <c r="GD86" s="21"/>
      <c r="GE86" s="4"/>
      <c r="GJ86" s="21"/>
      <c r="GK86" s="4"/>
      <c r="GP86" s="21"/>
      <c r="GQ86" s="4"/>
    </row>
    <row r="87" spans="1:209" s="12" customFormat="1" ht="16" hidden="1" outlineLevel="2" thickBot="1" x14ac:dyDescent="0.25">
      <c r="A87" s="1786">
        <f>IF(J88=0,0,D88/G88)</f>
        <v>0</v>
      </c>
      <c r="B87" s="2967" t="s">
        <v>715</v>
      </c>
      <c r="C87" s="1787">
        <f>IF(F88=0,0,ROUNDUP(MAX(L87*3,$N$182/L88),0)+L87)</f>
        <v>0</v>
      </c>
      <c r="D87" s="1788">
        <f>F88*L87</f>
        <v>0</v>
      </c>
      <c r="E87" s="1789">
        <f>O182</f>
        <v>0</v>
      </c>
      <c r="F87" s="1790">
        <f>VLOOKUP(B88,HWRange,7,FALSE)</f>
        <v>69.75</v>
      </c>
      <c r="G87" s="1791">
        <f>VLOOKUP(B88,HWRange,6,FALSE)</f>
        <v>279</v>
      </c>
      <c r="H87" s="161" t="s">
        <v>365</v>
      </c>
      <c r="I87" s="1792">
        <v>0.8</v>
      </c>
      <c r="J87" s="1793"/>
      <c r="K87" s="1877">
        <f>IF(LEFT(B88,3)=S89,1,P182)</f>
        <v>0</v>
      </c>
      <c r="L87" s="491">
        <f>VLOOKUP(B88,HWRange,3,FALSE)</f>
        <v>4</v>
      </c>
      <c r="M87" s="1794"/>
      <c r="N87" s="1795"/>
      <c r="O87" s="1796"/>
      <c r="P87" s="1797"/>
      <c r="Q87" s="1734">
        <f>IF($A87&lt;0.9999, $A87/((1+$CJ$2*$A87*($L87-1))*(1-$A87)),2000)</f>
        <v>0</v>
      </c>
      <c r="R87" s="1588" t="s">
        <v>412</v>
      </c>
      <c r="S87" s="1812" t="s">
        <v>366</v>
      </c>
      <c r="T87" s="135">
        <v>10000</v>
      </c>
      <c r="U87" s="1831">
        <f>IF(J88&gt;0,IF(AND(M88="",N88=""),GO$18/F88,GP$18/F88),0)</f>
        <v>0</v>
      </c>
      <c r="V87" s="2968">
        <f>IF(V88=0,0,$A87)</f>
        <v>0</v>
      </c>
      <c r="W87" s="2968">
        <f t="shared" ref="W87:AB87" si="69">IF(W88=0,0,$A87)</f>
        <v>0</v>
      </c>
      <c r="X87" s="2968">
        <f t="shared" si="69"/>
        <v>0</v>
      </c>
      <c r="Y87" s="2968">
        <f t="shared" si="69"/>
        <v>0</v>
      </c>
      <c r="Z87" s="2968">
        <f t="shared" si="69"/>
        <v>0</v>
      </c>
      <c r="AA87" s="2968">
        <f t="shared" si="69"/>
        <v>0</v>
      </c>
      <c r="AB87" s="2968">
        <f t="shared" si="69"/>
        <v>0</v>
      </c>
      <c r="AC87" s="2970">
        <f>IF(AC88=0,0,$A87)</f>
        <v>0</v>
      </c>
      <c r="AD87" s="1830">
        <f>E87</f>
        <v>0</v>
      </c>
      <c r="AE87" s="2856">
        <f>D87</f>
        <v>0</v>
      </c>
      <c r="AF87" s="2975" t="str">
        <f>IF(H88&gt;0,D87*(1-A87)*(2-$H$191),"")</f>
        <v/>
      </c>
      <c r="AG87" s="1415"/>
      <c r="AH87" s="1415"/>
      <c r="AI87" s="1415"/>
      <c r="AJ87" s="1415"/>
      <c r="AK87" s="1415"/>
      <c r="AL87" s="1415"/>
      <c r="AM87" s="1415"/>
      <c r="AN87" s="1415"/>
      <c r="AO87" s="1415"/>
      <c r="AP87" s="1415"/>
      <c r="AQ87" s="1415"/>
      <c r="AR87" s="1415"/>
      <c r="AS87" s="1415"/>
      <c r="AT87" s="1415"/>
      <c r="AU87" s="1415"/>
      <c r="AV87" s="1415"/>
      <c r="AW87" s="1415"/>
      <c r="AX87" s="1415"/>
      <c r="AY87" s="1415"/>
      <c r="AZ87" s="1415"/>
      <c r="BA87" s="1415"/>
      <c r="BB87" s="1415"/>
      <c r="BC87" s="20"/>
      <c r="BF87" s="13"/>
      <c r="BG87" s="15"/>
      <c r="BH87" s="15"/>
      <c r="BI87" s="15"/>
      <c r="BJ87" s="15"/>
      <c r="BK87" s="15"/>
      <c r="BL87" s="15"/>
      <c r="BM87" s="15"/>
      <c r="BN87" s="15"/>
      <c r="BO87" s="15"/>
      <c r="BP87" s="1799">
        <f>IF(A87&gt;0,1,0)</f>
        <v>0</v>
      </c>
      <c r="BQ87" s="1813"/>
      <c r="BR87" s="1813"/>
      <c r="BS87" s="1813"/>
      <c r="BT87" s="1813"/>
      <c r="BU87" s="1814"/>
      <c r="BV87" s="1814"/>
      <c r="BW87" s="1814"/>
      <c r="BX87" s="1814"/>
      <c r="BY87" s="1814"/>
      <c r="BZ87" s="1814"/>
      <c r="CA87" s="1814"/>
      <c r="CB87" s="1814"/>
      <c r="CC87" s="1814"/>
      <c r="CD87" s="1814"/>
      <c r="CE87" s="1814"/>
      <c r="CF87" s="892"/>
      <c r="CG87" s="1691">
        <f>A87</f>
        <v>0</v>
      </c>
      <c r="CH87" s="14" t="str">
        <f>B88</f>
        <v>Xeon Gold 5122 4 core (1 chip) 3600 MHz</v>
      </c>
      <c r="CI87" s="1180">
        <f>F87</f>
        <v>69.75</v>
      </c>
      <c r="CJ87" s="1180">
        <f>G87</f>
        <v>279</v>
      </c>
      <c r="CK87" s="2724">
        <f>T87</f>
        <v>10000</v>
      </c>
      <c r="CL87" s="13"/>
      <c r="CM87" s="18"/>
      <c r="CN87" s="13"/>
      <c r="CQ87" s="13"/>
      <c r="CR87" s="18"/>
      <c r="CU87" s="13"/>
      <c r="DA87" s="13"/>
      <c r="DB87" s="18"/>
      <c r="DE87" s="13"/>
      <c r="DF87" s="18"/>
      <c r="DI87" s="13"/>
      <c r="DJ87" s="20"/>
      <c r="DK87" s="20"/>
      <c r="DL87" s="13"/>
      <c r="DM87" s="20"/>
      <c r="DN87" s="18"/>
      <c r="DO87" s="18"/>
      <c r="DP87" s="19"/>
      <c r="DQ87" s="20"/>
      <c r="DR87" s="18"/>
      <c r="DS87" s="18"/>
      <c r="DW87" s="20"/>
      <c r="DX87" s="18"/>
      <c r="EC87" s="20"/>
      <c r="EH87" s="18"/>
      <c r="EI87" s="20"/>
      <c r="EN87" s="18"/>
      <c r="EO87" s="20"/>
      <c r="ET87" s="18"/>
      <c r="EU87" s="20"/>
      <c r="EZ87" s="18"/>
      <c r="FA87" s="20"/>
      <c r="FF87" s="18"/>
      <c r="FG87" s="20"/>
      <c r="FL87" s="18"/>
      <c r="FM87" s="20"/>
      <c r="FR87" s="18"/>
      <c r="FS87" s="20"/>
      <c r="FX87" s="18"/>
      <c r="FY87" s="20"/>
      <c r="GD87" s="18"/>
      <c r="GE87" s="20"/>
      <c r="GJ87" s="18"/>
      <c r="GK87" s="20"/>
      <c r="GP87" s="18"/>
      <c r="GQ87" s="20"/>
    </row>
    <row r="88" spans="1:209" s="12" customFormat="1" ht="14" hidden="1" outlineLevel="2" thickBot="1" x14ac:dyDescent="0.2">
      <c r="A88" s="1800"/>
      <c r="B88" s="156" t="str">
        <f>B71</f>
        <v>Xeon Gold 5122 4 core (1 chip) 3600 MHz</v>
      </c>
      <c r="C88" s="258" t="str">
        <f>A185</f>
        <v>Host02</v>
      </c>
      <c r="D88" s="1801">
        <f>IF(J88=0,0,J88*($BO$2/F87))</f>
        <v>0</v>
      </c>
      <c r="E88" s="1802">
        <f>IF(J88=0,0,L87*60)</f>
        <v>0</v>
      </c>
      <c r="F88" s="142">
        <f>IF(J88=0,0,IF(H88,H88,IF(H89=$I$187,L88+1,L88)))</f>
        <v>0</v>
      </c>
      <c r="G88" s="1803">
        <f>IF(J88=0,0,IF(F88&gt;0,+E88*F88,"Nodes?"))</f>
        <v>0</v>
      </c>
      <c r="H88" s="143"/>
      <c r="I88" s="1861" t="s">
        <v>408</v>
      </c>
      <c r="J88" s="2391">
        <f>$H$191*$M$182</f>
        <v>0</v>
      </c>
      <c r="K88" s="1804">
        <f>IF(AND(N88="",N87=""),2,4)</f>
        <v>2</v>
      </c>
      <c r="L88" s="1805">
        <f>IF(H88,H88,IF(J88=0,1,IF(D88&gt;0,+INT(D88/(E88*I87))+1,1)))</f>
        <v>1</v>
      </c>
      <c r="M88" s="1806"/>
      <c r="N88" s="1807"/>
      <c r="O88" s="1808"/>
      <c r="P88" s="1809"/>
      <c r="Q88" s="1246" t="str">
        <f>VLOOKUP(B88,HWRange,2,FALSE)</f>
        <v>Xeon Gold 5122</v>
      </c>
      <c r="R88" s="1810">
        <f>F88*VLOOKUP(B88,HWRange,8,FALSE)</f>
        <v>0</v>
      </c>
      <c r="S88" s="1981" t="str">
        <f>IF(D88&gt;0,I87*$Q$182/A87-1,"")</f>
        <v/>
      </c>
      <c r="T88" s="135">
        <v>10000</v>
      </c>
      <c r="U88" s="1608">
        <f>IF(J88=0,0,IF(U89=$I$188,U87,0))</f>
        <v>0</v>
      </c>
      <c r="V88" s="2971">
        <f>IF(G88&gt;0,1,0)</f>
        <v>0</v>
      </c>
      <c r="W88" s="2972">
        <f t="shared" ref="W88:AB88" si="70">IF(V88&gt;0,IF($F88&gt;V88,V88+1,0),0)</f>
        <v>0</v>
      </c>
      <c r="X88" s="2972">
        <f t="shared" si="70"/>
        <v>0</v>
      </c>
      <c r="Y88" s="2972">
        <f t="shared" si="70"/>
        <v>0</v>
      </c>
      <c r="Z88" s="2972">
        <f t="shared" si="70"/>
        <v>0</v>
      </c>
      <c r="AA88" s="2972">
        <f t="shared" si="70"/>
        <v>0</v>
      </c>
      <c r="AB88" s="2972">
        <f t="shared" si="70"/>
        <v>0</v>
      </c>
      <c r="AC88" s="2973">
        <f>IF(AB88&gt;0,IF($F88&gt;AB88,"…"&amp;$F88,0),0)</f>
        <v>0</v>
      </c>
      <c r="AD88" s="2974">
        <f>F88</f>
        <v>0</v>
      </c>
      <c r="AE88" s="2857">
        <f>A87</f>
        <v>0</v>
      </c>
      <c r="AF88" s="2998">
        <f>AF$19</f>
        <v>24</v>
      </c>
      <c r="AG88" s="1415"/>
      <c r="AH88" s="1415"/>
      <c r="AI88" s="1415"/>
      <c r="AJ88" s="1415"/>
      <c r="AK88" s="1415"/>
      <c r="AL88" s="1415"/>
      <c r="AM88" s="1415"/>
      <c r="AN88" s="1415"/>
      <c r="AO88" s="1415"/>
      <c r="AP88" s="1415"/>
      <c r="AQ88" s="1415"/>
      <c r="AR88" s="1415"/>
      <c r="AS88" s="1415"/>
      <c r="AT88" s="1415"/>
      <c r="AU88" s="1415"/>
      <c r="AV88" s="1415"/>
      <c r="AW88" s="1415"/>
      <c r="AX88" s="1415"/>
      <c r="AY88" s="1415"/>
      <c r="AZ88" s="1415"/>
      <c r="BA88" s="1415"/>
      <c r="BB88" s="1415"/>
      <c r="BC88" s="20"/>
      <c r="BF88" s="13"/>
      <c r="BG88" s="15"/>
      <c r="BH88" s="15"/>
      <c r="BI88" s="15"/>
      <c r="BJ88" s="15"/>
      <c r="BK88" s="15"/>
      <c r="BL88" s="15"/>
      <c r="BM88" s="15"/>
      <c r="BN88" s="15"/>
      <c r="BO88" s="15"/>
      <c r="BP88" s="1811"/>
      <c r="BQ88" s="1811"/>
      <c r="BR88" s="1811"/>
      <c r="BS88" s="1811"/>
      <c r="BT88" s="1811"/>
      <c r="BU88" s="1811"/>
      <c r="BV88" s="1811"/>
      <c r="BW88" s="1811"/>
      <c r="BX88" s="1811"/>
      <c r="BY88" s="1811"/>
      <c r="BZ88" s="1811"/>
      <c r="CA88" s="1811"/>
      <c r="CB88" s="1811"/>
      <c r="CC88" s="1811"/>
      <c r="CD88" s="1811"/>
      <c r="CE88" s="1811"/>
      <c r="CF88" s="1811"/>
      <c r="CG88" s="1697" t="str">
        <f>IF(ISERROR(FIND(":",B87)),B87,LEFT(B87,FIND(":",B87)-1))</f>
        <v>Host02</v>
      </c>
      <c r="CH88" s="1698" t="str">
        <f>J89&amp;" physical and "&amp;K89&amp;" virtual core"</f>
        <v>0 physical and 0 virtual core</v>
      </c>
      <c r="CI88" s="1181">
        <f>F88</f>
        <v>0</v>
      </c>
      <c r="CJ88" s="2719">
        <f>D87</f>
        <v>0</v>
      </c>
      <c r="CK88" s="2724">
        <f>T88</f>
        <v>10000</v>
      </c>
      <c r="CL88" s="13"/>
      <c r="CM88" s="18"/>
      <c r="CN88" s="13"/>
      <c r="CQ88" s="13"/>
      <c r="CR88" s="18"/>
      <c r="CU88" s="13"/>
      <c r="DA88" s="13"/>
      <c r="DB88" s="18"/>
      <c r="DE88" s="13"/>
      <c r="DF88" s="18"/>
      <c r="DI88" s="13"/>
      <c r="DJ88" s="20"/>
      <c r="DK88" s="20"/>
      <c r="DL88" s="13"/>
      <c r="DM88" s="20"/>
      <c r="DN88" s="18"/>
      <c r="DO88" s="18"/>
      <c r="DP88" s="19"/>
      <c r="DQ88" s="20"/>
      <c r="DR88" s="21"/>
      <c r="DS88" s="21"/>
      <c r="DW88" s="20"/>
      <c r="DX88" s="21"/>
      <c r="EC88" s="20"/>
      <c r="EH88" s="21"/>
      <c r="EI88" s="20"/>
      <c r="EN88" s="21"/>
      <c r="EO88" s="20"/>
      <c r="ET88" s="21"/>
      <c r="EU88" s="20"/>
      <c r="EZ88" s="21"/>
      <c r="FA88" s="20"/>
      <c r="FF88" s="21"/>
      <c r="FG88" s="20"/>
      <c r="FL88" s="21"/>
      <c r="FM88" s="20"/>
      <c r="FR88" s="21"/>
      <c r="FS88" s="20"/>
      <c r="FX88" s="21"/>
      <c r="FY88" s="20"/>
      <c r="GD88" s="21"/>
      <c r="GE88" s="20"/>
      <c r="GJ88" s="21"/>
      <c r="GK88" s="20"/>
      <c r="GP88" s="21"/>
      <c r="GQ88" s="20"/>
    </row>
    <row r="89" spans="1:209" s="12" customFormat="1" ht="14" hidden="1" outlineLevel="1" collapsed="1" x14ac:dyDescent="0.2">
      <c r="A89" s="916">
        <f>IF(A87=0,0,ROUND(100*A87,0)&amp;"% CPU")</f>
        <v>0</v>
      </c>
      <c r="B89" s="917">
        <f>IF(A87&gt;0,$A$185&amp;": "&amp;F88&amp;"x "&amp;B88&amp;" "&amp;C87&amp;" GB RAM",0)</f>
        <v>0</v>
      </c>
      <c r="C89" s="1775">
        <f>IF(A87&gt;0,IF(B89="","",R87),0)</f>
        <v>0</v>
      </c>
      <c r="D89" s="1776">
        <f>IF(D88&gt;0,ROUND(D88*60/1000,0)&amp;"K sec",0)</f>
        <v>0</v>
      </c>
      <c r="E89" s="1777">
        <f>IF(E88&gt;0,ROUND(E88*60/1000,0)&amp;"K sec/hr",0)</f>
        <v>0</v>
      </c>
      <c r="F89" s="920">
        <f>F88</f>
        <v>0</v>
      </c>
      <c r="G89" s="1784">
        <f>IF(G88&gt;0,ROUND(G88*60/1000,0)&amp;"K sec/hr",0)</f>
        <v>0</v>
      </c>
      <c r="H89" s="921" t="str">
        <f>H86</f>
        <v>Minimum</v>
      </c>
      <c r="I89" s="1778">
        <f>IF(J89&gt;0,K89&amp;":"&amp;J89,0)</f>
        <v>0</v>
      </c>
      <c r="J89" s="1779">
        <f>D87</f>
        <v>0</v>
      </c>
      <c r="K89" s="1980">
        <f>E87</f>
        <v>0</v>
      </c>
      <c r="L89" s="1780"/>
      <c r="M89" s="2317" t="str">
        <f>A185</f>
        <v>Host02</v>
      </c>
      <c r="N89" s="1781"/>
      <c r="O89" s="1781"/>
      <c r="P89" s="922"/>
      <c r="Q89" s="3110">
        <f>IF(A87&gt;0,R89*F89/D87,0)</f>
        <v>0</v>
      </c>
      <c r="R89" s="3110">
        <f>O182</f>
        <v>0</v>
      </c>
      <c r="S89" s="3109" t="str">
        <f>IF(OR(LEFT(B88,3)="AMI",LEFT(B88,3)="AZI"),LEFT(B88,3),"")</f>
        <v/>
      </c>
      <c r="T89" s="1783" t="str">
        <f>U89</f>
        <v>Data</v>
      </c>
      <c r="U89" s="1821" t="s">
        <v>329</v>
      </c>
      <c r="V89" s="1819">
        <f>IF(A87&gt;0,B89&amp;" "&amp;C89&amp;IF(B89="",""," GB RAM"),0)</f>
        <v>0</v>
      </c>
      <c r="W89" s="1819"/>
      <c r="X89" s="1819"/>
      <c r="Y89" s="1819"/>
      <c r="Z89" s="1819"/>
      <c r="AA89" s="1819"/>
      <c r="AB89" s="1819"/>
      <c r="AC89" s="1819"/>
      <c r="AD89" s="1819"/>
      <c r="AE89" s="1820">
        <f>IF(A87&gt;0,F87,0)</f>
        <v>0</v>
      </c>
      <c r="AF89" s="2875">
        <f>H88*(HWPricing!$I$5+VLOOKUP(AF88,GPU_Pricing,2,FALSE))</f>
        <v>0</v>
      </c>
      <c r="AG89" s="1415">
        <f>IF(S65&gt;0,AND(S65&gt;0,I64=H185),0)</f>
        <v>0</v>
      </c>
      <c r="AH89" s="1415"/>
      <c r="AI89" s="1415"/>
      <c r="AJ89" s="1415"/>
      <c r="AK89" s="1415"/>
      <c r="AL89" s="1415"/>
      <c r="AM89" s="1415"/>
      <c r="AN89" s="1415"/>
      <c r="AO89" s="1415"/>
      <c r="AP89" s="1415"/>
      <c r="AQ89" s="1415"/>
      <c r="AR89" s="1415"/>
      <c r="AS89" s="1415"/>
      <c r="AT89" s="1415"/>
      <c r="AU89" s="1415"/>
      <c r="AV89" s="1415"/>
      <c r="AW89" s="1415"/>
      <c r="AX89" s="1415"/>
      <c r="AY89" s="1415"/>
      <c r="AZ89" s="1415"/>
      <c r="BA89" s="1415"/>
      <c r="BB89" s="1415"/>
      <c r="BC89" s="4"/>
      <c r="BF89" s="13"/>
      <c r="BG89" s="15"/>
      <c r="BH89" s="15"/>
      <c r="BI89" s="15"/>
      <c r="BJ89" s="15"/>
      <c r="BK89" s="15"/>
      <c r="BL89" s="15"/>
      <c r="BM89" s="15"/>
      <c r="BN89" s="15"/>
      <c r="BO89" s="15"/>
      <c r="BP89" s="1782"/>
      <c r="BQ89" s="1782"/>
      <c r="BR89" s="1782"/>
      <c r="BS89" s="1782"/>
      <c r="BT89" s="1782"/>
      <c r="BU89" s="1782"/>
      <c r="BV89" s="1782"/>
      <c r="BW89" s="1782"/>
      <c r="BX89" s="1782"/>
      <c r="BY89" s="1782"/>
      <c r="BZ89" s="1782"/>
      <c r="CA89" s="1782"/>
      <c r="CB89" s="1782"/>
      <c r="CC89" s="1782"/>
      <c r="CD89" s="1782"/>
      <c r="CE89" s="1782"/>
      <c r="CF89" s="1782"/>
      <c r="CG89" s="3403">
        <f>B89</f>
        <v>0</v>
      </c>
      <c r="CH89" s="3404"/>
      <c r="CI89" s="3404"/>
      <c r="CJ89" s="3404"/>
      <c r="CK89" s="2726"/>
      <c r="CL89" s="13"/>
      <c r="CM89" s="18"/>
      <c r="CN89" s="13"/>
      <c r="CQ89" s="13"/>
      <c r="CR89" s="18"/>
      <c r="CU89" s="13"/>
      <c r="DA89" s="13"/>
      <c r="DB89" s="18"/>
      <c r="DE89" s="13"/>
      <c r="DF89" s="18"/>
      <c r="DI89" s="13"/>
      <c r="DJ89" s="4"/>
      <c r="DK89" s="4"/>
      <c r="DL89" s="13"/>
      <c r="DM89" s="4"/>
      <c r="DN89" s="18"/>
      <c r="DO89" s="18"/>
      <c r="DP89" s="19"/>
      <c r="DQ89" s="4"/>
      <c r="DR89" s="21"/>
      <c r="DS89" s="21"/>
      <c r="DW89" s="4"/>
      <c r="DX89" s="21"/>
      <c r="EC89" s="4"/>
      <c r="EH89" s="21"/>
      <c r="EI89" s="4"/>
      <c r="EN89" s="21"/>
      <c r="EO89" s="4"/>
      <c r="ET89" s="21"/>
      <c r="EU89" s="4"/>
      <c r="EZ89" s="21"/>
      <c r="FA89" s="4"/>
      <c r="FF89" s="21"/>
      <c r="FG89" s="4"/>
      <c r="FL89" s="21"/>
      <c r="FM89" s="4"/>
      <c r="FR89" s="21"/>
      <c r="FS89" s="4"/>
      <c r="FX89" s="21"/>
      <c r="FY89" s="4"/>
      <c r="GD89" s="21"/>
      <c r="GE89" s="4"/>
      <c r="GJ89" s="21"/>
      <c r="GK89" s="4"/>
      <c r="GP89" s="21"/>
      <c r="GQ89" s="4"/>
    </row>
    <row r="90" spans="1:209" s="12" customFormat="1" ht="16" hidden="1" outlineLevel="2" thickBot="1" x14ac:dyDescent="0.25">
      <c r="A90" s="1786">
        <f>IF(J91=0,0,D91/G91)</f>
        <v>0</v>
      </c>
      <c r="B90" s="2967" t="s">
        <v>717</v>
      </c>
      <c r="C90" s="1787">
        <f>IF(F91=0,0,ROUNDUP(MAX(L90*3,$N$183/L91),0)+L90)</f>
        <v>0</v>
      </c>
      <c r="D90" s="1788">
        <f>F91*L90</f>
        <v>0</v>
      </c>
      <c r="E90" s="1789">
        <f>O183</f>
        <v>0</v>
      </c>
      <c r="F90" s="1790">
        <f>VLOOKUP(B91,HWRange,7,FALSE)</f>
        <v>69.75</v>
      </c>
      <c r="G90" s="1791">
        <f>VLOOKUP(B91,HWRange,6,FALSE)</f>
        <v>279</v>
      </c>
      <c r="H90" s="161" t="s">
        <v>365</v>
      </c>
      <c r="I90" s="1792">
        <v>0.8</v>
      </c>
      <c r="J90" s="1793"/>
      <c r="K90" s="1877">
        <f>IF(LEFT(B91,3)=S92,1,P183)</f>
        <v>0</v>
      </c>
      <c r="L90" s="491">
        <f>VLOOKUP(B91,HWRange,3,FALSE)</f>
        <v>4</v>
      </c>
      <c r="M90" s="1794"/>
      <c r="N90" s="1795"/>
      <c r="O90" s="1796"/>
      <c r="P90" s="1797"/>
      <c r="Q90" s="1734">
        <f>IF($A90&lt;0.9999, $A90/((1+$CJ$2*$A90*($L90-1))*(1-$A90)),2000)</f>
        <v>0</v>
      </c>
      <c r="R90" s="1588" t="s">
        <v>412</v>
      </c>
      <c r="S90" s="1815" t="s">
        <v>366</v>
      </c>
      <c r="T90" s="135">
        <v>10000</v>
      </c>
      <c r="U90" s="1831">
        <f>IF(J91&gt;0,IF(AND(M91="",N91=""),GU$18/F91,GU$18/F91),0)</f>
        <v>0</v>
      </c>
      <c r="V90" s="2968">
        <f>IF(V91=0,0,$A90)</f>
        <v>0</v>
      </c>
      <c r="W90" s="2968">
        <f t="shared" ref="W90:AB90" si="71">IF(W91=0,0,$A90)</f>
        <v>0</v>
      </c>
      <c r="X90" s="2968">
        <f t="shared" si="71"/>
        <v>0</v>
      </c>
      <c r="Y90" s="2968">
        <f t="shared" si="71"/>
        <v>0</v>
      </c>
      <c r="Z90" s="2968">
        <f t="shared" si="71"/>
        <v>0</v>
      </c>
      <c r="AA90" s="2968">
        <f t="shared" si="71"/>
        <v>0</v>
      </c>
      <c r="AB90" s="2968">
        <f t="shared" si="71"/>
        <v>0</v>
      </c>
      <c r="AC90" s="2970">
        <f>IF(AC91=0,0,$A90)</f>
        <v>0</v>
      </c>
      <c r="AD90" s="1830">
        <f>E90</f>
        <v>0</v>
      </c>
      <c r="AE90" s="2856">
        <f>D90</f>
        <v>0</v>
      </c>
      <c r="AF90" s="2975" t="str">
        <f>IF(H91&gt;0,D90*(1-A90)*(2-$H$191),"")</f>
        <v/>
      </c>
      <c r="AG90" s="1415"/>
      <c r="AH90" s="1415"/>
      <c r="AI90" s="1415"/>
      <c r="AJ90" s="1415"/>
      <c r="AK90" s="1415"/>
      <c r="AL90" s="1415"/>
      <c r="AM90" s="1415"/>
      <c r="AN90" s="1415"/>
      <c r="AO90" s="1415"/>
      <c r="AP90" s="1415"/>
      <c r="AQ90" s="1415"/>
      <c r="AR90" s="1415"/>
      <c r="AS90" s="1415"/>
      <c r="AT90" s="1415"/>
      <c r="AU90" s="1415"/>
      <c r="AV90" s="1415"/>
      <c r="AW90" s="1415"/>
      <c r="AX90" s="1415"/>
      <c r="AY90" s="1415"/>
      <c r="AZ90" s="1415"/>
      <c r="BA90" s="1415"/>
      <c r="BB90" s="1415"/>
      <c r="BC90" s="20"/>
      <c r="BF90" s="13"/>
      <c r="BG90" s="15"/>
      <c r="BH90" s="15"/>
      <c r="BI90" s="15"/>
      <c r="BJ90" s="15"/>
      <c r="BK90" s="15"/>
      <c r="BL90" s="15"/>
      <c r="BM90" s="15"/>
      <c r="BN90" s="15"/>
      <c r="BO90" s="15"/>
      <c r="BP90" s="1799">
        <f>IF(A90&gt;0,1,0)</f>
        <v>0</v>
      </c>
      <c r="BQ90" s="892"/>
      <c r="BR90" s="892"/>
      <c r="BS90" s="892"/>
      <c r="BT90" s="892"/>
      <c r="BU90" s="892"/>
      <c r="BV90" s="892"/>
      <c r="BW90" s="892"/>
      <c r="BX90" s="892"/>
      <c r="BY90" s="892"/>
      <c r="BZ90" s="892"/>
      <c r="CA90" s="892"/>
      <c r="CB90" s="892"/>
      <c r="CC90" s="892"/>
      <c r="CD90" s="892"/>
      <c r="CE90" s="892"/>
      <c r="CF90" s="892"/>
      <c r="CG90" s="1691">
        <f>A90</f>
        <v>0</v>
      </c>
      <c r="CH90" s="14" t="str">
        <f>B91</f>
        <v>Xeon Gold 5122 4 core (1 chip) 3600 MHz</v>
      </c>
      <c r="CI90" s="1180">
        <f>F90</f>
        <v>69.75</v>
      </c>
      <c r="CJ90" s="1180">
        <f>G90</f>
        <v>279</v>
      </c>
      <c r="CK90" s="2724">
        <f>T90</f>
        <v>10000</v>
      </c>
      <c r="CL90" s="13"/>
      <c r="CM90" s="18"/>
      <c r="CN90" s="13"/>
      <c r="CQ90" s="13"/>
      <c r="CR90" s="18"/>
      <c r="CU90" s="13"/>
      <c r="DA90" s="13"/>
      <c r="DB90" s="18"/>
      <c r="DE90" s="13"/>
      <c r="DF90" s="18"/>
      <c r="DI90" s="13"/>
      <c r="DJ90" s="20"/>
      <c r="DK90" s="20"/>
      <c r="DL90" s="13"/>
      <c r="DM90" s="20"/>
      <c r="DN90" s="18"/>
      <c r="DO90" s="18"/>
      <c r="DP90" s="19"/>
      <c r="DQ90" s="20"/>
      <c r="DR90" s="18"/>
      <c r="DS90" s="18"/>
      <c r="DW90" s="20"/>
      <c r="DX90" s="18"/>
      <c r="EC90" s="20"/>
      <c r="EH90" s="18"/>
      <c r="EI90" s="20"/>
      <c r="EN90" s="18"/>
      <c r="EO90" s="20"/>
      <c r="ET90" s="18"/>
      <c r="EU90" s="20"/>
      <c r="EZ90" s="18"/>
      <c r="FA90" s="20"/>
      <c r="FF90" s="18"/>
      <c r="FG90" s="20"/>
      <c r="FL90" s="18"/>
      <c r="FM90" s="20"/>
      <c r="FR90" s="18"/>
      <c r="FS90" s="20"/>
      <c r="FX90" s="18"/>
      <c r="FY90" s="20"/>
      <c r="GD90" s="18"/>
      <c r="GE90" s="20"/>
      <c r="GJ90" s="18"/>
      <c r="GK90" s="20"/>
      <c r="GP90" s="18"/>
      <c r="GQ90" s="20"/>
    </row>
    <row r="91" spans="1:209" s="12" customFormat="1" ht="17" hidden="1" outlineLevel="2" thickBot="1" x14ac:dyDescent="0.25">
      <c r="A91" s="1800"/>
      <c r="B91" s="156" t="str">
        <f>B88</f>
        <v>Xeon Gold 5122 4 core (1 chip) 3600 MHz</v>
      </c>
      <c r="C91" s="258" t="str">
        <f>A186</f>
        <v>Host03</v>
      </c>
      <c r="D91" s="1801">
        <f>IF(J91=0,0,J91*($BO$2/F90))</f>
        <v>0</v>
      </c>
      <c r="E91" s="1802">
        <f>IF(J91=0,0,L90*60)</f>
        <v>0</v>
      </c>
      <c r="F91" s="142">
        <f>IF(J91=0,0,IF(H91,H91,IF(H92=$I$187,L91+1,L91)))</f>
        <v>0</v>
      </c>
      <c r="G91" s="1803">
        <f>IF(J91=0,0,IF(F91&gt;0,+E91*F91,"Nodes?"))</f>
        <v>0</v>
      </c>
      <c r="H91" s="143"/>
      <c r="I91" s="1861" t="s">
        <v>408</v>
      </c>
      <c r="J91" s="2391">
        <f>$H$191*$M$183</f>
        <v>0</v>
      </c>
      <c r="K91" s="1804">
        <v>2</v>
      </c>
      <c r="L91" s="1805">
        <f>IF(H91,H91,IF(J91=0,1,IF(D91&gt;0,+INT(D91/(E91*I90))+1,1)))</f>
        <v>1</v>
      </c>
      <c r="M91" s="1806"/>
      <c r="N91" s="1807"/>
      <c r="O91" s="1808"/>
      <c r="P91" s="1809"/>
      <c r="Q91" s="1816" t="str">
        <f>VLOOKUP(B91,HWRange,2,FALSE)</f>
        <v>Xeon Gold 5122</v>
      </c>
      <c r="R91" s="1810">
        <f>F91*VLOOKUP(B91,HWRange,8,FALSE)</f>
        <v>0</v>
      </c>
      <c r="S91" s="1981" t="str">
        <f>IF(D91&gt;0,I90*$Q$183/A90-1,"")</f>
        <v/>
      </c>
      <c r="T91" s="135">
        <v>10000</v>
      </c>
      <c r="U91" s="1608">
        <f>IF(J91=0,0,IF(U92=$I$188,U90,0))</f>
        <v>0</v>
      </c>
      <c r="V91" s="2971">
        <f>IF(G91&gt;0,1,0)</f>
        <v>0</v>
      </c>
      <c r="W91" s="2972">
        <f t="shared" ref="W91:AB91" si="72">IF(V91&gt;0,IF($F91&gt;V91,V91+1,0),0)</f>
        <v>0</v>
      </c>
      <c r="X91" s="2972">
        <f t="shared" si="72"/>
        <v>0</v>
      </c>
      <c r="Y91" s="2972">
        <f t="shared" si="72"/>
        <v>0</v>
      </c>
      <c r="Z91" s="2972">
        <f t="shared" si="72"/>
        <v>0</v>
      </c>
      <c r="AA91" s="2972">
        <f t="shared" si="72"/>
        <v>0</v>
      </c>
      <c r="AB91" s="2972">
        <f t="shared" si="72"/>
        <v>0</v>
      </c>
      <c r="AC91" s="2973">
        <f>IF(AB91&gt;0,IF($F91&gt;AB91,"…"&amp;$F91,0),0)</f>
        <v>0</v>
      </c>
      <c r="AD91" s="2974">
        <f>F91</f>
        <v>0</v>
      </c>
      <c r="AE91" s="2857">
        <f>A90</f>
        <v>0</v>
      </c>
      <c r="AF91" s="2998">
        <f>AF$19</f>
        <v>24</v>
      </c>
      <c r="AG91" s="1415"/>
      <c r="AH91" s="1415"/>
      <c r="AI91" s="1415"/>
      <c r="AJ91" s="1415"/>
      <c r="AK91" s="1415"/>
      <c r="AL91" s="1415"/>
      <c r="AM91" s="1415"/>
      <c r="AN91" s="1415"/>
      <c r="AO91" s="1415"/>
      <c r="AP91" s="1415"/>
      <c r="AQ91" s="1415"/>
      <c r="AR91" s="1415"/>
      <c r="AS91" s="1415"/>
      <c r="AT91" s="1415"/>
      <c r="AU91" s="1415"/>
      <c r="AV91" s="1415"/>
      <c r="AW91" s="1415"/>
      <c r="AX91" s="1415"/>
      <c r="AY91" s="1415"/>
      <c r="AZ91" s="1415"/>
      <c r="BA91" s="1415"/>
      <c r="BB91" s="1415"/>
      <c r="BC91" s="20"/>
      <c r="BF91" s="13"/>
      <c r="BG91" s="15"/>
      <c r="BH91" s="15"/>
      <c r="BI91" s="15"/>
      <c r="BJ91" s="15"/>
      <c r="BK91" s="15"/>
      <c r="BL91" s="15"/>
      <c r="BM91" s="15"/>
      <c r="BN91" s="15"/>
      <c r="BO91" s="15"/>
      <c r="BP91" s="893"/>
      <c r="BQ91" s="1817"/>
      <c r="BR91" s="1817"/>
      <c r="BS91" s="1817"/>
      <c r="BT91" s="1817"/>
      <c r="BU91" s="1817"/>
      <c r="BV91" s="1818"/>
      <c r="BW91" s="1818"/>
      <c r="BX91" s="1818"/>
      <c r="BY91" s="1818"/>
      <c r="BZ91" s="1818"/>
      <c r="CA91" s="1818"/>
      <c r="CB91" s="1818"/>
      <c r="CC91" s="1818"/>
      <c r="CD91" s="1818"/>
      <c r="CE91" s="1818"/>
      <c r="CF91" s="894"/>
      <c r="CG91" s="1697" t="str">
        <f>IF(ISERROR(FIND(":",B90)),B90,LEFT(B90,FIND(":",B90)-1))</f>
        <v>Host03</v>
      </c>
      <c r="CH91" s="1698" t="str">
        <f>J92&amp;" physical and "&amp;K92&amp;" virtual core"</f>
        <v>0 physical and 0 virtual core</v>
      </c>
      <c r="CI91" s="1181">
        <f>F91</f>
        <v>0</v>
      </c>
      <c r="CJ91" s="2719">
        <f>D90</f>
        <v>0</v>
      </c>
      <c r="CK91" s="2724">
        <f>T91</f>
        <v>10000</v>
      </c>
      <c r="CL91" s="13"/>
      <c r="CM91" s="18"/>
      <c r="CN91" s="13"/>
      <c r="CQ91" s="13"/>
      <c r="CR91" s="18"/>
      <c r="CU91" s="13"/>
      <c r="DA91" s="13"/>
      <c r="DB91" s="18"/>
      <c r="DE91" s="13"/>
      <c r="DF91" s="18"/>
      <c r="DI91" s="13"/>
      <c r="DJ91" s="20"/>
      <c r="DK91" s="20"/>
      <c r="DL91" s="13"/>
      <c r="DM91" s="20"/>
      <c r="DN91" s="18"/>
      <c r="DO91" s="18"/>
      <c r="DP91" s="19"/>
      <c r="DQ91" s="20"/>
      <c r="DR91" s="21"/>
      <c r="DS91" s="21"/>
      <c r="DW91" s="20"/>
      <c r="DX91" s="21"/>
      <c r="EC91" s="20"/>
      <c r="EH91" s="21"/>
      <c r="EI91" s="20"/>
      <c r="EN91" s="21"/>
      <c r="EO91" s="20"/>
      <c r="ET91" s="21"/>
      <c r="EU91" s="20"/>
      <c r="EZ91" s="21"/>
      <c r="FA91" s="20"/>
      <c r="FF91" s="21"/>
      <c r="FG91" s="20"/>
      <c r="FL91" s="21"/>
      <c r="FM91" s="20"/>
      <c r="FR91" s="21"/>
      <c r="FS91" s="20"/>
      <c r="FX91" s="21"/>
      <c r="FY91" s="20"/>
      <c r="GD91" s="21"/>
      <c r="GE91" s="20"/>
      <c r="GJ91" s="21"/>
      <c r="GK91" s="20"/>
      <c r="GP91" s="21"/>
      <c r="GQ91" s="20"/>
    </row>
    <row r="92" spans="1:209" s="12" customFormat="1" ht="14" hidden="1" outlineLevel="1" collapsed="1" x14ac:dyDescent="0.2">
      <c r="A92" s="916">
        <f>IF(A90=0,0,ROUND(100*A90,0)&amp;"% CPU")</f>
        <v>0</v>
      </c>
      <c r="B92" s="917">
        <f>IF(A90&gt;0,$A$186&amp;": "&amp;F91&amp;"x "&amp;B91&amp;" "&amp;C90&amp;" GB RAM",0)</f>
        <v>0</v>
      </c>
      <c r="C92" s="1775">
        <f>IF(A90&gt;0,IF(B92="","",R90),0)</f>
        <v>0</v>
      </c>
      <c r="D92" s="1776">
        <f>IF(D91&gt;0,ROUND(D91*60/1000,0)&amp;"K sec",0)</f>
        <v>0</v>
      </c>
      <c r="E92" s="1777">
        <f>IF(E91&gt;0,ROUND(E91*60/1000,0)&amp;"K sec/hr",0)</f>
        <v>0</v>
      </c>
      <c r="F92" s="920">
        <f>F91</f>
        <v>0</v>
      </c>
      <c r="G92" s="1777">
        <f>IF(G91&gt;0,ROUND(G91*60/1000,0)&amp;"K sec/hr",0)</f>
        <v>0</v>
      </c>
      <c r="H92" s="921" t="str">
        <f>H$19</f>
        <v>Minimum</v>
      </c>
      <c r="I92" s="1778">
        <f>IF(J92&gt;0,K92&amp;":"&amp;J92,0)</f>
        <v>0</v>
      </c>
      <c r="J92" s="1779">
        <f>D90</f>
        <v>0</v>
      </c>
      <c r="K92" s="1980">
        <f>E90</f>
        <v>0</v>
      </c>
      <c r="L92" s="1780"/>
      <c r="M92" s="2317" t="str">
        <f>A186</f>
        <v>Host03</v>
      </c>
      <c r="N92" s="1781"/>
      <c r="O92" s="1781"/>
      <c r="P92" s="922"/>
      <c r="Q92" s="3110">
        <f>IF(A90&gt;0,R92*F92/D90,0)</f>
        <v>0</v>
      </c>
      <c r="R92" s="3110">
        <f>O183</f>
        <v>0</v>
      </c>
      <c r="S92" s="3109" t="str">
        <f>IF(OR(LEFT(B91,3)="AMI",LEFT(B91,3)="AZI"),LEFT(B91,3),"")</f>
        <v/>
      </c>
      <c r="T92" s="1783" t="str">
        <f>U92</f>
        <v>Data</v>
      </c>
      <c r="U92" s="57" t="s">
        <v>329</v>
      </c>
      <c r="V92" s="1819">
        <f>IF(A90&gt;0,B92&amp;" "&amp;C92&amp;IF(B92="",""," GB RAM"),0)</f>
        <v>0</v>
      </c>
      <c r="W92" s="1819"/>
      <c r="X92" s="1819"/>
      <c r="Y92" s="1819"/>
      <c r="Z92" s="1819"/>
      <c r="AA92" s="1819"/>
      <c r="AB92" s="1819"/>
      <c r="AC92" s="1819"/>
      <c r="AD92" s="1819"/>
      <c r="AE92" s="1820">
        <f>IF(A90&gt;0,F90,0)</f>
        <v>0</v>
      </c>
      <c r="AF92" s="2875">
        <f>H91*(HWPricing!$I$5+VLOOKUP(AF91,GPU_Pricing,2,FALSE))</f>
        <v>0</v>
      </c>
      <c r="AG92" s="1415"/>
      <c r="AH92" s="1415"/>
      <c r="AI92" s="1415"/>
      <c r="AJ92" s="1415"/>
      <c r="AK92" s="1415"/>
      <c r="AL92" s="1415"/>
      <c r="AM92" s="1415"/>
      <c r="AN92" s="1415"/>
      <c r="AO92" s="1415"/>
      <c r="AP92" s="1415"/>
      <c r="AQ92" s="1415"/>
      <c r="AR92" s="1415"/>
      <c r="AS92" s="1415"/>
      <c r="AT92" s="1415"/>
      <c r="AU92" s="1415"/>
      <c r="AV92" s="1415"/>
      <c r="AW92" s="1415"/>
      <c r="AX92" s="1415"/>
      <c r="AY92" s="1415"/>
      <c r="AZ92" s="1415"/>
      <c r="BA92" s="1415"/>
      <c r="BB92" s="1415"/>
      <c r="BC92" s="4"/>
      <c r="BF92" s="13"/>
      <c r="BG92" s="15"/>
      <c r="BH92" s="15"/>
      <c r="BI92" s="15"/>
      <c r="BJ92" s="15"/>
      <c r="BK92" s="15"/>
      <c r="BL92" s="15"/>
      <c r="BM92" s="15"/>
      <c r="BN92" s="15"/>
      <c r="BO92" s="15"/>
      <c r="BP92" s="924"/>
      <c r="BQ92" s="1785"/>
      <c r="BR92" s="1785"/>
      <c r="BS92" s="1785"/>
      <c r="BT92" s="1785"/>
      <c r="BU92" s="1785"/>
      <c r="BV92" s="1785"/>
      <c r="BW92" s="1785"/>
      <c r="BX92" s="1785"/>
      <c r="BY92" s="1785"/>
      <c r="BZ92" s="1785"/>
      <c r="CA92" s="1785"/>
      <c r="CB92" s="1785"/>
      <c r="CC92" s="1785"/>
      <c r="CD92" s="1785"/>
      <c r="CE92" s="1785"/>
      <c r="CF92" s="1782"/>
      <c r="CG92" s="3403">
        <f>B92</f>
        <v>0</v>
      </c>
      <c r="CH92" s="3404"/>
      <c r="CI92" s="3404"/>
      <c r="CJ92" s="3404"/>
      <c r="CK92" s="2726"/>
      <c r="CL92" s="13"/>
      <c r="CM92" s="18"/>
      <c r="CN92" s="13"/>
      <c r="CQ92" s="13"/>
      <c r="CR92" s="18"/>
      <c r="CU92" s="13"/>
      <c r="DA92" s="13"/>
      <c r="DB92" s="18"/>
      <c r="DE92" s="13"/>
      <c r="DF92" s="18"/>
      <c r="DI92" s="13"/>
      <c r="DJ92" s="4"/>
      <c r="DK92" s="4"/>
      <c r="DL92" s="13"/>
      <c r="DM92" s="4"/>
      <c r="DN92" s="18"/>
      <c r="DO92" s="18"/>
      <c r="DP92" s="19"/>
      <c r="DQ92" s="4"/>
      <c r="DR92" s="21"/>
      <c r="DS92" s="21"/>
      <c r="DW92" s="4"/>
      <c r="DX92" s="21"/>
      <c r="EC92" s="4"/>
      <c r="EH92" s="21"/>
      <c r="EI92" s="4"/>
      <c r="EN92" s="21"/>
      <c r="EO92" s="4"/>
      <c r="ET92" s="21"/>
      <c r="EU92" s="4"/>
      <c r="EZ92" s="21"/>
      <c r="FA92" s="4"/>
      <c r="FF92" s="21"/>
      <c r="FG92" s="4"/>
      <c r="FL92" s="21"/>
      <c r="FM92" s="4"/>
      <c r="FR92" s="21"/>
      <c r="FS92" s="4"/>
      <c r="FX92" s="21"/>
      <c r="FY92" s="4"/>
      <c r="GD92" s="21"/>
      <c r="GE92" s="4"/>
      <c r="GJ92" s="21"/>
      <c r="GK92" s="4"/>
      <c r="GP92" s="21"/>
      <c r="GQ92" s="4"/>
    </row>
    <row r="93" spans="1:209" s="12" customFormat="1" ht="16" hidden="1" outlineLevel="2" thickBot="1" x14ac:dyDescent="0.25">
      <c r="A93" s="1786">
        <f>IF(J94=0,0,D94/G94)</f>
        <v>0</v>
      </c>
      <c r="B93" s="2967" t="s">
        <v>1458</v>
      </c>
      <c r="C93" s="1787">
        <f>IF(F94=0,0,ROUNDUP(MAX(L93*3,$N$183/L94),0)+L93)</f>
        <v>0</v>
      </c>
      <c r="D93" s="1788">
        <f>F94*L93</f>
        <v>0</v>
      </c>
      <c r="E93" s="1789">
        <f>O184</f>
        <v>0</v>
      </c>
      <c r="F93" s="1790">
        <f>VLOOKUP(B94,HWRange,7,FALSE)</f>
        <v>69.75</v>
      </c>
      <c r="G93" s="1791">
        <f>VLOOKUP(B94,HWRange,6,FALSE)</f>
        <v>279</v>
      </c>
      <c r="H93" s="161" t="s">
        <v>365</v>
      </c>
      <c r="I93" s="1792">
        <v>0.8</v>
      </c>
      <c r="J93" s="1793"/>
      <c r="K93" s="1877">
        <f>IF(LEFT(B94,3)=S95,1,P184)</f>
        <v>0</v>
      </c>
      <c r="L93" s="491">
        <f>VLOOKUP(B94,HWRange,3,FALSE)</f>
        <v>4</v>
      </c>
      <c r="M93" s="1794"/>
      <c r="N93" s="1795"/>
      <c r="O93" s="1796"/>
      <c r="P93" s="1797"/>
      <c r="Q93" s="1734">
        <f>IF($A93&lt;0.9999, $A93/((1+$CJ$2*$A93*($L93-1))*(1-$A93)),2000)</f>
        <v>0</v>
      </c>
      <c r="R93" s="1588" t="s">
        <v>412</v>
      </c>
      <c r="S93" s="1815" t="s">
        <v>366</v>
      </c>
      <c r="T93" s="135">
        <v>10000</v>
      </c>
      <c r="U93" s="1831">
        <f>IF(J94&gt;0,IF(AND(M94="",N94=""),GU$18/F94,GU$18/F94),0)</f>
        <v>0</v>
      </c>
      <c r="V93" s="2968">
        <f>IF(V94=0,0,$A93)</f>
        <v>0</v>
      </c>
      <c r="W93" s="2968">
        <f t="shared" ref="W93:AB93" si="73">IF(W94=0,0,$A93)</f>
        <v>0</v>
      </c>
      <c r="X93" s="2968">
        <f t="shared" si="73"/>
        <v>0</v>
      </c>
      <c r="Y93" s="2968">
        <f t="shared" si="73"/>
        <v>0</v>
      </c>
      <c r="Z93" s="2968">
        <f t="shared" si="73"/>
        <v>0</v>
      </c>
      <c r="AA93" s="2968">
        <f t="shared" si="73"/>
        <v>0</v>
      </c>
      <c r="AB93" s="2968">
        <f t="shared" si="73"/>
        <v>0</v>
      </c>
      <c r="AC93" s="2970">
        <f>IF(AC94=0,0,$A93)</f>
        <v>0</v>
      </c>
      <c r="AD93" s="1830">
        <f>E93</f>
        <v>0</v>
      </c>
      <c r="AE93" s="2856">
        <f>D93</f>
        <v>0</v>
      </c>
      <c r="AF93" s="2975" t="str">
        <f>IF(H94&gt;0,D93*(1-A93)*(2-$H$191),"")</f>
        <v/>
      </c>
      <c r="AG93" s="1415"/>
      <c r="AH93" s="1415"/>
      <c r="AI93" s="1415"/>
      <c r="AJ93" s="1415"/>
      <c r="AK93" s="1415"/>
      <c r="AL93" s="1415"/>
      <c r="AM93" s="1415"/>
      <c r="AN93" s="1415"/>
      <c r="AO93" s="1415"/>
      <c r="AP93" s="1415"/>
      <c r="AQ93" s="1415"/>
      <c r="AR93" s="1415"/>
      <c r="AS93" s="1415"/>
      <c r="AT93" s="1415"/>
      <c r="AU93" s="1415"/>
      <c r="AV93" s="1415"/>
      <c r="AW93" s="1415"/>
      <c r="AX93" s="1415"/>
      <c r="AY93" s="1415"/>
      <c r="AZ93" s="1415"/>
      <c r="BA93" s="1415"/>
      <c r="BB93" s="1415"/>
      <c r="BC93" s="20"/>
      <c r="BF93" s="13"/>
      <c r="BG93" s="15"/>
      <c r="BH93" s="15"/>
      <c r="BI93" s="15"/>
      <c r="BJ93" s="15"/>
      <c r="BK93" s="15"/>
      <c r="BL93" s="15"/>
      <c r="BM93" s="15"/>
      <c r="BN93" s="15"/>
      <c r="BO93" s="15"/>
      <c r="BP93" s="1799">
        <f>IF(A93&gt;0,1,0)</f>
        <v>0</v>
      </c>
      <c r="BQ93" s="892"/>
      <c r="BR93" s="892"/>
      <c r="BS93" s="892"/>
      <c r="BT93" s="892"/>
      <c r="BU93" s="892"/>
      <c r="BV93" s="892"/>
      <c r="BW93" s="892"/>
      <c r="BX93" s="892"/>
      <c r="BY93" s="892"/>
      <c r="BZ93" s="892"/>
      <c r="CA93" s="892"/>
      <c r="CB93" s="892"/>
      <c r="CC93" s="892"/>
      <c r="CD93" s="892"/>
      <c r="CE93" s="892"/>
      <c r="CF93" s="892"/>
      <c r="CG93" s="1691">
        <f>A93</f>
        <v>0</v>
      </c>
      <c r="CH93" s="14" t="str">
        <f>B94</f>
        <v>Xeon Gold 5122 4 core (1 chip) 3600 MHz</v>
      </c>
      <c r="CI93" s="1180">
        <f>F93</f>
        <v>69.75</v>
      </c>
      <c r="CJ93" s="1180">
        <f>G93</f>
        <v>279</v>
      </c>
      <c r="CK93" s="2724">
        <f>T93</f>
        <v>10000</v>
      </c>
      <c r="CL93" s="13"/>
      <c r="CM93" s="18"/>
      <c r="CN93" s="13"/>
      <c r="CQ93" s="13"/>
      <c r="CR93" s="18"/>
      <c r="CU93" s="13"/>
      <c r="DA93" s="13"/>
      <c r="DB93" s="18"/>
      <c r="DE93" s="13"/>
      <c r="DF93" s="18"/>
      <c r="DI93" s="13"/>
      <c r="DJ93" s="20"/>
      <c r="DK93" s="20"/>
      <c r="DL93" s="13"/>
      <c r="DM93" s="20"/>
      <c r="DN93" s="18"/>
      <c r="DO93" s="18"/>
      <c r="DP93" s="19"/>
      <c r="DQ93" s="20"/>
      <c r="DR93" s="18"/>
      <c r="DS93" s="18"/>
      <c r="DW93" s="20"/>
      <c r="DX93" s="18"/>
      <c r="EC93" s="20"/>
      <c r="EH93" s="18"/>
      <c r="EI93" s="20"/>
      <c r="EN93" s="18"/>
      <c r="EO93" s="20"/>
      <c r="ET93" s="18"/>
      <c r="EU93" s="20"/>
      <c r="EZ93" s="18"/>
      <c r="FA93" s="20"/>
      <c r="FF93" s="18"/>
      <c r="FG93" s="20"/>
      <c r="FL93" s="18"/>
      <c r="FM93" s="20"/>
      <c r="FR93" s="18"/>
      <c r="FS93" s="20"/>
      <c r="FX93" s="18"/>
      <c r="FY93" s="20"/>
      <c r="GD93" s="18"/>
      <c r="GE93" s="20"/>
      <c r="GJ93" s="18"/>
      <c r="GK93" s="20"/>
      <c r="GP93" s="18"/>
      <c r="GQ93" s="20"/>
    </row>
    <row r="94" spans="1:209" s="12" customFormat="1" ht="17" hidden="1" outlineLevel="2" thickBot="1" x14ac:dyDescent="0.25">
      <c r="A94" s="1800"/>
      <c r="B94" s="156" t="str">
        <f>B91</f>
        <v>Xeon Gold 5122 4 core (1 chip) 3600 MHz</v>
      </c>
      <c r="C94" s="258" t="str">
        <f>A187</f>
        <v>Host04</v>
      </c>
      <c r="D94" s="1801">
        <f>IF(J94=0,0,J94*($BO$2/F93))</f>
        <v>0</v>
      </c>
      <c r="E94" s="1802">
        <f>IF(J94=0,0,L93*60)</f>
        <v>0</v>
      </c>
      <c r="F94" s="142">
        <f>IF(J94=0,0,IF(H94,H94,IF(H95=$I$187,L94+1,L94)))</f>
        <v>0</v>
      </c>
      <c r="G94" s="1803">
        <f>IF(J94=0,0,IF(F94&gt;0,+E94*F94,"Nodes?"))</f>
        <v>0</v>
      </c>
      <c r="H94" s="143"/>
      <c r="I94" s="1861" t="s">
        <v>408</v>
      </c>
      <c r="J94" s="2391">
        <f>$H$191*$M$184</f>
        <v>0</v>
      </c>
      <c r="K94" s="1804">
        <v>2</v>
      </c>
      <c r="L94" s="1805">
        <f>IF(H94,H94,IF(J94=0,1,IF(D94&gt;0,+INT(D94/(E94*I93))+1,1)))</f>
        <v>1</v>
      </c>
      <c r="M94" s="1806"/>
      <c r="N94" s="1807"/>
      <c r="O94" s="1808"/>
      <c r="P94" s="1809"/>
      <c r="Q94" s="1816" t="str">
        <f>VLOOKUP(B94,HWRange,2,FALSE)</f>
        <v>Xeon Gold 5122</v>
      </c>
      <c r="R94" s="1810">
        <f>F94*VLOOKUP(B94,HWRange,8,FALSE)</f>
        <v>0</v>
      </c>
      <c r="S94" s="1981" t="str">
        <f>IF(D94&gt;0,I93*$Q$184/A93-1,"")</f>
        <v/>
      </c>
      <c r="T94" s="135">
        <v>10000</v>
      </c>
      <c r="U94" s="1608">
        <f>IF(J94=0,0,IF(U95=$I$188,U93,0))</f>
        <v>0</v>
      </c>
      <c r="V94" s="2971">
        <f>IF(G94&gt;0,1,0)</f>
        <v>0</v>
      </c>
      <c r="W94" s="2972">
        <f t="shared" ref="W94:AB94" si="74">IF(V94&gt;0,IF($F94&gt;V94,V94+1,0),0)</f>
        <v>0</v>
      </c>
      <c r="X94" s="2972">
        <f t="shared" si="74"/>
        <v>0</v>
      </c>
      <c r="Y94" s="2972">
        <f t="shared" si="74"/>
        <v>0</v>
      </c>
      <c r="Z94" s="2972">
        <f t="shared" si="74"/>
        <v>0</v>
      </c>
      <c r="AA94" s="2972">
        <f t="shared" si="74"/>
        <v>0</v>
      </c>
      <c r="AB94" s="2972">
        <f t="shared" si="74"/>
        <v>0</v>
      </c>
      <c r="AC94" s="2973">
        <f>IF(AB94&gt;0,IF($F94&gt;AB94,"…"&amp;$F94,0),0)</f>
        <v>0</v>
      </c>
      <c r="AD94" s="2974">
        <f>F94</f>
        <v>0</v>
      </c>
      <c r="AE94" s="2857">
        <f>A93</f>
        <v>0</v>
      </c>
      <c r="AF94" s="2998">
        <f>AF$19</f>
        <v>24</v>
      </c>
      <c r="AG94" s="1415"/>
      <c r="AH94" s="1415"/>
      <c r="AI94" s="1415"/>
      <c r="AJ94" s="1415"/>
      <c r="AK94" s="1415"/>
      <c r="AL94" s="1415"/>
      <c r="AM94" s="1415"/>
      <c r="AN94" s="1415"/>
      <c r="AO94" s="1415"/>
      <c r="AP94" s="1415"/>
      <c r="AQ94" s="1415"/>
      <c r="AR94" s="1415"/>
      <c r="AS94" s="1415"/>
      <c r="AT94" s="1415"/>
      <c r="AU94" s="1415"/>
      <c r="AV94" s="1415"/>
      <c r="AW94" s="1415"/>
      <c r="AX94" s="1415"/>
      <c r="AY94" s="1415"/>
      <c r="AZ94" s="1415"/>
      <c r="BA94" s="1415"/>
      <c r="BB94" s="1415"/>
      <c r="BC94" s="20"/>
      <c r="BF94" s="13"/>
      <c r="BG94" s="15"/>
      <c r="BH94" s="15"/>
      <c r="BI94" s="15"/>
      <c r="BJ94" s="15"/>
      <c r="BK94" s="15"/>
      <c r="BL94" s="15"/>
      <c r="BM94" s="15"/>
      <c r="BN94" s="15"/>
      <c r="BO94" s="15"/>
      <c r="BP94" s="893"/>
      <c r="BQ94" s="1817"/>
      <c r="BR94" s="1817"/>
      <c r="BS94" s="1817"/>
      <c r="BT94" s="1817"/>
      <c r="BU94" s="1817"/>
      <c r="BV94" s="1818"/>
      <c r="BW94" s="1818"/>
      <c r="BX94" s="1818"/>
      <c r="BY94" s="1818"/>
      <c r="BZ94" s="1818"/>
      <c r="CA94" s="1818"/>
      <c r="CB94" s="1818"/>
      <c r="CC94" s="1818"/>
      <c r="CD94" s="1818"/>
      <c r="CE94" s="1818"/>
      <c r="CF94" s="894"/>
      <c r="CG94" s="1697" t="str">
        <f>IF(ISERROR(FIND(":",B93)),B93,LEFT(B93,FIND(":",B93)-1))</f>
        <v>Host04</v>
      </c>
      <c r="CH94" s="1698" t="str">
        <f>J95&amp;" physical and "&amp;K95&amp;" virtual core"</f>
        <v>0 physical and 0 virtual core</v>
      </c>
      <c r="CI94" s="1181">
        <f>F94</f>
        <v>0</v>
      </c>
      <c r="CJ94" s="2719">
        <f>D93</f>
        <v>0</v>
      </c>
      <c r="CK94" s="2724">
        <f>T94</f>
        <v>10000</v>
      </c>
      <c r="CL94" s="13"/>
      <c r="CM94" s="18"/>
      <c r="CN94" s="13"/>
      <c r="CQ94" s="13"/>
      <c r="CR94" s="18"/>
      <c r="CU94" s="13"/>
      <c r="DA94" s="13"/>
      <c r="DB94" s="18"/>
      <c r="DE94" s="13"/>
      <c r="DF94" s="18"/>
      <c r="DI94" s="13"/>
      <c r="DJ94" s="20"/>
      <c r="DK94" s="20"/>
      <c r="DL94" s="13"/>
      <c r="DM94" s="20"/>
      <c r="DN94" s="18"/>
      <c r="DO94" s="18"/>
      <c r="DP94" s="19"/>
      <c r="DQ94" s="20"/>
      <c r="DR94" s="21"/>
      <c r="DS94" s="21"/>
      <c r="DW94" s="20"/>
      <c r="DX94" s="21"/>
      <c r="EC94" s="20"/>
      <c r="EH94" s="21"/>
      <c r="EI94" s="20"/>
      <c r="EN94" s="21"/>
      <c r="EO94" s="20"/>
      <c r="ET94" s="21"/>
      <c r="EU94" s="20"/>
      <c r="EZ94" s="21"/>
      <c r="FA94" s="20"/>
      <c r="FF94" s="21"/>
      <c r="FG94" s="20"/>
      <c r="FL94" s="21"/>
      <c r="FM94" s="20"/>
      <c r="FR94" s="21"/>
      <c r="FS94" s="20"/>
      <c r="FX94" s="21"/>
      <c r="FY94" s="20"/>
      <c r="GD94" s="21"/>
      <c r="GE94" s="20"/>
      <c r="GJ94" s="21"/>
      <c r="GK94" s="20"/>
      <c r="GP94" s="21"/>
      <c r="GQ94" s="20"/>
    </row>
    <row r="95" spans="1:209" s="12" customFormat="1" ht="14" hidden="1" outlineLevel="1" collapsed="1" x14ac:dyDescent="0.2">
      <c r="A95" s="916">
        <f>IF(A93=0,0,ROUND(100*A93,0)&amp;"% CPU")</f>
        <v>0</v>
      </c>
      <c r="B95" s="917">
        <f>IF(A93&gt;0,$A$187&amp;": "&amp;F94&amp;"x "&amp;B94&amp;" "&amp;C93&amp;" GB RAM",0)</f>
        <v>0</v>
      </c>
      <c r="C95" s="1775">
        <f>IF(A93&gt;0,IF(B95="","",R93),0)</f>
        <v>0</v>
      </c>
      <c r="D95" s="1776">
        <f>IF(D94&gt;0,ROUND(D94*60/1000,0)&amp;"K sec",0)</f>
        <v>0</v>
      </c>
      <c r="E95" s="1777">
        <f>IF(E94&gt;0,ROUND(E94*60/1000,0)&amp;"K sec/hr",0)</f>
        <v>0</v>
      </c>
      <c r="F95" s="920">
        <f>F94</f>
        <v>0</v>
      </c>
      <c r="G95" s="1777">
        <f>IF(G94&gt;0,ROUND(G94*60/1000,0)&amp;"K sec/hr",0)</f>
        <v>0</v>
      </c>
      <c r="H95" s="921" t="str">
        <f>H$19</f>
        <v>Minimum</v>
      </c>
      <c r="I95" s="1778">
        <f>IF(J95&gt;0,K95&amp;":"&amp;J95,0)</f>
        <v>0</v>
      </c>
      <c r="J95" s="1779">
        <f>D93</f>
        <v>0</v>
      </c>
      <c r="K95" s="1980">
        <f>E93</f>
        <v>0</v>
      </c>
      <c r="L95" s="1780"/>
      <c r="M95" s="2317" t="str">
        <f>A187</f>
        <v>Host04</v>
      </c>
      <c r="N95" s="1781"/>
      <c r="O95" s="1781"/>
      <c r="P95" s="922"/>
      <c r="Q95" s="3110">
        <f>IF(A93&gt;0,R95*F95/D93,0)</f>
        <v>0</v>
      </c>
      <c r="R95" s="3110">
        <f>O184</f>
        <v>0</v>
      </c>
      <c r="S95" s="3109" t="str">
        <f>IF(OR(LEFT(B94,3)="AMI",LEFT(B94,3)="AZI"),LEFT(B94,3),"")</f>
        <v/>
      </c>
      <c r="T95" s="1783" t="str">
        <f>U95</f>
        <v>Data</v>
      </c>
      <c r="U95" s="57" t="s">
        <v>329</v>
      </c>
      <c r="V95" s="1819">
        <f>IF(A93&gt;0,B95&amp;" "&amp;C95&amp;IF(B95="",""," GB RAM"),0)</f>
        <v>0</v>
      </c>
      <c r="W95" s="1819"/>
      <c r="X95" s="1819"/>
      <c r="Y95" s="1819"/>
      <c r="Z95" s="1819"/>
      <c r="AA95" s="1819"/>
      <c r="AB95" s="1819"/>
      <c r="AC95" s="1819"/>
      <c r="AD95" s="1819"/>
      <c r="AE95" s="1820">
        <f>IF(A93&gt;0,F93,0)</f>
        <v>0</v>
      </c>
      <c r="AF95" s="2875">
        <f>H94*(HWPricing!$I$5+VLOOKUP(AF94,GPU_Pricing,2,FALSE))</f>
        <v>0</v>
      </c>
      <c r="AG95" s="1415"/>
      <c r="AH95" s="1415"/>
      <c r="AI95" s="1415"/>
      <c r="AJ95" s="1415"/>
      <c r="AK95" s="1415"/>
      <c r="AL95" s="1415"/>
      <c r="AM95" s="1415"/>
      <c r="AN95" s="1415"/>
      <c r="AO95" s="1415"/>
      <c r="AP95" s="1415"/>
      <c r="AQ95" s="1415"/>
      <c r="AR95" s="1415"/>
      <c r="AS95" s="1415"/>
      <c r="AT95" s="1415"/>
      <c r="AU95" s="1415"/>
      <c r="AV95" s="1415"/>
      <c r="AW95" s="1415"/>
      <c r="AX95" s="1415"/>
      <c r="AY95" s="1415"/>
      <c r="AZ95" s="1415"/>
      <c r="BA95" s="1415"/>
      <c r="BB95" s="1415"/>
      <c r="BC95" s="4"/>
      <c r="BF95" s="13"/>
      <c r="BG95" s="15"/>
      <c r="BH95" s="15"/>
      <c r="BI95" s="15"/>
      <c r="BJ95" s="15"/>
      <c r="BK95" s="15"/>
      <c r="BL95" s="15"/>
      <c r="BM95" s="15"/>
      <c r="BN95" s="15"/>
      <c r="BO95" s="15"/>
      <c r="BP95" s="924"/>
      <c r="BQ95" s="1785"/>
      <c r="BR95" s="1785"/>
      <c r="BS95" s="1785"/>
      <c r="BT95" s="1785"/>
      <c r="BU95" s="1785"/>
      <c r="BV95" s="1785"/>
      <c r="BW95" s="1785"/>
      <c r="BX95" s="1785"/>
      <c r="BY95" s="1785"/>
      <c r="BZ95" s="1785"/>
      <c r="CA95" s="1785"/>
      <c r="CB95" s="1785"/>
      <c r="CC95" s="1785"/>
      <c r="CD95" s="1785"/>
      <c r="CE95" s="1785"/>
      <c r="CF95" s="1782"/>
      <c r="CG95" s="3403">
        <f>B95</f>
        <v>0</v>
      </c>
      <c r="CH95" s="3404"/>
      <c r="CI95" s="3404"/>
      <c r="CJ95" s="3404"/>
      <c r="CK95" s="2726"/>
      <c r="CL95" s="13"/>
      <c r="CM95" s="18"/>
      <c r="CN95" s="13"/>
      <c r="CQ95" s="13"/>
      <c r="CR95" s="18"/>
      <c r="CU95" s="13"/>
      <c r="DA95" s="13"/>
      <c r="DB95" s="18"/>
      <c r="DE95" s="13"/>
      <c r="DF95" s="18"/>
      <c r="DI95" s="13"/>
      <c r="DJ95" s="4"/>
      <c r="DK95" s="4"/>
      <c r="DL95" s="13"/>
      <c r="DM95" s="4"/>
      <c r="DN95" s="18"/>
      <c r="DO95" s="18"/>
      <c r="DP95" s="19"/>
      <c r="DQ95" s="4"/>
      <c r="DR95" s="21"/>
      <c r="DS95" s="21"/>
      <c r="DW95" s="4"/>
      <c r="DX95" s="21"/>
      <c r="EC95" s="4"/>
      <c r="EH95" s="21"/>
      <c r="EI95" s="4"/>
      <c r="EN95" s="21"/>
      <c r="EO95" s="4"/>
      <c r="ET95" s="21"/>
      <c r="EU95" s="4"/>
      <c r="EZ95" s="21"/>
      <c r="FA95" s="4"/>
      <c r="FF95" s="21"/>
      <c r="FG95" s="4"/>
      <c r="FL95" s="21"/>
      <c r="FM95" s="4"/>
      <c r="FR95" s="21"/>
      <c r="FS95" s="4"/>
      <c r="FX95" s="21"/>
      <c r="FY95" s="4"/>
      <c r="GD95" s="21"/>
      <c r="GE95" s="4"/>
      <c r="GJ95" s="21"/>
      <c r="GK95" s="4"/>
      <c r="GP95" s="21"/>
      <c r="GQ95" s="4"/>
    </row>
    <row r="96" spans="1:209" s="12" customFormat="1" ht="16" hidden="1" outlineLevel="2" thickBot="1" x14ac:dyDescent="0.25">
      <c r="A96" s="1786">
        <f>IF(J97=0,0,D97/G97)</f>
        <v>0</v>
      </c>
      <c r="B96" s="2967" t="s">
        <v>1459</v>
      </c>
      <c r="C96" s="1787">
        <f>IF(F97=0,0,ROUNDUP(MAX(L96*3,$N$183/L97),0)+L96)</f>
        <v>0</v>
      </c>
      <c r="D96" s="1788">
        <f>F97*L96</f>
        <v>0</v>
      </c>
      <c r="E96" s="1789">
        <f>O185</f>
        <v>0</v>
      </c>
      <c r="F96" s="1790">
        <f>VLOOKUP(B97,HWRange,7,FALSE)</f>
        <v>69.75</v>
      </c>
      <c r="G96" s="1791">
        <f>VLOOKUP(B97,HWRange,6,FALSE)</f>
        <v>279</v>
      </c>
      <c r="H96" s="161" t="s">
        <v>365</v>
      </c>
      <c r="I96" s="1792">
        <v>0.8</v>
      </c>
      <c r="J96" s="1793"/>
      <c r="K96" s="1877">
        <f>IF(LEFT(B97,3)=S98,1,P185)</f>
        <v>0</v>
      </c>
      <c r="L96" s="491">
        <f>VLOOKUP(B97,HWRange,3,FALSE)</f>
        <v>4</v>
      </c>
      <c r="M96" s="1794"/>
      <c r="N96" s="1795"/>
      <c r="O96" s="1796"/>
      <c r="P96" s="1797"/>
      <c r="Q96" s="1734">
        <f>IF($A96&lt;0.9999, $A96/((1+$CJ$2*$A96*($L96-1))*(1-$A96)),2000)</f>
        <v>0</v>
      </c>
      <c r="R96" s="1588" t="s">
        <v>412</v>
      </c>
      <c r="S96" s="1815" t="s">
        <v>366</v>
      </c>
      <c r="T96" s="135">
        <v>10000</v>
      </c>
      <c r="U96" s="1831">
        <f>IF(J97&gt;0,IF(AND(M97="",N97=""),GU$18/F97,GU$18/F97),0)</f>
        <v>0</v>
      </c>
      <c r="V96" s="2968">
        <f>IF(V97=0,0,$A96)</f>
        <v>0</v>
      </c>
      <c r="W96" s="2968">
        <f t="shared" ref="W96:AB96" si="75">IF(W97=0,0,$A96)</f>
        <v>0</v>
      </c>
      <c r="X96" s="2968">
        <f t="shared" si="75"/>
        <v>0</v>
      </c>
      <c r="Y96" s="2968">
        <f t="shared" si="75"/>
        <v>0</v>
      </c>
      <c r="Z96" s="2968">
        <f t="shared" si="75"/>
        <v>0</v>
      </c>
      <c r="AA96" s="2968">
        <f t="shared" si="75"/>
        <v>0</v>
      </c>
      <c r="AB96" s="2968">
        <f t="shared" si="75"/>
        <v>0</v>
      </c>
      <c r="AC96" s="2970">
        <f>IF(AC97=0,0,$A96)</f>
        <v>0</v>
      </c>
      <c r="AD96" s="1830">
        <f>E96</f>
        <v>0</v>
      </c>
      <c r="AE96" s="2856">
        <f>D96</f>
        <v>0</v>
      </c>
      <c r="AF96" s="2975" t="str">
        <f>IF(H97&gt;0,D96*(1-A96)*(2-$H$191),"")</f>
        <v/>
      </c>
      <c r="AG96" s="1415"/>
      <c r="AH96" s="1415"/>
      <c r="AI96" s="1415"/>
      <c r="AJ96" s="1415"/>
      <c r="AK96" s="1415"/>
      <c r="AL96" s="1415"/>
      <c r="AM96" s="1415"/>
      <c r="AN96" s="1415"/>
      <c r="AO96" s="1415"/>
      <c r="AP96" s="1415"/>
      <c r="AQ96" s="1415"/>
      <c r="AR96" s="1415"/>
      <c r="AS96" s="1415"/>
      <c r="AT96" s="1415"/>
      <c r="AU96" s="1415"/>
      <c r="AV96" s="1415"/>
      <c r="AW96" s="1415"/>
      <c r="AX96" s="1415"/>
      <c r="AY96" s="1415"/>
      <c r="AZ96" s="1415"/>
      <c r="BA96" s="1415"/>
      <c r="BB96" s="1415"/>
      <c r="BC96" s="20"/>
      <c r="BF96" s="13"/>
      <c r="BG96" s="15"/>
      <c r="BH96" s="15"/>
      <c r="BI96" s="15"/>
      <c r="BJ96" s="15"/>
      <c r="BK96" s="15"/>
      <c r="BL96" s="15"/>
      <c r="BM96" s="15"/>
      <c r="BN96" s="15"/>
      <c r="BO96" s="15"/>
      <c r="BP96" s="1799">
        <f>IF(A96&gt;0,1,0)</f>
        <v>0</v>
      </c>
      <c r="BQ96" s="892"/>
      <c r="BR96" s="892"/>
      <c r="BS96" s="892"/>
      <c r="BT96" s="892"/>
      <c r="BU96" s="892"/>
      <c r="BV96" s="892"/>
      <c r="BW96" s="892"/>
      <c r="BX96" s="892"/>
      <c r="BY96" s="892"/>
      <c r="BZ96" s="892"/>
      <c r="CA96" s="892"/>
      <c r="CB96" s="892"/>
      <c r="CC96" s="892"/>
      <c r="CD96" s="892"/>
      <c r="CE96" s="892"/>
      <c r="CF96" s="892"/>
      <c r="CG96" s="1691">
        <f>A96</f>
        <v>0</v>
      </c>
      <c r="CH96" s="14" t="str">
        <f>B97</f>
        <v>Xeon Gold 5122 4 core (1 chip) 3600 MHz</v>
      </c>
      <c r="CI96" s="1180">
        <f>F96</f>
        <v>69.75</v>
      </c>
      <c r="CJ96" s="1180">
        <f>G96</f>
        <v>279</v>
      </c>
      <c r="CK96" s="2724">
        <f>T96</f>
        <v>10000</v>
      </c>
      <c r="CL96" s="13"/>
      <c r="CM96" s="18"/>
      <c r="CN96" s="13"/>
      <c r="CQ96" s="13"/>
      <c r="CR96" s="18"/>
      <c r="CU96" s="13"/>
      <c r="DA96" s="13"/>
      <c r="DB96" s="18"/>
      <c r="DE96" s="13"/>
      <c r="DF96" s="18"/>
      <c r="DI96" s="13"/>
      <c r="DJ96" s="20"/>
      <c r="DK96" s="20"/>
      <c r="DL96" s="13"/>
      <c r="DM96" s="20"/>
      <c r="DN96" s="18"/>
      <c r="DO96" s="18"/>
      <c r="DP96" s="19"/>
      <c r="DQ96" s="20"/>
      <c r="DR96" s="18"/>
      <c r="DS96" s="18"/>
      <c r="DW96" s="20"/>
      <c r="DX96" s="18"/>
      <c r="EC96" s="20"/>
      <c r="EH96" s="18"/>
      <c r="EI96" s="20"/>
      <c r="EN96" s="18"/>
      <c r="EO96" s="20"/>
      <c r="ET96" s="18"/>
      <c r="EU96" s="20"/>
      <c r="EZ96" s="18"/>
      <c r="FA96" s="20"/>
      <c r="FF96" s="18"/>
      <c r="FG96" s="20"/>
      <c r="FL96" s="18"/>
      <c r="FM96" s="20"/>
      <c r="FR96" s="18"/>
      <c r="FS96" s="20"/>
      <c r="FX96" s="18"/>
      <c r="FY96" s="20"/>
      <c r="GD96" s="18"/>
      <c r="GE96" s="20"/>
      <c r="GJ96" s="18"/>
      <c r="GK96" s="20"/>
      <c r="GP96" s="18"/>
      <c r="GQ96" s="20"/>
    </row>
    <row r="97" spans="1:209" s="12" customFormat="1" ht="17" hidden="1" outlineLevel="2" thickBot="1" x14ac:dyDescent="0.25">
      <c r="A97" s="1800"/>
      <c r="B97" s="156" t="str">
        <f>B94</f>
        <v>Xeon Gold 5122 4 core (1 chip) 3600 MHz</v>
      </c>
      <c r="C97" s="258" t="str">
        <f>A188</f>
        <v>Host05</v>
      </c>
      <c r="D97" s="1801">
        <f>IF(J97=0,0,J97*($BO$2/F96))</f>
        <v>0</v>
      </c>
      <c r="E97" s="1802">
        <f>IF(J97=0,0,L96*60)</f>
        <v>0</v>
      </c>
      <c r="F97" s="142">
        <f>IF(J97=0,0,IF(H97,H97,IF(H98=$I$187,L97+1,L97)))</f>
        <v>0</v>
      </c>
      <c r="G97" s="1803">
        <f>IF(J97=0,0,IF(F97&gt;0,+E97*F97,"Nodes?"))</f>
        <v>0</v>
      </c>
      <c r="H97" s="143"/>
      <c r="I97" s="1861" t="s">
        <v>408</v>
      </c>
      <c r="J97" s="2391">
        <f>$H$191*$M$185</f>
        <v>0</v>
      </c>
      <c r="K97" s="1804">
        <v>2</v>
      </c>
      <c r="L97" s="1805">
        <f>IF(H97,H97,IF(J97=0,1,IF(D97&gt;0,+INT(D97/(E97*I96))+1,1)))</f>
        <v>1</v>
      </c>
      <c r="M97" s="1806"/>
      <c r="N97" s="1807"/>
      <c r="O97" s="1808"/>
      <c r="P97" s="1809"/>
      <c r="Q97" s="1816" t="str">
        <f>VLOOKUP(B97,HWRange,2,FALSE)</f>
        <v>Xeon Gold 5122</v>
      </c>
      <c r="R97" s="1810">
        <f>F97*VLOOKUP(B97,HWRange,8,FALSE)</f>
        <v>0</v>
      </c>
      <c r="S97" s="1981" t="str">
        <f>IF(D97&gt;0,I96*$Q$185/A96-1,"")</f>
        <v/>
      </c>
      <c r="T97" s="135">
        <v>10000</v>
      </c>
      <c r="U97" s="1608">
        <f>IF(J97=0,0,IF(U98=$I$188,U96,0))</f>
        <v>0</v>
      </c>
      <c r="V97" s="2971">
        <f>IF(G97&gt;0,1,0)</f>
        <v>0</v>
      </c>
      <c r="W97" s="2972">
        <f t="shared" ref="W97:AB97" si="76">IF(V97&gt;0,IF($F97&gt;V97,V97+1,0),0)</f>
        <v>0</v>
      </c>
      <c r="X97" s="2972">
        <f t="shared" si="76"/>
        <v>0</v>
      </c>
      <c r="Y97" s="2972">
        <f t="shared" si="76"/>
        <v>0</v>
      </c>
      <c r="Z97" s="2972">
        <f t="shared" si="76"/>
        <v>0</v>
      </c>
      <c r="AA97" s="2972">
        <f t="shared" si="76"/>
        <v>0</v>
      </c>
      <c r="AB97" s="2972">
        <f t="shared" si="76"/>
        <v>0</v>
      </c>
      <c r="AC97" s="2973">
        <f>IF(AB97&gt;0,IF($F97&gt;AB97,"…"&amp;$F97,0),0)</f>
        <v>0</v>
      </c>
      <c r="AD97" s="2974">
        <f>F97</f>
        <v>0</v>
      </c>
      <c r="AE97" s="2857">
        <f>A96</f>
        <v>0</v>
      </c>
      <c r="AF97" s="2998">
        <f>AF$19</f>
        <v>24</v>
      </c>
      <c r="AG97" s="1415"/>
      <c r="AH97" s="1415"/>
      <c r="AI97" s="1415"/>
      <c r="AJ97" s="1415"/>
      <c r="AK97" s="1415"/>
      <c r="AL97" s="1415"/>
      <c r="AM97" s="1415"/>
      <c r="AN97" s="1415"/>
      <c r="AO97" s="1415"/>
      <c r="AP97" s="1415"/>
      <c r="AQ97" s="1415"/>
      <c r="AR97" s="1415"/>
      <c r="AS97" s="1415"/>
      <c r="AT97" s="1415"/>
      <c r="AU97" s="1415"/>
      <c r="AV97" s="1415"/>
      <c r="AW97" s="1415"/>
      <c r="AX97" s="1415"/>
      <c r="AY97" s="1415"/>
      <c r="AZ97" s="1415"/>
      <c r="BA97" s="1415"/>
      <c r="BB97" s="1415"/>
      <c r="BC97" s="20"/>
      <c r="BF97" s="13"/>
      <c r="BG97" s="15"/>
      <c r="BH97" s="15"/>
      <c r="BI97" s="15"/>
      <c r="BJ97" s="15"/>
      <c r="BK97" s="15"/>
      <c r="BL97" s="15"/>
      <c r="BM97" s="15"/>
      <c r="BN97" s="15"/>
      <c r="BO97" s="15"/>
      <c r="BP97" s="893"/>
      <c r="BQ97" s="1817"/>
      <c r="BR97" s="1817"/>
      <c r="BS97" s="1817"/>
      <c r="BT97" s="1817"/>
      <c r="BU97" s="1817"/>
      <c r="BV97" s="1818"/>
      <c r="BW97" s="1818"/>
      <c r="BX97" s="1818"/>
      <c r="BY97" s="1818"/>
      <c r="BZ97" s="1818"/>
      <c r="CA97" s="1818"/>
      <c r="CB97" s="1818"/>
      <c r="CC97" s="1818"/>
      <c r="CD97" s="1818"/>
      <c r="CE97" s="1818"/>
      <c r="CF97" s="894"/>
      <c r="CG97" s="1697" t="str">
        <f>IF(ISERROR(FIND(":",B96)),B96,LEFT(B96,FIND(":",B96)-1))</f>
        <v>Host05</v>
      </c>
      <c r="CH97" s="1698" t="str">
        <f>J98&amp;" physical and "&amp;K98&amp;" virtual core"</f>
        <v>0 physical and 0 virtual core</v>
      </c>
      <c r="CI97" s="1181">
        <f>F97</f>
        <v>0</v>
      </c>
      <c r="CJ97" s="2719">
        <f>D96</f>
        <v>0</v>
      </c>
      <c r="CK97" s="2724">
        <f>T97</f>
        <v>10000</v>
      </c>
      <c r="CL97" s="13"/>
      <c r="CM97" s="18"/>
      <c r="CN97" s="13"/>
      <c r="CQ97" s="13"/>
      <c r="CR97" s="18"/>
      <c r="CU97" s="13"/>
      <c r="DA97" s="13"/>
      <c r="DB97" s="18"/>
      <c r="DE97" s="13"/>
      <c r="DF97" s="18"/>
      <c r="DI97" s="13"/>
      <c r="DJ97" s="20"/>
      <c r="DK97" s="20"/>
      <c r="DL97" s="13"/>
      <c r="DM97" s="20"/>
      <c r="DN97" s="18"/>
      <c r="DO97" s="18"/>
      <c r="DP97" s="19"/>
      <c r="DQ97" s="20"/>
      <c r="DR97" s="21"/>
      <c r="DS97" s="21"/>
      <c r="DW97" s="20"/>
      <c r="DX97" s="21"/>
      <c r="EC97" s="20"/>
      <c r="EH97" s="21"/>
      <c r="EI97" s="20"/>
      <c r="EN97" s="21"/>
      <c r="EO97" s="20"/>
      <c r="ET97" s="21"/>
      <c r="EU97" s="20"/>
      <c r="EZ97" s="21"/>
      <c r="FA97" s="20"/>
      <c r="FF97" s="21"/>
      <c r="FG97" s="20"/>
      <c r="FL97" s="21"/>
      <c r="FM97" s="20"/>
      <c r="FR97" s="21"/>
      <c r="FS97" s="20"/>
      <c r="FX97" s="21"/>
      <c r="FY97" s="20"/>
      <c r="GD97" s="21"/>
      <c r="GE97" s="20"/>
      <c r="GJ97" s="21"/>
      <c r="GK97" s="20"/>
      <c r="GP97" s="21"/>
      <c r="GQ97" s="20"/>
    </row>
    <row r="98" spans="1:209" s="12" customFormat="1" ht="14" hidden="1" outlineLevel="1" collapsed="1" x14ac:dyDescent="0.2">
      <c r="A98" s="916">
        <f>IF(A96=0,0,ROUND(100*A96,0)&amp;"% CPU")</f>
        <v>0</v>
      </c>
      <c r="B98" s="917">
        <f>IF(A96&gt;0,$A$188&amp;": "&amp;F97&amp;"x "&amp;B97&amp;" "&amp;C96&amp;" GB RAM",0)</f>
        <v>0</v>
      </c>
      <c r="C98" s="1775">
        <f>IF(A96&gt;0,IF(B98="","",R96),0)</f>
        <v>0</v>
      </c>
      <c r="D98" s="1776">
        <f>IF(D97&gt;0,ROUND(D97*60/1000,0)&amp;"K sec",0)</f>
        <v>0</v>
      </c>
      <c r="E98" s="1777">
        <f>IF(E97&gt;0,ROUND(E97*60/1000,0)&amp;"K sec/hr",0)</f>
        <v>0</v>
      </c>
      <c r="F98" s="920">
        <f>F97</f>
        <v>0</v>
      </c>
      <c r="G98" s="1777">
        <f>IF(G97&gt;0,ROUND(G97*60/1000,0)&amp;"K sec/hr",0)</f>
        <v>0</v>
      </c>
      <c r="H98" s="921" t="str">
        <f>H$19</f>
        <v>Minimum</v>
      </c>
      <c r="I98" s="1778">
        <f>IF(J98&gt;0,K98&amp;":"&amp;J98,0)</f>
        <v>0</v>
      </c>
      <c r="J98" s="1779">
        <f>D96</f>
        <v>0</v>
      </c>
      <c r="K98" s="1980">
        <f>E96</f>
        <v>0</v>
      </c>
      <c r="L98" s="1780"/>
      <c r="M98" s="2317" t="str">
        <f>A188</f>
        <v>Host05</v>
      </c>
      <c r="N98" s="1781"/>
      <c r="O98" s="1781"/>
      <c r="P98" s="922"/>
      <c r="Q98" s="3110">
        <f>IF(A96&gt;0,R98*F98/D96,0)</f>
        <v>0</v>
      </c>
      <c r="R98" s="3110">
        <f>O185</f>
        <v>0</v>
      </c>
      <c r="S98" s="3109" t="str">
        <f>IF(OR(LEFT(B97,3)="AMI",LEFT(B97,3)="AZI"),LEFT(B97,3),"")</f>
        <v/>
      </c>
      <c r="T98" s="1783" t="str">
        <f>U98</f>
        <v>Data</v>
      </c>
      <c r="U98" s="57" t="s">
        <v>329</v>
      </c>
      <c r="V98" s="1819">
        <f>IF(A96&gt;0,B98&amp;" "&amp;C98&amp;IF(B98="",""," GB RAM"),0)</f>
        <v>0</v>
      </c>
      <c r="W98" s="1819"/>
      <c r="X98" s="1819"/>
      <c r="Y98" s="1819"/>
      <c r="Z98" s="1819"/>
      <c r="AA98" s="1819"/>
      <c r="AB98" s="1819"/>
      <c r="AC98" s="1819"/>
      <c r="AD98" s="1819"/>
      <c r="AE98" s="1820">
        <f>IF(A96&gt;0,F96,0)</f>
        <v>0</v>
      </c>
      <c r="AF98" s="2875">
        <f>H97*(HWPricing!$I$5+VLOOKUP(AF97,GPU_Pricing,2,FALSE))</f>
        <v>0</v>
      </c>
      <c r="AG98" s="1415"/>
      <c r="AH98" s="1415"/>
      <c r="AI98" s="1415"/>
      <c r="AJ98" s="1415"/>
      <c r="AK98" s="1415"/>
      <c r="AL98" s="1415"/>
      <c r="AM98" s="1415"/>
      <c r="AN98" s="1415"/>
      <c r="AO98" s="1415"/>
      <c r="AP98" s="1415"/>
      <c r="AQ98" s="1415"/>
      <c r="AR98" s="1415"/>
      <c r="AS98" s="1415"/>
      <c r="AT98" s="1415"/>
      <c r="AU98" s="1415"/>
      <c r="AV98" s="1415"/>
      <c r="AW98" s="1415"/>
      <c r="AX98" s="1415"/>
      <c r="AY98" s="1415"/>
      <c r="AZ98" s="1415"/>
      <c r="BA98" s="1415"/>
      <c r="BB98" s="1415"/>
      <c r="BC98" s="4"/>
      <c r="BF98" s="13"/>
      <c r="BG98" s="15"/>
      <c r="BH98" s="15"/>
      <c r="BI98" s="15"/>
      <c r="BJ98" s="15"/>
      <c r="BK98" s="15"/>
      <c r="BL98" s="15"/>
      <c r="BM98" s="15"/>
      <c r="BN98" s="15"/>
      <c r="BO98" s="15"/>
      <c r="BP98" s="924"/>
      <c r="BQ98" s="1785"/>
      <c r="BR98" s="1785"/>
      <c r="BS98" s="1785"/>
      <c r="BT98" s="1785"/>
      <c r="BU98" s="1785"/>
      <c r="BV98" s="1785"/>
      <c r="BW98" s="1785"/>
      <c r="BX98" s="1785"/>
      <c r="BY98" s="1785"/>
      <c r="BZ98" s="1785"/>
      <c r="CA98" s="1785"/>
      <c r="CB98" s="1785"/>
      <c r="CC98" s="1785"/>
      <c r="CD98" s="1785"/>
      <c r="CE98" s="1785"/>
      <c r="CF98" s="1782"/>
      <c r="CG98" s="3403">
        <f>B98</f>
        <v>0</v>
      </c>
      <c r="CH98" s="3404"/>
      <c r="CI98" s="3404"/>
      <c r="CJ98" s="3404"/>
      <c r="CK98" s="2726"/>
      <c r="CL98" s="13"/>
      <c r="CM98" s="18"/>
      <c r="CN98" s="13"/>
      <c r="CQ98" s="13"/>
      <c r="CR98" s="18"/>
      <c r="CU98" s="13"/>
      <c r="DA98" s="13"/>
      <c r="DB98" s="18"/>
      <c r="DE98" s="13"/>
      <c r="DF98" s="18"/>
      <c r="DI98" s="13"/>
      <c r="DJ98" s="4"/>
      <c r="DK98" s="4"/>
      <c r="DL98" s="13"/>
      <c r="DM98" s="4"/>
      <c r="DN98" s="18"/>
      <c r="DO98" s="18"/>
      <c r="DP98" s="19"/>
      <c r="DQ98" s="4"/>
      <c r="DR98" s="21"/>
      <c r="DS98" s="21"/>
      <c r="DW98" s="4"/>
      <c r="DX98" s="21"/>
      <c r="EC98" s="4"/>
      <c r="EH98" s="21"/>
      <c r="EI98" s="4"/>
      <c r="EN98" s="21"/>
      <c r="EO98" s="4"/>
      <c r="ET98" s="21"/>
      <c r="EU98" s="4"/>
      <c r="EZ98" s="21"/>
      <c r="FA98" s="4"/>
      <c r="FF98" s="21"/>
      <c r="FG98" s="4"/>
      <c r="FL98" s="21"/>
      <c r="FM98" s="4"/>
      <c r="FR98" s="21"/>
      <c r="FS98" s="4"/>
      <c r="FX98" s="21"/>
      <c r="FY98" s="4"/>
      <c r="GD98" s="21"/>
      <c r="GE98" s="4"/>
      <c r="GJ98" s="21"/>
      <c r="GK98" s="4"/>
      <c r="GP98" s="21"/>
      <c r="GQ98" s="4"/>
    </row>
    <row r="99" spans="1:209" s="12" customFormat="1" ht="15" collapsed="1" thickBot="1" x14ac:dyDescent="0.2">
      <c r="A99" s="2806" t="s">
        <v>1461</v>
      </c>
      <c r="B99" s="1723" t="s">
        <v>371</v>
      </c>
      <c r="C99" s="1727"/>
      <c r="D99" s="1728"/>
      <c r="E99" s="1729"/>
      <c r="F99" s="1730"/>
      <c r="G99" s="1729"/>
      <c r="H99" s="1731"/>
      <c r="I99" s="1731"/>
      <c r="J99" s="1731"/>
      <c r="K99" s="1731"/>
      <c r="L99" s="1731"/>
      <c r="M99" s="1731"/>
      <c r="N99" s="1731"/>
      <c r="O99" s="1731"/>
      <c r="P99" s="1732"/>
      <c r="Q99" s="1733"/>
      <c r="R99" s="1731"/>
      <c r="S99" s="1732"/>
      <c r="T99" s="135">
        <v>10000</v>
      </c>
      <c r="U99" s="1832">
        <f>GW26</f>
        <v>0</v>
      </c>
      <c r="V99" s="2318"/>
      <c r="W99" s="2318"/>
      <c r="X99" s="2318"/>
      <c r="Y99" s="2318"/>
      <c r="Z99" s="2318"/>
      <c r="AA99" s="2318"/>
      <c r="AB99" s="2318"/>
      <c r="AC99" s="2318"/>
      <c r="AD99" s="2318"/>
      <c r="AE99" s="2318"/>
      <c r="AF99" s="1415"/>
      <c r="AG99" s="1415"/>
      <c r="AH99" s="1415"/>
      <c r="AI99" s="1415"/>
      <c r="AJ99" s="1415"/>
      <c r="AK99" s="1415"/>
      <c r="AL99" s="1415"/>
      <c r="AM99" s="1415"/>
      <c r="AN99" s="1415"/>
      <c r="AO99" s="1415"/>
      <c r="AP99" s="1415"/>
      <c r="AQ99" s="1415"/>
      <c r="AR99" s="1415"/>
      <c r="AS99" s="1415"/>
      <c r="AT99" s="1415"/>
      <c r="AU99" s="1415"/>
      <c r="AV99" s="1415"/>
      <c r="AW99" s="1415"/>
      <c r="AX99" s="1415"/>
      <c r="AY99" s="1415"/>
      <c r="AZ99" s="1415"/>
      <c r="BA99" s="1415"/>
      <c r="BB99" s="1415"/>
      <c r="BG99" s="14"/>
      <c r="BH99" s="14"/>
      <c r="BI99" s="14"/>
      <c r="BJ99" s="14"/>
      <c r="BK99" s="14"/>
      <c r="BL99" s="14"/>
      <c r="BM99" s="14"/>
      <c r="BN99" s="14"/>
      <c r="BO99" s="14"/>
      <c r="BP99" s="98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57"/>
      <c r="CG99" s="1694"/>
      <c r="CH99" s="1695" t="s">
        <v>525</v>
      </c>
      <c r="CI99" s="1696">
        <f>CI85+CI88+CI91</f>
        <v>0</v>
      </c>
      <c r="CJ99" s="2720">
        <f>CJ85+CJ88+CJ91</f>
        <v>0</v>
      </c>
      <c r="CK99" s="2724">
        <f>T99</f>
        <v>10000</v>
      </c>
      <c r="DL99" s="3"/>
      <c r="DM99" s="14"/>
      <c r="DN99" s="14"/>
      <c r="DO99" s="14"/>
      <c r="DP99" s="14"/>
      <c r="DT99" s="21"/>
      <c r="DU99" s="21"/>
      <c r="DV99" s="13"/>
      <c r="DY99" s="21"/>
      <c r="DZ99" s="21"/>
      <c r="EA99" s="13"/>
      <c r="ED99" s="21"/>
      <c r="EE99" s="21"/>
      <c r="EF99" s="13"/>
      <c r="EJ99" s="21"/>
      <c r="EK99" s="21"/>
      <c r="EL99" s="13"/>
      <c r="EP99" s="21"/>
      <c r="EQ99" s="21"/>
      <c r="ER99" s="13"/>
      <c r="EV99" s="21"/>
      <c r="EW99" s="21"/>
      <c r="EX99" s="13"/>
      <c r="FB99" s="21"/>
      <c r="FC99" s="21"/>
      <c r="FD99" s="13"/>
      <c r="FH99" s="21"/>
      <c r="FI99" s="21"/>
      <c r="FJ99" s="13"/>
      <c r="FN99" s="21"/>
      <c r="FO99" s="21"/>
      <c r="FP99" s="13"/>
      <c r="FT99" s="21"/>
      <c r="FU99" s="21"/>
      <c r="FV99" s="13"/>
      <c r="FZ99" s="21"/>
      <c r="GA99" s="21"/>
      <c r="GB99" s="13"/>
      <c r="GF99" s="21"/>
      <c r="GG99" s="21"/>
      <c r="GH99" s="14"/>
      <c r="GI99" s="13"/>
      <c r="GL99" s="21"/>
      <c r="GM99" s="21"/>
      <c r="GN99" s="14"/>
      <c r="GO99" s="13"/>
      <c r="GR99" s="21"/>
      <c r="GS99" s="13"/>
      <c r="GT99" s="13"/>
      <c r="GU99" s="14"/>
      <c r="GV99" s="17"/>
      <c r="HA99" s="390"/>
    </row>
    <row r="100" spans="1:209" s="390" customFormat="1" ht="15" hidden="1" customHeight="1" outlineLevel="2" x14ac:dyDescent="0.2">
      <c r="A100" s="2934" t="s">
        <v>1005</v>
      </c>
      <c r="B100" s="2934" t="s">
        <v>1008</v>
      </c>
      <c r="C100" s="2934" t="s">
        <v>1040</v>
      </c>
      <c r="D100" s="2934" t="s">
        <v>737</v>
      </c>
      <c r="E100" s="2929" t="s">
        <v>1009</v>
      </c>
      <c r="F100" s="2930" t="s">
        <v>132</v>
      </c>
      <c r="G100" s="2941" t="s">
        <v>313</v>
      </c>
      <c r="H100" s="2934" t="s">
        <v>1016</v>
      </c>
      <c r="I100" s="2942" t="s">
        <v>1014</v>
      </c>
      <c r="J100" s="2779"/>
      <c r="K100" s="3162" t="s">
        <v>1812</v>
      </c>
      <c r="L100" s="1205"/>
      <c r="Q100" s="393"/>
      <c r="S100" s="393"/>
      <c r="U100" s="393"/>
      <c r="V100" s="3400" t="s">
        <v>624</v>
      </c>
      <c r="W100" s="3401"/>
      <c r="X100" s="3401"/>
      <c r="Y100" s="3401"/>
      <c r="Z100" s="3401"/>
      <c r="AA100" s="3401"/>
      <c r="AB100" s="3401"/>
      <c r="AC100" s="3401"/>
      <c r="AD100" s="3401"/>
      <c r="AE100" s="3402"/>
      <c r="AF100" s="392"/>
      <c r="AG100" s="392"/>
      <c r="AH100" s="392"/>
      <c r="AI100" s="392"/>
      <c r="AJ100" s="392"/>
      <c r="AK100" s="392"/>
      <c r="AL100" s="392"/>
      <c r="AM100" s="392"/>
      <c r="AN100" s="392"/>
      <c r="AO100" s="392"/>
      <c r="AP100" s="392"/>
      <c r="AQ100" s="392"/>
      <c r="AR100" s="392"/>
      <c r="AS100" s="392"/>
      <c r="AT100" s="392"/>
      <c r="AU100" s="392"/>
      <c r="AV100" s="392"/>
      <c r="AW100" s="392"/>
      <c r="AX100" s="392"/>
      <c r="AY100" s="392"/>
      <c r="AZ100" s="392"/>
      <c r="BA100" s="392"/>
      <c r="BB100" s="392"/>
      <c r="BC100" s="392"/>
      <c r="BD100" s="392"/>
      <c r="BE100" s="392"/>
      <c r="BG100" s="393"/>
      <c r="BH100" s="393"/>
      <c r="BI100" s="393"/>
      <c r="BJ100" s="393"/>
      <c r="BK100" s="2185" t="s">
        <v>1009</v>
      </c>
      <c r="BL100" s="2188" t="s">
        <v>1027</v>
      </c>
      <c r="BM100" s="393"/>
      <c r="BN100" s="393"/>
      <c r="BO100" s="393"/>
      <c r="BP100" s="394"/>
      <c r="BQ100" s="394"/>
      <c r="BR100" s="394"/>
      <c r="BS100" s="394"/>
      <c r="BT100" s="394"/>
      <c r="BU100" s="394"/>
      <c r="BV100" s="392"/>
      <c r="BW100" s="392"/>
      <c r="BX100" s="392"/>
      <c r="BY100" s="392"/>
      <c r="BZ100" s="392"/>
      <c r="CA100" s="392"/>
      <c r="CB100" s="392"/>
      <c r="CC100" s="392"/>
      <c r="CD100" s="392"/>
      <c r="CE100" s="392"/>
      <c r="CF100" s="392"/>
      <c r="CG100" s="394"/>
      <c r="CH100" s="394"/>
      <c r="CK100" s="1634" t="s">
        <v>1452</v>
      </c>
      <c r="DJ100" s="392"/>
      <c r="DK100" s="392"/>
      <c r="DL100" s="392"/>
      <c r="DM100" s="392"/>
      <c r="DN100" s="392"/>
      <c r="DO100" s="392"/>
      <c r="DP100" s="392"/>
      <c r="DQ100" s="392"/>
      <c r="DT100" s="394"/>
      <c r="DU100" s="394"/>
      <c r="DW100" s="392"/>
      <c r="DY100" s="394"/>
      <c r="DZ100" s="394"/>
      <c r="EC100" s="392"/>
      <c r="ED100" s="394"/>
      <c r="EE100" s="394"/>
      <c r="EI100" s="392"/>
      <c r="EJ100" s="394"/>
      <c r="EK100" s="394"/>
      <c r="EO100" s="392"/>
      <c r="EP100" s="394"/>
      <c r="EQ100" s="394"/>
      <c r="EU100" s="392"/>
      <c r="EV100" s="394"/>
      <c r="EW100" s="394"/>
      <c r="FA100" s="392"/>
      <c r="FB100" s="394"/>
      <c r="FC100" s="394"/>
      <c r="FG100" s="392"/>
      <c r="FH100" s="394"/>
      <c r="FI100" s="394"/>
      <c r="FM100" s="392"/>
      <c r="FN100" s="394"/>
      <c r="FO100" s="394"/>
      <c r="FS100" s="392"/>
      <c r="FT100" s="394"/>
      <c r="FU100" s="394"/>
      <c r="FY100" s="392"/>
      <c r="FZ100" s="394"/>
      <c r="GA100" s="394"/>
      <c r="GE100" s="392"/>
      <c r="GF100" s="394"/>
      <c r="GG100" s="392"/>
      <c r="GH100" s="394"/>
      <c r="GK100" s="392"/>
      <c r="GL100" s="394"/>
      <c r="GM100" s="392"/>
      <c r="GN100" s="394"/>
      <c r="GP100" s="394"/>
      <c r="GQ100" s="392"/>
      <c r="GR100" s="394"/>
      <c r="GS100" s="392"/>
      <c r="GT100" s="392"/>
      <c r="GU100" s="394"/>
    </row>
    <row r="101" spans="1:209" s="390" customFormat="1" ht="16" hidden="1" outlineLevel="2" x14ac:dyDescent="0.2">
      <c r="A101" s="2952">
        <f>F165</f>
        <v>0</v>
      </c>
      <c r="B101" s="3053" t="str">
        <f>J101</f>
        <v xml:space="preserve"> </v>
      </c>
      <c r="C101" s="2935" t="str">
        <f t="shared" ref="C101:C115" si="77">IF(K101,K101,IF(A101&gt;0,A101*VLOOKUP(B101,HWPricing,6,FALSE),""))</f>
        <v/>
      </c>
      <c r="D101" s="2936" t="str">
        <f>K21</f>
        <v>Tier01</v>
      </c>
      <c r="E101" s="2931" t="str">
        <f t="shared" ref="E101:E114" si="78">IF(A101&gt;0,VLOOKUP(B101,HWPricing,2,FALSE),"")</f>
        <v/>
      </c>
      <c r="F101" s="2932">
        <f>D165</f>
        <v>0</v>
      </c>
      <c r="G101" s="2943">
        <f>E165</f>
        <v>0</v>
      </c>
      <c r="H101" s="2944">
        <f t="shared" ref="H101:H115" si="79">G101*I101</f>
        <v>0</v>
      </c>
      <c r="I101" s="2316"/>
      <c r="J101" s="2780" t="str">
        <f>BK101&amp;BL101</f>
        <v xml:space="preserve"> </v>
      </c>
      <c r="K101" s="3163">
        <f>AF23</f>
        <v>0</v>
      </c>
      <c r="Q101" s="393"/>
      <c r="S101" s="394"/>
      <c r="T101" s="393"/>
      <c r="U101" s="393"/>
      <c r="V101" s="394"/>
      <c r="W101" s="394"/>
      <c r="X101" s="394"/>
      <c r="Y101" s="394"/>
      <c r="Z101" s="394"/>
      <c r="AA101" s="394"/>
      <c r="AB101" s="394"/>
      <c r="AC101" s="391"/>
      <c r="AD101" s="392"/>
      <c r="AE101" s="392"/>
      <c r="AF101" s="392"/>
      <c r="AG101" s="392"/>
      <c r="AH101" s="392"/>
      <c r="AI101" s="392"/>
      <c r="AJ101" s="392"/>
      <c r="AK101" s="392"/>
      <c r="AL101" s="392"/>
      <c r="AM101" s="392"/>
      <c r="AN101" s="392"/>
      <c r="AO101" s="392"/>
      <c r="AP101" s="392"/>
      <c r="AQ101" s="392"/>
      <c r="AR101" s="392"/>
      <c r="AS101" s="392"/>
      <c r="AT101" s="392"/>
      <c r="AU101" s="392"/>
      <c r="AV101" s="392"/>
      <c r="AW101" s="392"/>
      <c r="AX101" s="392"/>
      <c r="AY101" s="392"/>
      <c r="AZ101" s="392"/>
      <c r="BA101" s="392"/>
      <c r="BB101" s="392"/>
      <c r="BC101" s="392"/>
      <c r="BD101" s="392"/>
      <c r="BG101" s="393"/>
      <c r="BH101" s="393"/>
      <c r="BI101" s="393"/>
      <c r="BJ101" s="393"/>
      <c r="BK101" s="2187" t="str">
        <f t="shared" ref="BK101:BK116" si="80">IF(A101&gt;0,C165,"")</f>
        <v/>
      </c>
      <c r="BL101" s="2186" t="str">
        <f>" "&amp;IF(K101&gt;0,"",IF(A101&gt;0,VLOOKUP(F101,Memory,2,TRUE)&amp;" GB RAM",""))</f>
        <v xml:space="preserve"> </v>
      </c>
      <c r="BM101" s="393"/>
      <c r="BN101" s="393"/>
      <c r="BO101" s="394"/>
      <c r="BP101" s="394"/>
      <c r="BQ101" s="394"/>
      <c r="BR101" s="394"/>
      <c r="BS101" s="394"/>
      <c r="BT101" s="394"/>
      <c r="BU101" s="392"/>
      <c r="BV101" s="392"/>
      <c r="BW101" s="392"/>
      <c r="BX101" s="392"/>
      <c r="BY101" s="392"/>
      <c r="BZ101" s="392"/>
      <c r="CA101" s="392"/>
      <c r="CB101" s="392"/>
      <c r="CC101" s="392"/>
      <c r="CD101" s="392"/>
      <c r="CE101" s="392"/>
      <c r="CK101" s="1834">
        <v>20000</v>
      </c>
      <c r="DI101" s="392"/>
      <c r="DJ101" s="392"/>
      <c r="DK101" s="392"/>
      <c r="DL101" s="392"/>
      <c r="DM101" s="392"/>
      <c r="DN101" s="392"/>
      <c r="DO101" s="392"/>
      <c r="DQ101" s="392"/>
      <c r="DS101" s="394"/>
      <c r="DT101" s="394"/>
      <c r="DW101" s="392"/>
      <c r="DX101" s="394"/>
      <c r="DY101" s="394"/>
      <c r="EC101" s="392"/>
      <c r="ED101" s="394"/>
      <c r="EH101" s="394"/>
      <c r="EI101" s="392"/>
      <c r="EJ101" s="394"/>
      <c r="EN101" s="394"/>
      <c r="EO101" s="392"/>
      <c r="EP101" s="394"/>
      <c r="ET101" s="394"/>
      <c r="EU101" s="392"/>
      <c r="EV101" s="394"/>
      <c r="EZ101" s="394"/>
      <c r="FA101" s="392"/>
      <c r="FB101" s="394"/>
      <c r="FF101" s="394"/>
      <c r="FG101" s="392"/>
      <c r="FH101" s="394"/>
      <c r="FL101" s="394"/>
      <c r="FM101" s="392"/>
      <c r="FN101" s="394"/>
      <c r="FR101" s="394"/>
      <c r="FS101" s="392"/>
      <c r="FT101" s="394"/>
      <c r="FX101" s="394"/>
      <c r="FY101" s="392"/>
      <c r="FZ101" s="394"/>
      <c r="GD101" s="394"/>
      <c r="GE101" s="392"/>
      <c r="GF101" s="392"/>
      <c r="GG101" s="394"/>
      <c r="GJ101" s="394"/>
      <c r="GK101" s="392"/>
      <c r="GL101" s="392"/>
      <c r="GM101" s="394"/>
      <c r="GO101" s="394"/>
      <c r="GP101" s="394"/>
      <c r="GQ101" s="392"/>
      <c r="GR101" s="392"/>
      <c r="GS101" s="394"/>
      <c r="GT101" s="394"/>
    </row>
    <row r="102" spans="1:209" s="390" customFormat="1" ht="16" hidden="1" outlineLevel="2" x14ac:dyDescent="0.2">
      <c r="A102" s="2952">
        <f t="shared" ref="A102:A115" si="81">F166</f>
        <v>0</v>
      </c>
      <c r="B102" s="3053" t="str">
        <f t="shared" ref="B102:B115" si="82">J102</f>
        <v xml:space="preserve"> </v>
      </c>
      <c r="C102" s="2935" t="str">
        <f t="shared" si="77"/>
        <v/>
      </c>
      <c r="D102" s="2936" t="str">
        <f>K25</f>
        <v>Tier02</v>
      </c>
      <c r="E102" s="2931" t="str">
        <f t="shared" si="78"/>
        <v/>
      </c>
      <c r="F102" s="2932">
        <f>D166</f>
        <v>0</v>
      </c>
      <c r="G102" s="2943">
        <f t="shared" ref="G102:G115" si="83">E166</f>
        <v>0</v>
      </c>
      <c r="H102" s="2944">
        <f t="shared" si="79"/>
        <v>0</v>
      </c>
      <c r="I102" s="2316"/>
      <c r="J102" s="2780" t="str">
        <f t="shared" ref="J102:J115" si="84">BK102&amp;BL102</f>
        <v xml:space="preserve"> </v>
      </c>
      <c r="K102" s="3163">
        <f>AF27</f>
        <v>0</v>
      </c>
      <c r="Q102" s="393"/>
      <c r="S102" s="394"/>
      <c r="T102" s="393"/>
      <c r="U102" s="393"/>
      <c r="V102" s="394"/>
      <c r="W102" s="394"/>
      <c r="X102" s="394"/>
      <c r="Y102" s="394"/>
      <c r="Z102" s="394"/>
      <c r="AA102" s="394"/>
      <c r="AB102" s="394"/>
      <c r="AC102" s="391"/>
      <c r="AD102" s="392"/>
      <c r="AE102" s="392"/>
      <c r="AF102" s="392"/>
      <c r="AG102" s="392"/>
      <c r="AH102" s="392"/>
      <c r="AI102" s="392"/>
      <c r="AJ102" s="392"/>
      <c r="AK102" s="392"/>
      <c r="AL102" s="392"/>
      <c r="AM102" s="392"/>
      <c r="AN102" s="392"/>
      <c r="AO102" s="392"/>
      <c r="AP102" s="392"/>
      <c r="AQ102" s="392"/>
      <c r="AR102" s="392"/>
      <c r="AS102" s="392"/>
      <c r="AT102" s="392"/>
      <c r="AU102" s="392"/>
      <c r="AV102" s="392"/>
      <c r="AW102" s="392"/>
      <c r="AX102" s="392"/>
      <c r="AY102" s="392"/>
      <c r="AZ102" s="392"/>
      <c r="BA102" s="392"/>
      <c r="BB102" s="392"/>
      <c r="BC102" s="392"/>
      <c r="BD102" s="392"/>
      <c r="BG102" s="393"/>
      <c r="BH102" s="393"/>
      <c r="BI102" s="393"/>
      <c r="BJ102" s="393"/>
      <c r="BK102" s="2187" t="str">
        <f t="shared" si="80"/>
        <v/>
      </c>
      <c r="BL102" s="2186" t="str">
        <f t="shared" ref="BL102:BL115" si="85">" "&amp;IF(K102&gt;0,"",IF(A102&gt;0,VLOOKUP(F102,Memory,2,TRUE)&amp;" GB RAM",""))</f>
        <v xml:space="preserve"> </v>
      </c>
      <c r="BM102" s="393"/>
      <c r="BN102" s="393"/>
      <c r="BO102" s="394"/>
      <c r="BP102" s="394"/>
      <c r="BQ102" s="394"/>
      <c r="BR102" s="394"/>
      <c r="BS102" s="394"/>
      <c r="BT102" s="394"/>
      <c r="BU102" s="392"/>
      <c r="BV102" s="392"/>
      <c r="BW102" s="392"/>
      <c r="BX102" s="392"/>
      <c r="BY102" s="392"/>
      <c r="BZ102" s="392"/>
      <c r="CA102" s="392"/>
      <c r="CB102" s="392"/>
      <c r="CC102" s="392"/>
      <c r="CD102" s="392"/>
      <c r="CE102" s="392"/>
      <c r="CK102" s="1834">
        <v>10000</v>
      </c>
      <c r="DI102" s="392"/>
      <c r="DJ102" s="392"/>
      <c r="DK102" s="392"/>
      <c r="DL102" s="392"/>
      <c r="DM102" s="392"/>
      <c r="DN102" s="392"/>
      <c r="DO102" s="392"/>
      <c r="DQ102" s="392"/>
      <c r="DS102" s="394"/>
      <c r="DT102" s="394"/>
      <c r="DW102" s="392"/>
      <c r="DX102" s="394"/>
      <c r="DY102" s="394"/>
      <c r="EC102" s="392"/>
      <c r="ED102" s="394"/>
      <c r="EH102" s="394"/>
      <c r="EI102" s="392"/>
      <c r="EJ102" s="394"/>
      <c r="EN102" s="394"/>
      <c r="EO102" s="392"/>
      <c r="EP102" s="394"/>
      <c r="ET102" s="394"/>
      <c r="EU102" s="392"/>
      <c r="EV102" s="394"/>
      <c r="EZ102" s="394"/>
      <c r="FA102" s="392"/>
      <c r="FB102" s="394"/>
      <c r="FF102" s="394"/>
      <c r="FG102" s="392"/>
      <c r="FH102" s="394"/>
      <c r="FL102" s="394"/>
      <c r="FM102" s="392"/>
      <c r="FN102" s="394"/>
      <c r="FR102" s="394"/>
      <c r="FS102" s="392"/>
      <c r="FT102" s="394"/>
      <c r="FX102" s="394"/>
      <c r="FY102" s="392"/>
      <c r="FZ102" s="394"/>
      <c r="GD102" s="394"/>
      <c r="GE102" s="392"/>
      <c r="GF102" s="392"/>
      <c r="GG102" s="394"/>
      <c r="GJ102" s="394"/>
      <c r="GK102" s="392"/>
      <c r="GL102" s="392"/>
      <c r="GM102" s="394"/>
      <c r="GO102" s="394"/>
      <c r="GP102" s="394"/>
      <c r="GQ102" s="392"/>
      <c r="GR102" s="392"/>
      <c r="GS102" s="394"/>
      <c r="GT102" s="394"/>
    </row>
    <row r="103" spans="1:209" s="390" customFormat="1" ht="16" hidden="1" outlineLevel="2" x14ac:dyDescent="0.2">
      <c r="A103" s="2952">
        <f t="shared" si="81"/>
        <v>0</v>
      </c>
      <c r="B103" s="3053" t="str">
        <f t="shared" si="82"/>
        <v xml:space="preserve"> </v>
      </c>
      <c r="C103" s="2935" t="str">
        <f t="shared" si="77"/>
        <v/>
      </c>
      <c r="D103" s="2936" t="str">
        <f>K29</f>
        <v>Tier03</v>
      </c>
      <c r="E103" s="2931" t="str">
        <f t="shared" si="78"/>
        <v/>
      </c>
      <c r="F103" s="2932">
        <f>D167</f>
        <v>0</v>
      </c>
      <c r="G103" s="2943">
        <f t="shared" si="83"/>
        <v>0</v>
      </c>
      <c r="H103" s="2944">
        <f t="shared" si="79"/>
        <v>0</v>
      </c>
      <c r="I103" s="2316"/>
      <c r="J103" s="2780" t="str">
        <f t="shared" si="84"/>
        <v xml:space="preserve"> </v>
      </c>
      <c r="K103" s="3163">
        <f>AF31</f>
        <v>0</v>
      </c>
      <c r="Q103" s="393"/>
      <c r="S103" s="394"/>
      <c r="T103" s="393"/>
      <c r="U103" s="393"/>
      <c r="V103" s="394"/>
      <c r="W103" s="394"/>
      <c r="X103" s="394"/>
      <c r="Y103" s="394"/>
      <c r="Z103" s="394"/>
      <c r="AA103" s="394"/>
      <c r="AB103" s="394"/>
      <c r="AC103" s="391"/>
      <c r="AD103" s="392"/>
      <c r="AE103" s="392"/>
      <c r="AF103" s="392"/>
      <c r="AG103" s="392"/>
      <c r="AH103" s="392"/>
      <c r="AI103" s="392"/>
      <c r="AJ103" s="392"/>
      <c r="AK103" s="392"/>
      <c r="AL103" s="392"/>
      <c r="AM103" s="392"/>
      <c r="AN103" s="392"/>
      <c r="AO103" s="392"/>
      <c r="AP103" s="392"/>
      <c r="AQ103" s="392"/>
      <c r="AR103" s="392"/>
      <c r="AS103" s="392"/>
      <c r="AT103" s="392"/>
      <c r="AU103" s="392"/>
      <c r="AV103" s="392"/>
      <c r="AW103" s="392"/>
      <c r="AX103" s="392"/>
      <c r="AY103" s="392"/>
      <c r="AZ103" s="392"/>
      <c r="BA103" s="392"/>
      <c r="BB103" s="392"/>
      <c r="BC103" s="392"/>
      <c r="BD103" s="392"/>
      <c r="BG103" s="393"/>
      <c r="BH103" s="393"/>
      <c r="BI103" s="393"/>
      <c r="BJ103" s="393"/>
      <c r="BK103" s="2187" t="str">
        <f t="shared" si="80"/>
        <v/>
      </c>
      <c r="BL103" s="2186" t="str">
        <f t="shared" si="85"/>
        <v xml:space="preserve"> </v>
      </c>
      <c r="BM103" s="393"/>
      <c r="BN103" s="393"/>
      <c r="BO103" s="394"/>
      <c r="BP103" s="394"/>
      <c r="BQ103" s="394"/>
      <c r="BR103" s="394"/>
      <c r="BS103" s="394"/>
      <c r="BT103" s="394"/>
      <c r="BU103" s="392"/>
      <c r="BV103" s="392"/>
      <c r="BW103" s="392"/>
      <c r="BX103" s="392"/>
      <c r="BY103" s="392"/>
      <c r="BZ103" s="392"/>
      <c r="CA103" s="392"/>
      <c r="CB103" s="392"/>
      <c r="CC103" s="392"/>
      <c r="CD103" s="392"/>
      <c r="CE103" s="392"/>
      <c r="CK103" s="1835">
        <v>1000</v>
      </c>
      <c r="DI103" s="392"/>
      <c r="DJ103" s="392"/>
      <c r="DK103" s="392"/>
      <c r="DL103" s="392"/>
      <c r="DM103" s="392"/>
      <c r="DN103" s="392"/>
      <c r="DO103" s="392"/>
      <c r="DQ103" s="392"/>
      <c r="DS103" s="394"/>
      <c r="DT103" s="394"/>
      <c r="DW103" s="392"/>
      <c r="DX103" s="394"/>
      <c r="DY103" s="394"/>
      <c r="EC103" s="392"/>
      <c r="ED103" s="394"/>
      <c r="EH103" s="394"/>
      <c r="EI103" s="392"/>
      <c r="EJ103" s="394"/>
      <c r="EN103" s="394"/>
      <c r="EO103" s="392"/>
      <c r="EP103" s="394"/>
      <c r="ET103" s="394"/>
      <c r="EU103" s="392"/>
      <c r="EV103" s="394"/>
      <c r="EZ103" s="394"/>
      <c r="FA103" s="392"/>
      <c r="FB103" s="394"/>
      <c r="FF103" s="394"/>
      <c r="FG103" s="392"/>
      <c r="FH103" s="394"/>
      <c r="FL103" s="394"/>
      <c r="FM103" s="392"/>
      <c r="FN103" s="394"/>
      <c r="FR103" s="394"/>
      <c r="FS103" s="392"/>
      <c r="FT103" s="394"/>
      <c r="FX103" s="394"/>
      <c r="FY103" s="392"/>
      <c r="FZ103" s="394"/>
      <c r="GD103" s="394"/>
      <c r="GE103" s="392"/>
      <c r="GF103" s="392"/>
      <c r="GG103" s="394"/>
      <c r="GJ103" s="394"/>
      <c r="GK103" s="392"/>
      <c r="GL103" s="392"/>
      <c r="GM103" s="394"/>
      <c r="GO103" s="394"/>
      <c r="GP103" s="394"/>
      <c r="GQ103" s="392"/>
      <c r="GR103" s="392"/>
      <c r="GS103" s="394"/>
      <c r="GT103" s="394"/>
    </row>
    <row r="104" spans="1:209" s="390" customFormat="1" ht="16" hidden="1" outlineLevel="2" x14ac:dyDescent="0.2">
      <c r="A104" s="2952">
        <f t="shared" si="81"/>
        <v>0</v>
      </c>
      <c r="B104" s="3053" t="str">
        <f t="shared" si="82"/>
        <v xml:space="preserve"> </v>
      </c>
      <c r="C104" s="2935" t="str">
        <f t="shared" si="77"/>
        <v/>
      </c>
      <c r="D104" s="2936" t="str">
        <f>K33</f>
        <v>Tier04</v>
      </c>
      <c r="E104" s="2931" t="str">
        <f t="shared" si="78"/>
        <v/>
      </c>
      <c r="F104" s="2932">
        <f>D168</f>
        <v>0</v>
      </c>
      <c r="G104" s="2943">
        <f t="shared" si="83"/>
        <v>0</v>
      </c>
      <c r="H104" s="2944">
        <f t="shared" si="79"/>
        <v>0</v>
      </c>
      <c r="I104" s="2316"/>
      <c r="J104" s="2780" t="str">
        <f t="shared" si="84"/>
        <v xml:space="preserve"> </v>
      </c>
      <c r="K104" s="3163">
        <f>AF35</f>
        <v>0</v>
      </c>
      <c r="Q104" s="393"/>
      <c r="S104" s="394"/>
      <c r="T104" s="393"/>
      <c r="U104" s="393"/>
      <c r="V104" s="394"/>
      <c r="W104" s="394"/>
      <c r="X104" s="394"/>
      <c r="Y104" s="394"/>
      <c r="Z104" s="394"/>
      <c r="AA104" s="394"/>
      <c r="AB104" s="394"/>
      <c r="AC104" s="391"/>
      <c r="AD104" s="392"/>
      <c r="AE104" s="392"/>
      <c r="AF104" s="392"/>
      <c r="AG104" s="392"/>
      <c r="AH104" s="392"/>
      <c r="AI104" s="392"/>
      <c r="AJ104" s="392"/>
      <c r="AK104" s="392"/>
      <c r="AL104" s="392"/>
      <c r="AM104" s="392"/>
      <c r="AN104" s="392"/>
      <c r="AO104" s="392"/>
      <c r="AP104" s="392"/>
      <c r="AQ104" s="392"/>
      <c r="AR104" s="392"/>
      <c r="AS104" s="392"/>
      <c r="AT104" s="392"/>
      <c r="AU104" s="392"/>
      <c r="AV104" s="392"/>
      <c r="AW104" s="392"/>
      <c r="AX104" s="392"/>
      <c r="AY104" s="392"/>
      <c r="AZ104" s="392"/>
      <c r="BA104" s="392"/>
      <c r="BB104" s="392"/>
      <c r="BC104" s="392"/>
      <c r="BD104" s="392"/>
      <c r="BG104" s="393"/>
      <c r="BH104" s="393"/>
      <c r="BI104" s="393"/>
      <c r="BJ104" s="393"/>
      <c r="BK104" s="2187" t="str">
        <f t="shared" si="80"/>
        <v/>
      </c>
      <c r="BL104" s="2186" t="str">
        <f t="shared" si="85"/>
        <v xml:space="preserve"> </v>
      </c>
      <c r="BM104" s="393"/>
      <c r="BN104" s="393"/>
      <c r="BO104" s="394"/>
      <c r="BP104" s="394"/>
      <c r="BQ104" s="394"/>
      <c r="BR104" s="394"/>
      <c r="BS104" s="394"/>
      <c r="BT104" s="394"/>
      <c r="BU104" s="392"/>
      <c r="BV104" s="392"/>
      <c r="BW104" s="392"/>
      <c r="BX104" s="392"/>
      <c r="BY104" s="392"/>
      <c r="BZ104" s="392"/>
      <c r="CA104" s="392"/>
      <c r="CB104" s="392"/>
      <c r="CC104" s="392"/>
      <c r="CD104" s="392"/>
      <c r="CE104" s="392"/>
      <c r="CK104" s="1835">
        <v>100</v>
      </c>
      <c r="DI104" s="392"/>
      <c r="DJ104" s="392"/>
      <c r="DK104" s="392"/>
      <c r="DL104" s="392"/>
      <c r="DM104" s="392"/>
      <c r="DN104" s="392"/>
      <c r="DO104" s="392"/>
      <c r="DQ104" s="392"/>
      <c r="DS104" s="394"/>
      <c r="DT104" s="394"/>
      <c r="DW104" s="392"/>
      <c r="DX104" s="394"/>
      <c r="DY104" s="394"/>
      <c r="EC104" s="392"/>
      <c r="ED104" s="394"/>
      <c r="EH104" s="394"/>
      <c r="EI104" s="392"/>
      <c r="EJ104" s="394"/>
      <c r="EN104" s="394"/>
      <c r="EO104" s="392"/>
      <c r="EP104" s="394"/>
      <c r="ET104" s="394"/>
      <c r="EU104" s="392"/>
      <c r="EV104" s="394"/>
      <c r="EZ104" s="394"/>
      <c r="FA104" s="392"/>
      <c r="FB104" s="394"/>
      <c r="FF104" s="394"/>
      <c r="FG104" s="392"/>
      <c r="FH104" s="394"/>
      <c r="FL104" s="394"/>
      <c r="FM104" s="392"/>
      <c r="FN104" s="394"/>
      <c r="FR104" s="394"/>
      <c r="FS104" s="392"/>
      <c r="FT104" s="394"/>
      <c r="FX104" s="394"/>
      <c r="FY104" s="392"/>
      <c r="FZ104" s="394"/>
      <c r="GD104" s="394"/>
      <c r="GE104" s="392"/>
      <c r="GF104" s="392"/>
      <c r="GG104" s="394"/>
      <c r="GJ104" s="394"/>
      <c r="GK104" s="392"/>
      <c r="GL104" s="392"/>
      <c r="GM104" s="394"/>
      <c r="GO104" s="394"/>
      <c r="GP104" s="394"/>
      <c r="GQ104" s="392"/>
      <c r="GR104" s="392"/>
      <c r="GS104" s="394"/>
      <c r="GT104" s="394"/>
    </row>
    <row r="105" spans="1:209" s="390" customFormat="1" ht="16" hidden="1" outlineLevel="2" x14ac:dyDescent="0.2">
      <c r="A105" s="2952">
        <f t="shared" si="81"/>
        <v>0</v>
      </c>
      <c r="B105" s="3053" t="str">
        <f t="shared" si="82"/>
        <v xml:space="preserve"> </v>
      </c>
      <c r="C105" s="2935" t="str">
        <f t="shared" si="77"/>
        <v/>
      </c>
      <c r="D105" s="2936" t="str">
        <f>K37</f>
        <v>Tier05</v>
      </c>
      <c r="E105" s="2931" t="str">
        <f t="shared" si="78"/>
        <v/>
      </c>
      <c r="F105" s="2932">
        <f>D169</f>
        <v>0</v>
      </c>
      <c r="G105" s="2943">
        <f t="shared" si="83"/>
        <v>0</v>
      </c>
      <c r="H105" s="2944">
        <f t="shared" si="79"/>
        <v>0</v>
      </c>
      <c r="I105" s="2316"/>
      <c r="J105" s="2780" t="str">
        <f t="shared" si="84"/>
        <v xml:space="preserve"> </v>
      </c>
      <c r="K105" s="3163">
        <f>AF39</f>
        <v>0</v>
      </c>
      <c r="Q105" s="393"/>
      <c r="S105" s="394"/>
      <c r="T105" s="393"/>
      <c r="U105" s="393"/>
      <c r="V105" s="394"/>
      <c r="W105" s="394"/>
      <c r="X105" s="394"/>
      <c r="Y105" s="394"/>
      <c r="Z105" s="394"/>
      <c r="AA105" s="394"/>
      <c r="AB105" s="394"/>
      <c r="AC105" s="391"/>
      <c r="AD105" s="392"/>
      <c r="AE105" s="392"/>
      <c r="AF105" s="392"/>
      <c r="AG105" s="392"/>
      <c r="AH105" s="392"/>
      <c r="AI105" s="392"/>
      <c r="AJ105" s="392"/>
      <c r="AK105" s="392"/>
      <c r="AL105" s="392"/>
      <c r="AM105" s="392"/>
      <c r="AN105" s="392"/>
      <c r="AO105" s="392"/>
      <c r="AP105" s="392"/>
      <c r="AQ105" s="392"/>
      <c r="AR105" s="392"/>
      <c r="AS105" s="392"/>
      <c r="AT105" s="392"/>
      <c r="AU105" s="392"/>
      <c r="AV105" s="392"/>
      <c r="AW105" s="392"/>
      <c r="AX105" s="392"/>
      <c r="AY105" s="392"/>
      <c r="AZ105" s="392"/>
      <c r="BA105" s="392"/>
      <c r="BB105" s="392"/>
      <c r="BC105" s="392"/>
      <c r="BD105" s="392"/>
      <c r="BG105" s="393"/>
      <c r="BH105" s="393"/>
      <c r="BI105" s="393"/>
      <c r="BJ105" s="393"/>
      <c r="BK105" s="2187" t="str">
        <f t="shared" si="80"/>
        <v/>
      </c>
      <c r="BL105" s="2186" t="str">
        <f t="shared" si="85"/>
        <v xml:space="preserve"> </v>
      </c>
      <c r="BM105" s="393"/>
      <c r="BN105" s="393"/>
      <c r="BO105" s="394"/>
      <c r="BP105" s="394"/>
      <c r="BQ105" s="394"/>
      <c r="BR105" s="394"/>
      <c r="BS105" s="394"/>
      <c r="BT105" s="394"/>
      <c r="BU105" s="392"/>
      <c r="BV105" s="392"/>
      <c r="BW105" s="392"/>
      <c r="BX105" s="392"/>
      <c r="BY105" s="392"/>
      <c r="BZ105" s="392"/>
      <c r="CA105" s="392"/>
      <c r="CB105" s="392"/>
      <c r="CC105" s="392"/>
      <c r="CD105" s="392"/>
      <c r="CE105" s="392"/>
      <c r="CK105" s="1836">
        <v>10</v>
      </c>
      <c r="DI105" s="392"/>
      <c r="DJ105" s="392"/>
      <c r="DK105" s="392"/>
      <c r="DL105" s="392"/>
      <c r="DM105" s="392"/>
      <c r="DN105" s="392"/>
      <c r="DO105" s="392"/>
      <c r="DQ105" s="392"/>
      <c r="DS105" s="394"/>
      <c r="DT105" s="394"/>
      <c r="DW105" s="392"/>
      <c r="DX105" s="394"/>
      <c r="DY105" s="394"/>
      <c r="EC105" s="392"/>
      <c r="ED105" s="394"/>
      <c r="EH105" s="394"/>
      <c r="EI105" s="392"/>
      <c r="EJ105" s="394"/>
      <c r="EN105" s="394"/>
      <c r="EO105" s="392"/>
      <c r="EP105" s="394"/>
      <c r="ET105" s="394"/>
      <c r="EU105" s="392"/>
      <c r="EV105" s="394"/>
      <c r="EZ105" s="394"/>
      <c r="FA105" s="392"/>
      <c r="FB105" s="394"/>
      <c r="FF105" s="394"/>
      <c r="FG105" s="392"/>
      <c r="FH105" s="394"/>
      <c r="FL105" s="394"/>
      <c r="FM105" s="392"/>
      <c r="FN105" s="394"/>
      <c r="FR105" s="394"/>
      <c r="FS105" s="392"/>
      <c r="FT105" s="394"/>
      <c r="FX105" s="394"/>
      <c r="FY105" s="392"/>
      <c r="FZ105" s="394"/>
      <c r="GD105" s="394"/>
      <c r="GE105" s="392"/>
      <c r="GF105" s="392"/>
      <c r="GG105" s="394"/>
      <c r="GJ105" s="394"/>
      <c r="GK105" s="392"/>
      <c r="GL105" s="392"/>
      <c r="GM105" s="394"/>
      <c r="GO105" s="394"/>
      <c r="GP105" s="394"/>
      <c r="GQ105" s="392"/>
      <c r="GR105" s="392"/>
      <c r="GS105" s="394"/>
      <c r="GT105" s="394"/>
    </row>
    <row r="106" spans="1:209" s="390" customFormat="1" ht="16" hidden="1" outlineLevel="2" x14ac:dyDescent="0.2">
      <c r="A106" s="2952">
        <f t="shared" si="81"/>
        <v>0</v>
      </c>
      <c r="B106" s="3053" t="str">
        <f t="shared" si="82"/>
        <v xml:space="preserve"> </v>
      </c>
      <c r="C106" s="2935" t="str">
        <f t="shared" si="77"/>
        <v/>
      </c>
      <c r="D106" s="2936" t="str">
        <f>K42</f>
        <v>Tier06</v>
      </c>
      <c r="E106" s="2931" t="str">
        <f t="shared" si="78"/>
        <v/>
      </c>
      <c r="F106" s="2932">
        <f t="shared" ref="F106:F115" si="86">D170</f>
        <v>0</v>
      </c>
      <c r="G106" s="2943">
        <f t="shared" si="83"/>
        <v>0</v>
      </c>
      <c r="H106" s="2944">
        <f t="shared" si="79"/>
        <v>0</v>
      </c>
      <c r="I106" s="2316"/>
      <c r="J106" s="2780" t="str">
        <f t="shared" si="84"/>
        <v xml:space="preserve"> </v>
      </c>
      <c r="K106" s="3163">
        <f>AF44</f>
        <v>0</v>
      </c>
      <c r="Q106" s="393"/>
      <c r="S106" s="394"/>
      <c r="T106" s="393"/>
      <c r="U106" s="393"/>
      <c r="V106" s="394"/>
      <c r="W106" s="394"/>
      <c r="X106" s="394"/>
      <c r="Y106" s="394"/>
      <c r="Z106" s="394"/>
      <c r="AA106" s="394"/>
      <c r="AB106" s="394"/>
      <c r="AC106" s="391"/>
      <c r="AD106" s="392"/>
      <c r="AE106" s="392"/>
      <c r="AF106" s="392"/>
      <c r="AG106" s="392"/>
      <c r="AH106" s="392"/>
      <c r="AI106" s="392"/>
      <c r="AJ106" s="392"/>
      <c r="AK106" s="392"/>
      <c r="AL106" s="392"/>
      <c r="AM106" s="392"/>
      <c r="AN106" s="392"/>
      <c r="AO106" s="392"/>
      <c r="AP106" s="392"/>
      <c r="AQ106" s="392"/>
      <c r="AR106" s="392"/>
      <c r="AS106" s="392"/>
      <c r="AT106" s="392"/>
      <c r="AU106" s="392"/>
      <c r="AV106" s="392"/>
      <c r="AW106" s="392"/>
      <c r="AX106" s="392"/>
      <c r="AY106" s="392"/>
      <c r="AZ106" s="392"/>
      <c r="BA106" s="392"/>
      <c r="BB106" s="392"/>
      <c r="BC106" s="392"/>
      <c r="BD106" s="392"/>
      <c r="BG106" s="393"/>
      <c r="BH106" s="393"/>
      <c r="BI106" s="393"/>
      <c r="BJ106" s="393"/>
      <c r="BK106" s="2187" t="str">
        <f t="shared" si="80"/>
        <v/>
      </c>
      <c r="BL106" s="2186" t="str">
        <f t="shared" si="85"/>
        <v xml:space="preserve"> </v>
      </c>
      <c r="BM106" s="393"/>
      <c r="BN106" s="393"/>
      <c r="BO106" s="394"/>
      <c r="BP106" s="394"/>
      <c r="BQ106" s="394"/>
      <c r="BR106" s="394"/>
      <c r="BS106" s="394"/>
      <c r="BT106" s="394"/>
      <c r="BU106" s="392"/>
      <c r="BV106" s="392"/>
      <c r="BW106" s="392"/>
      <c r="BX106" s="392"/>
      <c r="BY106" s="392"/>
      <c r="BZ106" s="392"/>
      <c r="CA106" s="392"/>
      <c r="CB106" s="392"/>
      <c r="CC106" s="392"/>
      <c r="CD106" s="392"/>
      <c r="CE106" s="392"/>
      <c r="DI106" s="392"/>
      <c r="DJ106" s="392"/>
      <c r="DK106" s="392"/>
      <c r="DL106" s="392"/>
      <c r="DM106" s="392"/>
      <c r="DN106" s="392"/>
      <c r="DO106" s="392"/>
      <c r="DQ106" s="392"/>
      <c r="DS106" s="394"/>
      <c r="DT106" s="394"/>
      <c r="DW106" s="392"/>
      <c r="DX106" s="394"/>
      <c r="DY106" s="394"/>
      <c r="EC106" s="392"/>
      <c r="ED106" s="394"/>
      <c r="EH106" s="394"/>
      <c r="EI106" s="392"/>
      <c r="EJ106" s="394"/>
      <c r="EN106" s="394"/>
      <c r="EO106" s="392"/>
      <c r="EP106" s="394"/>
      <c r="ET106" s="394"/>
      <c r="EU106" s="392"/>
      <c r="EV106" s="394"/>
      <c r="EZ106" s="394"/>
      <c r="FA106" s="392"/>
      <c r="FB106" s="394"/>
      <c r="FF106" s="394"/>
      <c r="FG106" s="392"/>
      <c r="FH106" s="394"/>
      <c r="FL106" s="394"/>
      <c r="FM106" s="392"/>
      <c r="FN106" s="394"/>
      <c r="FR106" s="394"/>
      <c r="FS106" s="392"/>
      <c r="FT106" s="394"/>
      <c r="FX106" s="394"/>
      <c r="FY106" s="392"/>
      <c r="FZ106" s="394"/>
      <c r="GD106" s="394"/>
      <c r="GE106" s="392"/>
      <c r="GF106" s="392"/>
      <c r="GG106" s="394"/>
      <c r="GJ106" s="394"/>
      <c r="GK106" s="392"/>
      <c r="GL106" s="392"/>
      <c r="GM106" s="394"/>
      <c r="GO106" s="394"/>
      <c r="GP106" s="394"/>
      <c r="GQ106" s="392"/>
      <c r="GR106" s="392"/>
      <c r="GS106" s="394"/>
      <c r="GT106" s="394"/>
    </row>
    <row r="107" spans="1:209" s="390" customFormat="1" ht="16" hidden="1" outlineLevel="2" x14ac:dyDescent="0.2">
      <c r="A107" s="2952">
        <f t="shared" si="81"/>
        <v>0</v>
      </c>
      <c r="B107" s="3053" t="str">
        <f t="shared" si="82"/>
        <v xml:space="preserve"> </v>
      </c>
      <c r="C107" s="2935" t="str">
        <f t="shared" si="77"/>
        <v/>
      </c>
      <c r="D107" s="2936" t="str">
        <f>K46</f>
        <v>Tier07</v>
      </c>
      <c r="E107" s="2931" t="str">
        <f t="shared" si="78"/>
        <v/>
      </c>
      <c r="F107" s="2932">
        <f t="shared" si="86"/>
        <v>0</v>
      </c>
      <c r="G107" s="2943">
        <f t="shared" si="83"/>
        <v>0</v>
      </c>
      <c r="H107" s="2944">
        <f t="shared" si="79"/>
        <v>0</v>
      </c>
      <c r="I107" s="2316"/>
      <c r="J107" s="2780" t="str">
        <f t="shared" si="84"/>
        <v xml:space="preserve"> </v>
      </c>
      <c r="K107" s="3163">
        <f>AF48</f>
        <v>0</v>
      </c>
      <c r="Q107" s="393"/>
      <c r="S107" s="394"/>
      <c r="T107" s="393"/>
      <c r="U107" s="393"/>
      <c r="V107" s="394"/>
      <c r="W107" s="394"/>
      <c r="X107" s="394"/>
      <c r="Y107" s="394"/>
      <c r="Z107" s="394"/>
      <c r="AA107" s="394"/>
      <c r="AB107" s="394"/>
      <c r="AC107" s="391"/>
      <c r="AD107" s="392"/>
      <c r="AE107" s="392"/>
      <c r="AF107" s="392"/>
      <c r="AG107" s="392"/>
      <c r="AH107" s="392"/>
      <c r="AI107" s="392"/>
      <c r="AJ107" s="392"/>
      <c r="AK107" s="392"/>
      <c r="AL107" s="392"/>
      <c r="AM107" s="392"/>
      <c r="AN107" s="392"/>
      <c r="AO107" s="392"/>
      <c r="AP107" s="392"/>
      <c r="AQ107" s="392"/>
      <c r="AR107" s="392"/>
      <c r="AS107" s="392"/>
      <c r="AT107" s="392"/>
      <c r="AU107" s="392"/>
      <c r="AV107" s="392"/>
      <c r="AW107" s="392"/>
      <c r="AX107" s="392"/>
      <c r="AY107" s="392"/>
      <c r="AZ107" s="392"/>
      <c r="BA107" s="392"/>
      <c r="BB107" s="392"/>
      <c r="BC107" s="392"/>
      <c r="BD107" s="392"/>
      <c r="BG107" s="393"/>
      <c r="BH107" s="393"/>
      <c r="BI107" s="393"/>
      <c r="BJ107" s="393"/>
      <c r="BK107" s="2187" t="str">
        <f t="shared" si="80"/>
        <v/>
      </c>
      <c r="BL107" s="2186" t="str">
        <f t="shared" si="85"/>
        <v xml:space="preserve"> </v>
      </c>
      <c r="BM107" s="393"/>
      <c r="BN107" s="393"/>
      <c r="BO107" s="394"/>
      <c r="BP107" s="394"/>
      <c r="BQ107" s="394"/>
      <c r="BR107" s="394"/>
      <c r="BS107" s="394"/>
      <c r="BT107" s="394"/>
      <c r="BU107" s="392"/>
      <c r="BV107" s="392"/>
      <c r="BW107" s="392"/>
      <c r="BX107" s="392"/>
      <c r="BY107" s="392"/>
      <c r="BZ107" s="392"/>
      <c r="CA107" s="392"/>
      <c r="CB107" s="392"/>
      <c r="CC107" s="392"/>
      <c r="CD107" s="392"/>
      <c r="CE107" s="392"/>
      <c r="DI107" s="392"/>
      <c r="DJ107" s="392"/>
      <c r="DK107" s="392"/>
      <c r="DL107" s="392"/>
      <c r="DM107" s="392"/>
      <c r="DN107" s="392"/>
      <c r="DO107" s="392"/>
      <c r="DQ107" s="392"/>
      <c r="DS107" s="394"/>
      <c r="DT107" s="394"/>
      <c r="DW107" s="392"/>
      <c r="DX107" s="394"/>
      <c r="DY107" s="394"/>
      <c r="EC107" s="392"/>
      <c r="ED107" s="394"/>
      <c r="EH107" s="394"/>
      <c r="EI107" s="392"/>
      <c r="EJ107" s="394"/>
      <c r="EN107" s="394"/>
      <c r="EO107" s="392"/>
      <c r="EP107" s="394"/>
      <c r="ET107" s="394"/>
      <c r="EU107" s="392"/>
      <c r="EV107" s="394"/>
      <c r="EZ107" s="394"/>
      <c r="FA107" s="392"/>
      <c r="FB107" s="394"/>
      <c r="FF107" s="394"/>
      <c r="FG107" s="392"/>
      <c r="FH107" s="394"/>
      <c r="FL107" s="394"/>
      <c r="FM107" s="392"/>
      <c r="FN107" s="394"/>
      <c r="FR107" s="394"/>
      <c r="FS107" s="392"/>
      <c r="FT107" s="394"/>
      <c r="FX107" s="394"/>
      <c r="FY107" s="392"/>
      <c r="FZ107" s="394"/>
      <c r="GD107" s="394"/>
      <c r="GE107" s="392"/>
      <c r="GF107" s="392"/>
      <c r="GG107" s="394"/>
      <c r="GJ107" s="394"/>
      <c r="GK107" s="392"/>
      <c r="GL107" s="392"/>
      <c r="GM107" s="394"/>
      <c r="GO107" s="394"/>
      <c r="GP107" s="394"/>
      <c r="GQ107" s="392"/>
      <c r="GR107" s="392"/>
      <c r="GS107" s="394"/>
      <c r="GT107" s="394"/>
    </row>
    <row r="108" spans="1:209" s="390" customFormat="1" ht="16" hidden="1" outlineLevel="2" x14ac:dyDescent="0.2">
      <c r="A108" s="2952">
        <f t="shared" si="81"/>
        <v>0</v>
      </c>
      <c r="B108" s="3053" t="str">
        <f t="shared" si="82"/>
        <v xml:space="preserve"> </v>
      </c>
      <c r="C108" s="2935" t="str">
        <f t="shared" si="77"/>
        <v/>
      </c>
      <c r="D108" s="2937" t="str">
        <f>K50</f>
        <v>Tier08</v>
      </c>
      <c r="E108" s="2931" t="str">
        <f t="shared" si="78"/>
        <v/>
      </c>
      <c r="F108" s="2932">
        <f t="shared" si="86"/>
        <v>0</v>
      </c>
      <c r="G108" s="2943">
        <f t="shared" si="83"/>
        <v>0</v>
      </c>
      <c r="H108" s="2944">
        <f t="shared" si="79"/>
        <v>0</v>
      </c>
      <c r="I108" s="2316"/>
      <c r="J108" s="2780" t="str">
        <f t="shared" si="84"/>
        <v xml:space="preserve"> </v>
      </c>
      <c r="K108" s="3163">
        <f>AF52</f>
        <v>0</v>
      </c>
      <c r="Q108" s="393"/>
      <c r="S108" s="394"/>
      <c r="T108" s="393"/>
      <c r="U108" s="393"/>
      <c r="V108" s="394"/>
      <c r="W108" s="394"/>
      <c r="X108" s="394"/>
      <c r="Y108" s="394"/>
      <c r="Z108" s="394"/>
      <c r="AA108" s="394"/>
      <c r="AB108" s="394"/>
      <c r="AC108" s="391"/>
      <c r="AD108" s="392"/>
      <c r="AE108" s="392"/>
      <c r="AF108" s="392"/>
      <c r="AG108" s="392"/>
      <c r="AH108" s="392"/>
      <c r="AI108" s="392"/>
      <c r="AJ108" s="392"/>
      <c r="AK108" s="392"/>
      <c r="AL108" s="392"/>
      <c r="AM108" s="392"/>
      <c r="AN108" s="392"/>
      <c r="AO108" s="392"/>
      <c r="AP108" s="392"/>
      <c r="AQ108" s="392"/>
      <c r="AR108" s="392"/>
      <c r="AS108" s="392"/>
      <c r="AT108" s="392"/>
      <c r="AU108" s="392"/>
      <c r="AV108" s="392"/>
      <c r="AW108" s="392"/>
      <c r="AX108" s="392"/>
      <c r="AY108" s="392"/>
      <c r="AZ108" s="392"/>
      <c r="BA108" s="392"/>
      <c r="BB108" s="392"/>
      <c r="BC108" s="392"/>
      <c r="BD108" s="392"/>
      <c r="BG108" s="393"/>
      <c r="BH108" s="393"/>
      <c r="BI108" s="393"/>
      <c r="BJ108" s="393"/>
      <c r="BK108" s="2187" t="str">
        <f t="shared" si="80"/>
        <v/>
      </c>
      <c r="BL108" s="2186" t="str">
        <f t="shared" si="85"/>
        <v xml:space="preserve"> </v>
      </c>
      <c r="BM108" s="393"/>
      <c r="BN108" s="393"/>
      <c r="BO108" s="394"/>
      <c r="BP108" s="394"/>
      <c r="BQ108" s="394"/>
      <c r="BR108" s="394"/>
      <c r="BS108" s="394"/>
      <c r="BT108" s="394"/>
      <c r="BU108" s="392"/>
      <c r="BV108" s="392"/>
      <c r="BW108" s="392"/>
      <c r="BX108" s="392"/>
      <c r="BY108" s="392"/>
      <c r="BZ108" s="392"/>
      <c r="CA108" s="392"/>
      <c r="CB108" s="392"/>
      <c r="CC108" s="392"/>
      <c r="CD108" s="392"/>
      <c r="CE108" s="392"/>
      <c r="DI108" s="392"/>
      <c r="DJ108" s="392"/>
      <c r="DK108" s="392"/>
      <c r="DL108" s="392"/>
      <c r="DM108" s="392"/>
      <c r="DN108" s="392"/>
      <c r="DO108" s="392"/>
      <c r="DQ108" s="392"/>
      <c r="DS108" s="394"/>
      <c r="DT108" s="394"/>
      <c r="DW108" s="392"/>
      <c r="DX108" s="394"/>
      <c r="DY108" s="394"/>
      <c r="EC108" s="392"/>
      <c r="ED108" s="394"/>
      <c r="EH108" s="394"/>
      <c r="EI108" s="392"/>
      <c r="EJ108" s="394"/>
      <c r="EN108" s="394"/>
      <c r="EO108" s="392"/>
      <c r="EP108" s="394"/>
      <c r="ET108" s="394"/>
      <c r="EU108" s="392"/>
      <c r="EV108" s="394"/>
      <c r="EZ108" s="394"/>
      <c r="FA108" s="392"/>
      <c r="FB108" s="394"/>
      <c r="FF108" s="394"/>
      <c r="FG108" s="392"/>
      <c r="FH108" s="394"/>
      <c r="FL108" s="394"/>
      <c r="FM108" s="392"/>
      <c r="FN108" s="394"/>
      <c r="FR108" s="394"/>
      <c r="FS108" s="392"/>
      <c r="FT108" s="394"/>
      <c r="FX108" s="394"/>
      <c r="FY108" s="392"/>
      <c r="FZ108" s="394"/>
      <c r="GD108" s="394"/>
      <c r="GE108" s="392"/>
      <c r="GF108" s="392"/>
      <c r="GG108" s="394"/>
      <c r="GJ108" s="394"/>
      <c r="GK108" s="392"/>
      <c r="GL108" s="392"/>
      <c r="GM108" s="394"/>
      <c r="GO108" s="394"/>
      <c r="GP108" s="394"/>
      <c r="GQ108" s="392"/>
      <c r="GR108" s="392"/>
      <c r="GS108" s="394"/>
      <c r="GT108" s="394"/>
    </row>
    <row r="109" spans="1:209" s="390" customFormat="1" ht="16" hidden="1" outlineLevel="2" x14ac:dyDescent="0.2">
      <c r="A109" s="2952">
        <f t="shared" si="81"/>
        <v>0</v>
      </c>
      <c r="B109" s="3053" t="str">
        <f t="shared" si="82"/>
        <v xml:space="preserve"> </v>
      </c>
      <c r="C109" s="2935" t="str">
        <f t="shared" si="77"/>
        <v/>
      </c>
      <c r="D109" s="2936" t="str">
        <f>K54</f>
        <v>Tier09</v>
      </c>
      <c r="E109" s="2931" t="str">
        <f t="shared" si="78"/>
        <v/>
      </c>
      <c r="F109" s="2932">
        <f t="shared" si="86"/>
        <v>0</v>
      </c>
      <c r="G109" s="2943">
        <f t="shared" si="83"/>
        <v>0</v>
      </c>
      <c r="H109" s="2944">
        <f t="shared" si="79"/>
        <v>0</v>
      </c>
      <c r="I109" s="2316"/>
      <c r="J109" s="2780" t="str">
        <f t="shared" si="84"/>
        <v xml:space="preserve"> </v>
      </c>
      <c r="K109" s="3163">
        <f>AF56</f>
        <v>0</v>
      </c>
      <c r="Q109" s="393"/>
      <c r="S109" s="394"/>
      <c r="T109" s="393"/>
      <c r="U109" s="393"/>
      <c r="V109" s="394"/>
      <c r="W109" s="394"/>
      <c r="X109" s="394"/>
      <c r="Y109" s="394"/>
      <c r="Z109" s="394"/>
      <c r="AA109" s="394"/>
      <c r="AB109" s="394"/>
      <c r="AC109" s="391"/>
      <c r="AD109" s="392"/>
      <c r="AE109" s="392"/>
      <c r="AF109" s="392"/>
      <c r="AG109" s="392"/>
      <c r="AH109" s="392"/>
      <c r="AI109" s="392"/>
      <c r="AJ109" s="392"/>
      <c r="AK109" s="392"/>
      <c r="AL109" s="392"/>
      <c r="AM109" s="392"/>
      <c r="AN109" s="392"/>
      <c r="AO109" s="392"/>
      <c r="AP109" s="392"/>
      <c r="AQ109" s="392"/>
      <c r="AR109" s="392"/>
      <c r="AS109" s="392"/>
      <c r="AT109" s="392"/>
      <c r="AU109" s="392"/>
      <c r="AV109" s="392"/>
      <c r="AW109" s="392"/>
      <c r="AX109" s="392"/>
      <c r="AY109" s="392"/>
      <c r="AZ109" s="392"/>
      <c r="BA109" s="392"/>
      <c r="BB109" s="392"/>
      <c r="BC109" s="392"/>
      <c r="BD109" s="392"/>
      <c r="BG109" s="393"/>
      <c r="BH109" s="393"/>
      <c r="BI109" s="393"/>
      <c r="BJ109" s="393"/>
      <c r="BK109" s="2187" t="str">
        <f t="shared" si="80"/>
        <v/>
      </c>
      <c r="BL109" s="2186" t="str">
        <f t="shared" si="85"/>
        <v xml:space="preserve"> </v>
      </c>
      <c r="BM109" s="393"/>
      <c r="BN109" s="393"/>
      <c r="BO109" s="394"/>
      <c r="BP109" s="394"/>
      <c r="BQ109" s="394"/>
      <c r="BR109" s="394"/>
      <c r="BS109" s="394"/>
      <c r="BT109" s="394"/>
      <c r="BU109" s="392"/>
      <c r="BV109" s="392"/>
      <c r="BW109" s="392"/>
      <c r="BX109" s="392"/>
      <c r="BY109" s="392"/>
      <c r="BZ109" s="392"/>
      <c r="CA109" s="392"/>
      <c r="CB109" s="392"/>
      <c r="CC109" s="392"/>
      <c r="CD109" s="392"/>
      <c r="CE109" s="392"/>
      <c r="DI109" s="392"/>
      <c r="DJ109" s="392"/>
      <c r="DK109" s="392"/>
      <c r="DL109" s="392"/>
      <c r="DM109" s="392"/>
      <c r="DN109" s="392"/>
      <c r="DO109" s="392"/>
      <c r="DQ109" s="392"/>
      <c r="DS109" s="394"/>
      <c r="DT109" s="394"/>
      <c r="DW109" s="392"/>
      <c r="DX109" s="394"/>
      <c r="DY109" s="394"/>
      <c r="EC109" s="392"/>
      <c r="ED109" s="394"/>
      <c r="EH109" s="394"/>
      <c r="EI109" s="392"/>
      <c r="EJ109" s="394"/>
      <c r="EN109" s="394"/>
      <c r="EO109" s="392"/>
      <c r="EP109" s="394"/>
      <c r="ET109" s="394"/>
      <c r="EU109" s="392"/>
      <c r="EV109" s="394"/>
      <c r="EZ109" s="394"/>
      <c r="FA109" s="392"/>
      <c r="FB109" s="394"/>
      <c r="FF109" s="394"/>
      <c r="FG109" s="392"/>
      <c r="FH109" s="394"/>
      <c r="FL109" s="394"/>
      <c r="FM109" s="392"/>
      <c r="FN109" s="394"/>
      <c r="FR109" s="394"/>
      <c r="FS109" s="392"/>
      <c r="FT109" s="394"/>
      <c r="FX109" s="394"/>
      <c r="FY109" s="392"/>
      <c r="FZ109" s="394"/>
      <c r="GD109" s="394"/>
      <c r="GE109" s="392"/>
      <c r="GF109" s="392"/>
      <c r="GG109" s="394"/>
      <c r="GJ109" s="394"/>
      <c r="GK109" s="392"/>
      <c r="GL109" s="392"/>
      <c r="GM109" s="394"/>
      <c r="GO109" s="394"/>
      <c r="GP109" s="394"/>
      <c r="GQ109" s="392"/>
      <c r="GR109" s="392"/>
      <c r="GS109" s="394"/>
      <c r="GT109" s="394"/>
    </row>
    <row r="110" spans="1:209" s="390" customFormat="1" ht="16" hidden="1" outlineLevel="2" x14ac:dyDescent="0.2">
      <c r="A110" s="2952">
        <f t="shared" si="81"/>
        <v>0</v>
      </c>
      <c r="B110" s="3053" t="str">
        <f t="shared" si="82"/>
        <v xml:space="preserve"> </v>
      </c>
      <c r="C110" s="2935" t="str">
        <f t="shared" si="77"/>
        <v/>
      </c>
      <c r="D110" s="2938" t="str">
        <f>K58</f>
        <v>Tier10</v>
      </c>
      <c r="E110" s="2931" t="str">
        <f t="shared" si="78"/>
        <v/>
      </c>
      <c r="F110" s="2932">
        <f t="shared" si="86"/>
        <v>0</v>
      </c>
      <c r="G110" s="2943">
        <f t="shared" si="83"/>
        <v>0</v>
      </c>
      <c r="H110" s="2944">
        <f t="shared" si="79"/>
        <v>0</v>
      </c>
      <c r="I110" s="2316"/>
      <c r="J110" s="2780" t="str">
        <f t="shared" si="84"/>
        <v xml:space="preserve"> </v>
      </c>
      <c r="K110" s="3163">
        <f>AF60</f>
        <v>0</v>
      </c>
      <c r="Q110" s="393"/>
      <c r="S110" s="394"/>
      <c r="T110" s="393"/>
      <c r="U110" s="393"/>
      <c r="V110" s="394"/>
      <c r="W110" s="394"/>
      <c r="X110" s="394"/>
      <c r="Y110" s="394"/>
      <c r="Z110" s="394"/>
      <c r="AA110" s="394"/>
      <c r="AB110" s="394"/>
      <c r="AC110" s="391"/>
      <c r="AD110" s="392"/>
      <c r="AE110" s="392"/>
      <c r="AF110" s="392"/>
      <c r="AG110" s="392"/>
      <c r="AH110" s="392"/>
      <c r="AI110" s="392"/>
      <c r="AJ110" s="392"/>
      <c r="AK110" s="392"/>
      <c r="AL110" s="392"/>
      <c r="AM110" s="392"/>
      <c r="AN110" s="392"/>
      <c r="AO110" s="392"/>
      <c r="AP110" s="392"/>
      <c r="AQ110" s="392"/>
      <c r="AR110" s="392"/>
      <c r="AS110" s="392"/>
      <c r="AT110" s="392"/>
      <c r="AU110" s="392"/>
      <c r="AV110" s="392"/>
      <c r="AW110" s="392"/>
      <c r="AX110" s="392"/>
      <c r="AY110" s="392"/>
      <c r="AZ110" s="392"/>
      <c r="BA110" s="392"/>
      <c r="BB110" s="392"/>
      <c r="BC110" s="392"/>
      <c r="BD110" s="392"/>
      <c r="BG110" s="393"/>
      <c r="BH110" s="393"/>
      <c r="BI110" s="393"/>
      <c r="BJ110" s="393"/>
      <c r="BK110" s="2187" t="str">
        <f t="shared" si="80"/>
        <v/>
      </c>
      <c r="BL110" s="2186" t="str">
        <f t="shared" si="85"/>
        <v xml:space="preserve"> </v>
      </c>
      <c r="BM110" s="393"/>
      <c r="BN110" s="393"/>
      <c r="BO110" s="394"/>
      <c r="BP110" s="394"/>
      <c r="BQ110" s="394"/>
      <c r="BR110" s="394"/>
      <c r="BS110" s="394"/>
      <c r="BT110" s="394"/>
      <c r="BU110" s="392"/>
      <c r="BV110" s="392"/>
      <c r="BW110" s="392"/>
      <c r="BX110" s="392"/>
      <c r="BY110" s="392"/>
      <c r="BZ110" s="392"/>
      <c r="CA110" s="392"/>
      <c r="CB110" s="392"/>
      <c r="CC110" s="392"/>
      <c r="CD110" s="392"/>
      <c r="CE110" s="392"/>
      <c r="DI110" s="392"/>
      <c r="DJ110" s="392"/>
      <c r="DK110" s="392"/>
      <c r="DL110" s="392"/>
      <c r="DM110" s="392"/>
      <c r="DN110" s="392"/>
      <c r="DO110" s="392"/>
      <c r="DQ110" s="392"/>
      <c r="DS110" s="394"/>
      <c r="DT110" s="394"/>
      <c r="DW110" s="392"/>
      <c r="DX110" s="394"/>
      <c r="DY110" s="394"/>
      <c r="EC110" s="392"/>
      <c r="ED110" s="394"/>
      <c r="EH110" s="394"/>
      <c r="EI110" s="392"/>
      <c r="EJ110" s="394"/>
      <c r="EN110" s="394"/>
      <c r="EO110" s="392"/>
      <c r="EP110" s="394"/>
      <c r="ET110" s="394"/>
      <c r="EU110" s="392"/>
      <c r="EV110" s="394"/>
      <c r="EZ110" s="394"/>
      <c r="FA110" s="392"/>
      <c r="FB110" s="394"/>
      <c r="FF110" s="394"/>
      <c r="FG110" s="392"/>
      <c r="FH110" s="394"/>
      <c r="FL110" s="394"/>
      <c r="FM110" s="392"/>
      <c r="FN110" s="394"/>
      <c r="FR110" s="394"/>
      <c r="FS110" s="392"/>
      <c r="FT110" s="394"/>
      <c r="FX110" s="394"/>
      <c r="FY110" s="392"/>
      <c r="FZ110" s="394"/>
      <c r="GD110" s="394"/>
      <c r="GE110" s="392"/>
      <c r="GF110" s="392"/>
      <c r="GG110" s="394"/>
      <c r="GJ110" s="394"/>
      <c r="GK110" s="392"/>
      <c r="GL110" s="392"/>
      <c r="GM110" s="394"/>
      <c r="GO110" s="394"/>
      <c r="GP110" s="394"/>
      <c r="GQ110" s="392"/>
      <c r="GR110" s="392"/>
      <c r="GS110" s="394"/>
      <c r="GT110" s="394"/>
    </row>
    <row r="111" spans="1:209" s="390" customFormat="1" ht="16" hidden="1" outlineLevel="2" x14ac:dyDescent="0.2">
      <c r="A111" s="2952">
        <f t="shared" si="81"/>
        <v>1</v>
      </c>
      <c r="B111" s="3053" t="str">
        <f>J111</f>
        <v>Xeon Gold 5122 4 core (1 chip) 3600 MHz 96 GB RAM</v>
      </c>
      <c r="C111" s="2935">
        <f>IF(K111,K111,IF(A111&gt;0,A111*VLOOKUP(B111,HWPricing,6,FALSE),""))</f>
        <v>10892.25</v>
      </c>
      <c r="D111" s="2936" t="str">
        <f>K63</f>
        <v>WTS</v>
      </c>
      <c r="E111" s="2931" t="str">
        <f t="shared" si="78"/>
        <v>Xeon Gold 5122 4 core (1 chip) 3600 MHz</v>
      </c>
      <c r="F111" s="2932">
        <f t="shared" si="86"/>
        <v>67</v>
      </c>
      <c r="G111" s="2943">
        <f t="shared" si="83"/>
        <v>4</v>
      </c>
      <c r="H111" s="2944">
        <f t="shared" si="79"/>
        <v>0</v>
      </c>
      <c r="I111" s="2316"/>
      <c r="J111" s="2780" t="str">
        <f t="shared" si="84"/>
        <v>Xeon Gold 5122 4 core (1 chip) 3600 MHz 96 GB RAM</v>
      </c>
      <c r="K111" s="3163">
        <f>AF65</f>
        <v>0</v>
      </c>
      <c r="Q111" s="393"/>
      <c r="S111" s="394"/>
      <c r="T111" s="393"/>
      <c r="U111" s="393"/>
      <c r="V111" s="394"/>
      <c r="W111" s="394"/>
      <c r="X111" s="394"/>
      <c r="Y111" s="394"/>
      <c r="Z111" s="394"/>
      <c r="AA111" s="394"/>
      <c r="AB111" s="394"/>
      <c r="AC111" s="391"/>
      <c r="AD111" s="392"/>
      <c r="AE111" s="392"/>
      <c r="AF111" s="392"/>
      <c r="AG111" s="392"/>
      <c r="AH111" s="392"/>
      <c r="AI111" s="392"/>
      <c r="AJ111" s="392"/>
      <c r="AK111" s="392"/>
      <c r="AL111" s="392"/>
      <c r="AM111" s="392"/>
      <c r="AN111" s="392"/>
      <c r="AO111" s="392"/>
      <c r="AP111" s="392"/>
      <c r="AQ111" s="392"/>
      <c r="AR111" s="392"/>
      <c r="AS111" s="392"/>
      <c r="AT111" s="392"/>
      <c r="AU111" s="392"/>
      <c r="AV111" s="392"/>
      <c r="AW111" s="392"/>
      <c r="AX111" s="392"/>
      <c r="AY111" s="392"/>
      <c r="AZ111" s="392"/>
      <c r="BA111" s="392"/>
      <c r="BB111" s="392"/>
      <c r="BC111" s="392"/>
      <c r="BD111" s="392"/>
      <c r="BG111" s="393"/>
      <c r="BH111" s="393"/>
      <c r="BI111" s="393"/>
      <c r="BJ111" s="393"/>
      <c r="BK111" s="2187" t="str">
        <f>IF(A111&gt;0,C175,"")</f>
        <v>Xeon Gold 5122 4 core (1 chip) 3600 MHz</v>
      </c>
      <c r="BL111" s="2186" t="str">
        <f t="shared" si="85"/>
        <v xml:space="preserve"> 96 GB RAM</v>
      </c>
      <c r="BM111" s="393"/>
      <c r="BN111" s="393"/>
      <c r="BO111" s="394"/>
      <c r="BP111" s="394"/>
      <c r="BQ111" s="394"/>
      <c r="BR111" s="394"/>
      <c r="BS111" s="394"/>
      <c r="BT111" s="394"/>
      <c r="BU111" s="392"/>
      <c r="BV111" s="392"/>
      <c r="BW111" s="392"/>
      <c r="BX111" s="392"/>
      <c r="BY111" s="392"/>
      <c r="BZ111" s="392"/>
      <c r="CA111" s="392"/>
      <c r="CB111" s="392"/>
      <c r="CC111" s="392"/>
      <c r="CD111" s="392"/>
      <c r="CE111" s="392"/>
      <c r="DI111" s="392"/>
      <c r="DJ111" s="392"/>
      <c r="DK111" s="392"/>
      <c r="DL111" s="392"/>
      <c r="DM111" s="392"/>
      <c r="DN111" s="392"/>
      <c r="DO111" s="392"/>
      <c r="DQ111" s="392"/>
      <c r="DS111" s="394"/>
      <c r="DT111" s="394"/>
      <c r="DW111" s="392"/>
      <c r="DX111" s="394"/>
      <c r="DY111" s="394"/>
      <c r="EC111" s="392"/>
      <c r="ED111" s="394"/>
      <c r="EH111" s="394"/>
      <c r="EI111" s="392"/>
      <c r="EJ111" s="394"/>
      <c r="EN111" s="394"/>
      <c r="EO111" s="392"/>
      <c r="EP111" s="394"/>
      <c r="ET111" s="394"/>
      <c r="EU111" s="392"/>
      <c r="EV111" s="394"/>
      <c r="EZ111" s="394"/>
      <c r="FA111" s="392"/>
      <c r="FB111" s="394"/>
      <c r="FF111" s="394"/>
      <c r="FG111" s="392"/>
      <c r="FH111" s="394"/>
      <c r="FL111" s="394"/>
      <c r="FM111" s="392"/>
      <c r="FN111" s="394"/>
      <c r="FR111" s="394"/>
      <c r="FS111" s="392"/>
      <c r="FT111" s="394"/>
      <c r="FX111" s="394"/>
      <c r="FY111" s="392"/>
      <c r="FZ111" s="394"/>
      <c r="GD111" s="394"/>
      <c r="GE111" s="392"/>
      <c r="GF111" s="392"/>
      <c r="GG111" s="394"/>
      <c r="GJ111" s="394"/>
      <c r="GK111" s="392"/>
      <c r="GL111" s="392"/>
      <c r="GM111" s="394"/>
      <c r="GO111" s="394"/>
      <c r="GP111" s="394"/>
      <c r="GQ111" s="392"/>
      <c r="GR111" s="392"/>
      <c r="GS111" s="394"/>
      <c r="GT111" s="394"/>
    </row>
    <row r="112" spans="1:209" s="390" customFormat="1" ht="16" hidden="1" outlineLevel="2" x14ac:dyDescent="0.2">
      <c r="A112" s="2952">
        <f t="shared" si="81"/>
        <v>0</v>
      </c>
      <c r="B112" s="3053" t="str">
        <f t="shared" si="82"/>
        <v xml:space="preserve"> </v>
      </c>
      <c r="C112" s="2935" t="str">
        <f t="shared" si="77"/>
        <v/>
      </c>
      <c r="D112" s="2936" t="str">
        <f>K67</f>
        <v>Tier12</v>
      </c>
      <c r="E112" s="2931" t="str">
        <f t="shared" si="78"/>
        <v/>
      </c>
      <c r="F112" s="2932">
        <f t="shared" si="86"/>
        <v>0</v>
      </c>
      <c r="G112" s="2943">
        <f t="shared" si="83"/>
        <v>0</v>
      </c>
      <c r="H112" s="2944">
        <f t="shared" si="79"/>
        <v>0</v>
      </c>
      <c r="I112" s="2316"/>
      <c r="J112" s="2780" t="str">
        <f t="shared" si="84"/>
        <v xml:space="preserve"> </v>
      </c>
      <c r="K112" s="3163">
        <f>AF69</f>
        <v>0</v>
      </c>
      <c r="Q112" s="393"/>
      <c r="S112" s="394"/>
      <c r="T112" s="393"/>
      <c r="U112" s="393"/>
      <c r="V112" s="394"/>
      <c r="W112" s="394"/>
      <c r="X112" s="394"/>
      <c r="Y112" s="394"/>
      <c r="Z112" s="394"/>
      <c r="AA112" s="394"/>
      <c r="AB112" s="394"/>
      <c r="AC112" s="391"/>
      <c r="AD112" s="392"/>
      <c r="AE112" s="392"/>
      <c r="AF112" s="392"/>
      <c r="AG112" s="392"/>
      <c r="AH112" s="392"/>
      <c r="AI112" s="392"/>
      <c r="AJ112" s="392"/>
      <c r="AK112" s="392"/>
      <c r="AL112" s="392"/>
      <c r="AM112" s="392"/>
      <c r="AN112" s="392"/>
      <c r="AO112" s="392"/>
      <c r="AP112" s="392"/>
      <c r="AQ112" s="392"/>
      <c r="AR112" s="392"/>
      <c r="AS112" s="392"/>
      <c r="AT112" s="392"/>
      <c r="AU112" s="392"/>
      <c r="AV112" s="392"/>
      <c r="AW112" s="392"/>
      <c r="AX112" s="392"/>
      <c r="AY112" s="392"/>
      <c r="AZ112" s="392"/>
      <c r="BA112" s="392"/>
      <c r="BB112" s="392"/>
      <c r="BC112" s="392"/>
      <c r="BD112" s="392"/>
      <c r="BG112" s="393"/>
      <c r="BH112" s="393"/>
      <c r="BI112" s="393"/>
      <c r="BJ112" s="393"/>
      <c r="BK112" s="2187" t="str">
        <f t="shared" si="80"/>
        <v/>
      </c>
      <c r="BL112" s="2186" t="str">
        <f t="shared" si="85"/>
        <v xml:space="preserve"> </v>
      </c>
      <c r="BM112" s="393"/>
      <c r="BN112" s="393"/>
      <c r="BO112" s="394"/>
      <c r="BP112" s="394"/>
      <c r="BQ112" s="394"/>
      <c r="BR112" s="394"/>
      <c r="BS112" s="394"/>
      <c r="BT112" s="394"/>
      <c r="BU112" s="392"/>
      <c r="BV112" s="392"/>
      <c r="BW112" s="392"/>
      <c r="BX112" s="392"/>
      <c r="BY112" s="392"/>
      <c r="BZ112" s="392"/>
      <c r="CA112" s="392"/>
      <c r="CB112" s="392"/>
      <c r="CC112" s="392"/>
      <c r="CD112" s="392"/>
      <c r="CE112" s="392"/>
      <c r="DI112" s="392"/>
      <c r="DJ112" s="392"/>
      <c r="DK112" s="392"/>
      <c r="DL112" s="392"/>
      <c r="DM112" s="392"/>
      <c r="DN112" s="392"/>
      <c r="DO112" s="392"/>
      <c r="DQ112" s="392"/>
      <c r="DS112" s="394"/>
      <c r="DT112" s="394"/>
      <c r="DW112" s="392"/>
      <c r="DX112" s="394"/>
      <c r="DY112" s="394"/>
      <c r="EC112" s="392"/>
      <c r="ED112" s="394"/>
      <c r="EH112" s="394"/>
      <c r="EI112" s="392"/>
      <c r="EJ112" s="394"/>
      <c r="EN112" s="394"/>
      <c r="EO112" s="392"/>
      <c r="EP112" s="394"/>
      <c r="ET112" s="394"/>
      <c r="EU112" s="392"/>
      <c r="EV112" s="394"/>
      <c r="EZ112" s="394"/>
      <c r="FA112" s="392"/>
      <c r="FB112" s="394"/>
      <c r="FF112" s="394"/>
      <c r="FG112" s="392"/>
      <c r="FH112" s="394"/>
      <c r="FL112" s="394"/>
      <c r="FM112" s="392"/>
      <c r="FN112" s="394"/>
      <c r="FR112" s="394"/>
      <c r="FS112" s="392"/>
      <c r="FT112" s="394"/>
      <c r="FX112" s="394"/>
      <c r="FY112" s="392"/>
      <c r="FZ112" s="394"/>
      <c r="GD112" s="394"/>
      <c r="GE112" s="392"/>
      <c r="GF112" s="392"/>
      <c r="GG112" s="394"/>
      <c r="GJ112" s="394"/>
      <c r="GK112" s="392"/>
      <c r="GL112" s="392"/>
      <c r="GM112" s="394"/>
      <c r="GO112" s="394"/>
      <c r="GP112" s="394"/>
      <c r="GQ112" s="392"/>
      <c r="GR112" s="392"/>
      <c r="GS112" s="394"/>
      <c r="GT112" s="394"/>
    </row>
    <row r="113" spans="1:202" s="390" customFormat="1" ht="16" hidden="1" outlineLevel="2" x14ac:dyDescent="0.2">
      <c r="A113" s="2952">
        <f t="shared" si="81"/>
        <v>1</v>
      </c>
      <c r="B113" s="3053" t="str">
        <f t="shared" si="82"/>
        <v>Xeon Gold 5122 4 core (1 chip) 3600 MHz 32 GB RAM</v>
      </c>
      <c r="C113" s="2935">
        <f t="shared" si="77"/>
        <v>9224.75</v>
      </c>
      <c r="D113" s="2936" t="str">
        <f>K71</f>
        <v>Web</v>
      </c>
      <c r="E113" s="2931" t="str">
        <f t="shared" si="78"/>
        <v>Xeon Gold 5122 4 core (1 chip) 3600 MHz</v>
      </c>
      <c r="F113" s="2932">
        <f t="shared" si="86"/>
        <v>16</v>
      </c>
      <c r="G113" s="2943">
        <f t="shared" si="83"/>
        <v>4</v>
      </c>
      <c r="H113" s="2944">
        <f t="shared" si="79"/>
        <v>0</v>
      </c>
      <c r="I113" s="2316"/>
      <c r="J113" s="2780" t="str">
        <f>BK113&amp;BL113</f>
        <v>Xeon Gold 5122 4 core (1 chip) 3600 MHz 32 GB RAM</v>
      </c>
      <c r="K113" s="3163">
        <f>AF73</f>
        <v>0</v>
      </c>
      <c r="Q113" s="393"/>
      <c r="S113" s="394"/>
      <c r="T113" s="393"/>
      <c r="U113" s="393"/>
      <c r="V113" s="394"/>
      <c r="W113" s="394"/>
      <c r="X113" s="394"/>
      <c r="Y113" s="394"/>
      <c r="Z113" s="394"/>
      <c r="AA113" s="394"/>
      <c r="AB113" s="394"/>
      <c r="AC113" s="391"/>
      <c r="AD113" s="392"/>
      <c r="AE113" s="392"/>
      <c r="AF113" s="392"/>
      <c r="AG113" s="392"/>
      <c r="AH113" s="392"/>
      <c r="AI113" s="392"/>
      <c r="AJ113" s="392"/>
      <c r="AK113" s="392"/>
      <c r="AL113" s="392"/>
      <c r="AM113" s="392"/>
      <c r="AN113" s="392"/>
      <c r="AO113" s="392"/>
      <c r="AP113" s="392"/>
      <c r="AQ113" s="392"/>
      <c r="AR113" s="392"/>
      <c r="AS113" s="392"/>
      <c r="AT113" s="392"/>
      <c r="AU113" s="392"/>
      <c r="AV113" s="392"/>
      <c r="AW113" s="392"/>
      <c r="AX113" s="392"/>
      <c r="AY113" s="392"/>
      <c r="AZ113" s="392"/>
      <c r="BA113" s="392"/>
      <c r="BB113" s="392"/>
      <c r="BC113" s="392"/>
      <c r="BD113" s="392"/>
      <c r="BG113" s="393"/>
      <c r="BH113" s="393"/>
      <c r="BI113" s="393"/>
      <c r="BJ113" s="393"/>
      <c r="BK113" s="2187" t="str">
        <f>IF(A113&gt;0,C177,"")</f>
        <v>Xeon Gold 5122 4 core (1 chip) 3600 MHz</v>
      </c>
      <c r="BL113" s="2186" t="str">
        <f t="shared" si="85"/>
        <v xml:space="preserve"> 32 GB RAM</v>
      </c>
      <c r="BM113" s="393"/>
      <c r="BN113" s="393"/>
      <c r="BO113" s="394"/>
      <c r="BP113" s="394"/>
      <c r="BQ113" s="394"/>
      <c r="BR113" s="394"/>
      <c r="BS113" s="394"/>
      <c r="BT113" s="394"/>
      <c r="BU113" s="392"/>
      <c r="BV113" s="392"/>
      <c r="BW113" s="392"/>
      <c r="BX113" s="392"/>
      <c r="BY113" s="392"/>
      <c r="BZ113" s="392"/>
      <c r="CA113" s="392"/>
      <c r="CB113" s="392"/>
      <c r="CC113" s="392"/>
      <c r="CD113" s="392"/>
      <c r="CE113" s="392"/>
      <c r="DI113" s="392"/>
      <c r="DJ113" s="392"/>
      <c r="DK113" s="392"/>
      <c r="DL113" s="392"/>
      <c r="DM113" s="392"/>
      <c r="DN113" s="392"/>
      <c r="DO113" s="392"/>
      <c r="DQ113" s="392"/>
      <c r="DS113" s="394"/>
      <c r="DT113" s="394"/>
      <c r="DW113" s="392"/>
      <c r="DX113" s="394"/>
      <c r="DY113" s="394"/>
      <c r="EC113" s="392"/>
      <c r="ED113" s="394"/>
      <c r="EH113" s="394"/>
      <c r="EI113" s="392"/>
      <c r="EJ113" s="394"/>
      <c r="EN113" s="394"/>
      <c r="EO113" s="392"/>
      <c r="EP113" s="394"/>
      <c r="ET113" s="394"/>
      <c r="EU113" s="392"/>
      <c r="EV113" s="394"/>
      <c r="EZ113" s="394"/>
      <c r="FA113" s="392"/>
      <c r="FB113" s="394"/>
      <c r="FF113" s="394"/>
      <c r="FG113" s="392"/>
      <c r="FH113" s="394"/>
      <c r="FL113" s="394"/>
      <c r="FM113" s="392"/>
      <c r="FN113" s="394"/>
      <c r="FR113" s="394"/>
      <c r="FS113" s="392"/>
      <c r="FT113" s="394"/>
      <c r="FX113" s="394"/>
      <c r="FY113" s="392"/>
      <c r="FZ113" s="394"/>
      <c r="GD113" s="394"/>
      <c r="GE113" s="392"/>
      <c r="GF113" s="392"/>
      <c r="GG113" s="394"/>
      <c r="GJ113" s="394"/>
      <c r="GK113" s="392"/>
      <c r="GL113" s="392"/>
      <c r="GM113" s="394"/>
      <c r="GO113" s="394"/>
      <c r="GP113" s="394"/>
      <c r="GQ113" s="392"/>
      <c r="GR113" s="392"/>
      <c r="GS113" s="394"/>
      <c r="GT113" s="394"/>
    </row>
    <row r="114" spans="1:202" s="390" customFormat="1" ht="16" hidden="1" outlineLevel="2" x14ac:dyDescent="0.2">
      <c r="A114" s="2952">
        <f t="shared" si="81"/>
        <v>2</v>
      </c>
      <c r="B114" s="3053" t="str">
        <f t="shared" si="82"/>
        <v>Xeon Gold 5122 4 core (1 chip) 3600 MHz 32 GB RAM</v>
      </c>
      <c r="C114" s="2935">
        <f t="shared" si="77"/>
        <v>18449.5</v>
      </c>
      <c r="D114" s="2936" t="str">
        <f>K75</f>
        <v>GIS</v>
      </c>
      <c r="E114" s="2931" t="str">
        <f t="shared" si="78"/>
        <v>Xeon Gold 5122 4 core (1 chip) 3600 MHz</v>
      </c>
      <c r="F114" s="2932">
        <f t="shared" si="86"/>
        <v>16</v>
      </c>
      <c r="G114" s="2943">
        <f t="shared" si="83"/>
        <v>8</v>
      </c>
      <c r="H114" s="2944">
        <f t="shared" si="79"/>
        <v>0</v>
      </c>
      <c r="I114" s="2316"/>
      <c r="J114" s="2780" t="str">
        <f t="shared" si="84"/>
        <v>Xeon Gold 5122 4 core (1 chip) 3600 MHz 32 GB RAM</v>
      </c>
      <c r="K114" s="3163">
        <f>AF77</f>
        <v>0</v>
      </c>
      <c r="Q114" s="393"/>
      <c r="S114" s="394"/>
      <c r="T114" s="393"/>
      <c r="U114" s="393"/>
      <c r="V114" s="394"/>
      <c r="W114" s="394"/>
      <c r="X114" s="394"/>
      <c r="Y114" s="394"/>
      <c r="Z114" s="394"/>
      <c r="AA114" s="394"/>
      <c r="AB114" s="394"/>
      <c r="AC114" s="391"/>
      <c r="AD114" s="392"/>
      <c r="AE114" s="392"/>
      <c r="AF114" s="392"/>
      <c r="AG114" s="392"/>
      <c r="AH114" s="392"/>
      <c r="AI114" s="392"/>
      <c r="AJ114" s="392"/>
      <c r="AK114" s="392"/>
      <c r="AL114" s="392"/>
      <c r="AM114" s="392"/>
      <c r="AN114" s="392"/>
      <c r="AO114" s="392"/>
      <c r="AP114" s="392"/>
      <c r="AQ114" s="392"/>
      <c r="AR114" s="392"/>
      <c r="AS114" s="392"/>
      <c r="AT114" s="392"/>
      <c r="AU114" s="392"/>
      <c r="AV114" s="392"/>
      <c r="AW114" s="392"/>
      <c r="AX114" s="392"/>
      <c r="AY114" s="392"/>
      <c r="AZ114" s="392"/>
      <c r="BA114" s="392"/>
      <c r="BB114" s="392"/>
      <c r="BC114" s="392"/>
      <c r="BD114" s="392"/>
      <c r="BG114" s="393"/>
      <c r="BH114" s="393"/>
      <c r="BI114" s="393"/>
      <c r="BJ114" s="393"/>
      <c r="BK114" s="2187" t="str">
        <f t="shared" si="80"/>
        <v>Xeon Gold 5122 4 core (1 chip) 3600 MHz</v>
      </c>
      <c r="BL114" s="2186" t="str">
        <f t="shared" si="85"/>
        <v xml:space="preserve"> 32 GB RAM</v>
      </c>
      <c r="BM114" s="393"/>
      <c r="BN114" s="393"/>
      <c r="BO114" s="394"/>
      <c r="BP114" s="394"/>
      <c r="BQ114" s="394"/>
      <c r="BR114" s="394"/>
      <c r="BS114" s="394"/>
      <c r="BT114" s="394"/>
      <c r="BU114" s="392"/>
      <c r="BV114" s="392"/>
      <c r="BW114" s="392"/>
      <c r="BX114" s="392"/>
      <c r="BY114" s="392"/>
      <c r="BZ114" s="392"/>
      <c r="CA114" s="392"/>
      <c r="CB114" s="392"/>
      <c r="CC114" s="392"/>
      <c r="CD114" s="392"/>
      <c r="CE114" s="392"/>
      <c r="DI114" s="392"/>
      <c r="DJ114" s="392"/>
      <c r="DK114" s="392"/>
      <c r="DL114" s="392"/>
      <c r="DM114" s="392"/>
      <c r="DN114" s="392"/>
      <c r="DO114" s="392"/>
      <c r="DQ114" s="392"/>
      <c r="DS114" s="394"/>
      <c r="DT114" s="394"/>
      <c r="DW114" s="392"/>
      <c r="DX114" s="394"/>
      <c r="DY114" s="394"/>
      <c r="EC114" s="392"/>
      <c r="ED114" s="394"/>
      <c r="EH114" s="394"/>
      <c r="EI114" s="392"/>
      <c r="EJ114" s="394"/>
      <c r="EN114" s="394"/>
      <c r="EO114" s="392"/>
      <c r="EP114" s="394"/>
      <c r="ET114" s="394"/>
      <c r="EU114" s="392"/>
      <c r="EV114" s="394"/>
      <c r="EZ114" s="394"/>
      <c r="FA114" s="392"/>
      <c r="FB114" s="394"/>
      <c r="FF114" s="394"/>
      <c r="FG114" s="392"/>
      <c r="FH114" s="394"/>
      <c r="FL114" s="394"/>
      <c r="FM114" s="392"/>
      <c r="FN114" s="394"/>
      <c r="FR114" s="394"/>
      <c r="FS114" s="392"/>
      <c r="FT114" s="394"/>
      <c r="FX114" s="394"/>
      <c r="FY114" s="392"/>
      <c r="FZ114" s="394"/>
      <c r="GD114" s="394"/>
      <c r="GE114" s="392"/>
      <c r="GF114" s="392"/>
      <c r="GG114" s="394"/>
      <c r="GJ114" s="394"/>
      <c r="GK114" s="392"/>
      <c r="GL114" s="392"/>
      <c r="GM114" s="394"/>
      <c r="GO114" s="394"/>
      <c r="GP114" s="394"/>
      <c r="GQ114" s="392"/>
      <c r="GR114" s="392"/>
      <c r="GS114" s="394"/>
      <c r="GT114" s="394"/>
    </row>
    <row r="115" spans="1:202" s="390" customFormat="1" ht="16" hidden="1" outlineLevel="2" x14ac:dyDescent="0.2">
      <c r="A115" s="2952">
        <f t="shared" si="81"/>
        <v>1</v>
      </c>
      <c r="B115" s="2778" t="str">
        <f t="shared" si="82"/>
        <v>Xeon Gold 5122 4 core (1 chip) 3600 MHz 96 GB RAM</v>
      </c>
      <c r="C115" s="2935">
        <f t="shared" si="77"/>
        <v>10892.25</v>
      </c>
      <c r="D115" s="2939" t="str">
        <f>K79</f>
        <v>DBMS</v>
      </c>
      <c r="E115" s="2931" t="str">
        <f>IF(A115&gt;0,VLOOKUP(B115,HWPricing,2,FALSE),"")</f>
        <v>Xeon Gold 5122 4 core (1 chip) 3600 MHz</v>
      </c>
      <c r="F115" s="2932">
        <f t="shared" si="86"/>
        <v>67</v>
      </c>
      <c r="G115" s="2943">
        <f t="shared" si="83"/>
        <v>4</v>
      </c>
      <c r="H115" s="2944">
        <f t="shared" si="79"/>
        <v>0</v>
      </c>
      <c r="I115" s="2316"/>
      <c r="J115" s="2780" t="str">
        <f t="shared" si="84"/>
        <v>Xeon Gold 5122 4 core (1 chip) 3600 MHz 96 GB RAM</v>
      </c>
      <c r="K115" s="3163">
        <f>AF81</f>
        <v>0</v>
      </c>
      <c r="Q115" s="393"/>
      <c r="S115" s="394"/>
      <c r="T115" s="393"/>
      <c r="U115" s="393"/>
      <c r="V115" s="394"/>
      <c r="W115" s="394"/>
      <c r="X115" s="394"/>
      <c r="Y115" s="394"/>
      <c r="Z115" s="394"/>
      <c r="AA115" s="394"/>
      <c r="AB115" s="394"/>
      <c r="AC115" s="391"/>
      <c r="AD115" s="392"/>
      <c r="AE115" s="392"/>
      <c r="AF115" s="392"/>
      <c r="AG115" s="392"/>
      <c r="AH115" s="392"/>
      <c r="AI115" s="392"/>
      <c r="AJ115" s="392"/>
      <c r="AK115" s="392"/>
      <c r="AL115" s="392"/>
      <c r="AM115" s="392"/>
      <c r="AN115" s="392"/>
      <c r="AO115" s="392"/>
      <c r="AP115" s="392"/>
      <c r="AQ115" s="392"/>
      <c r="AR115" s="392"/>
      <c r="AS115" s="392"/>
      <c r="AT115" s="392"/>
      <c r="AU115" s="392"/>
      <c r="AV115" s="392"/>
      <c r="AW115" s="392"/>
      <c r="AX115" s="392"/>
      <c r="AY115" s="392"/>
      <c r="AZ115" s="392"/>
      <c r="BA115" s="392"/>
      <c r="BB115" s="392"/>
      <c r="BC115" s="392"/>
      <c r="BD115" s="392"/>
      <c r="BG115" s="393"/>
      <c r="BH115" s="393"/>
      <c r="BI115" s="393"/>
      <c r="BJ115" s="393"/>
      <c r="BK115" s="2187" t="str">
        <f t="shared" si="80"/>
        <v>Xeon Gold 5122 4 core (1 chip) 3600 MHz</v>
      </c>
      <c r="BL115" s="2186" t="str">
        <f t="shared" si="85"/>
        <v xml:space="preserve"> 96 GB RAM</v>
      </c>
      <c r="BM115" s="393"/>
      <c r="BN115" s="393"/>
      <c r="BO115" s="394"/>
      <c r="BP115" s="394"/>
      <c r="BQ115" s="394"/>
      <c r="BR115" s="394"/>
      <c r="BS115" s="394"/>
      <c r="BT115" s="394"/>
      <c r="BU115" s="392"/>
      <c r="BV115" s="392"/>
      <c r="BW115" s="392"/>
      <c r="BX115" s="392"/>
      <c r="BY115" s="392"/>
      <c r="BZ115" s="392"/>
      <c r="CA115" s="392"/>
      <c r="CB115" s="392"/>
      <c r="CC115" s="392"/>
      <c r="CD115" s="392"/>
      <c r="CE115" s="392"/>
      <c r="DI115" s="392"/>
      <c r="DJ115" s="392"/>
      <c r="DK115" s="392"/>
      <c r="DL115" s="392"/>
      <c r="DM115" s="392"/>
      <c r="DN115" s="392"/>
      <c r="DO115" s="392"/>
      <c r="DQ115" s="392"/>
      <c r="DS115" s="394"/>
      <c r="DT115" s="394"/>
      <c r="DW115" s="392"/>
      <c r="DX115" s="394"/>
      <c r="DY115" s="394"/>
      <c r="EC115" s="392"/>
      <c r="ED115" s="394"/>
      <c r="EH115" s="394"/>
      <c r="EI115" s="392"/>
      <c r="EJ115" s="394"/>
      <c r="EN115" s="394"/>
      <c r="EO115" s="392"/>
      <c r="EP115" s="394"/>
      <c r="ET115" s="394"/>
      <c r="EU115" s="392"/>
      <c r="EV115" s="394"/>
      <c r="EZ115" s="394"/>
      <c r="FA115" s="392"/>
      <c r="FB115" s="394"/>
      <c r="FF115" s="394"/>
      <c r="FG115" s="392"/>
      <c r="FH115" s="394"/>
      <c r="FL115" s="394"/>
      <c r="FM115" s="392"/>
      <c r="FN115" s="394"/>
      <c r="FR115" s="394"/>
      <c r="FS115" s="392"/>
      <c r="FT115" s="394"/>
      <c r="FX115" s="394"/>
      <c r="FY115" s="392"/>
      <c r="FZ115" s="394"/>
      <c r="GD115" s="394"/>
      <c r="GE115" s="392"/>
      <c r="GF115" s="392"/>
      <c r="GG115" s="394"/>
      <c r="GJ115" s="394"/>
      <c r="GK115" s="392"/>
      <c r="GL115" s="392"/>
      <c r="GM115" s="394"/>
      <c r="GO115" s="394"/>
      <c r="GP115" s="394"/>
      <c r="GQ115" s="392"/>
      <c r="GR115" s="392"/>
      <c r="GS115" s="394"/>
      <c r="GT115" s="394"/>
    </row>
    <row r="116" spans="1:202" s="390" customFormat="1" hidden="1" outlineLevel="2" x14ac:dyDescent="0.15">
      <c r="A116" s="2947">
        <f>F180</f>
        <v>0</v>
      </c>
      <c r="B116" s="2948" t="s">
        <v>1466</v>
      </c>
      <c r="C116" s="2312">
        <f>SUM(C101:C115)</f>
        <v>49458.75</v>
      </c>
      <c r="D116" s="2940"/>
      <c r="E116" s="2949"/>
      <c r="F116" s="2950"/>
      <c r="G116" s="2945" t="s">
        <v>1467</v>
      </c>
      <c r="H116" s="2946">
        <f>SUM(H101:H115)</f>
        <v>0</v>
      </c>
      <c r="I116" s="2951"/>
      <c r="J116" s="2781"/>
      <c r="K116" s="3161"/>
      <c r="Q116" s="393"/>
      <c r="S116" s="394"/>
      <c r="T116" s="393"/>
      <c r="U116" s="393"/>
      <c r="V116" s="394"/>
      <c r="W116" s="394"/>
      <c r="X116" s="394"/>
      <c r="Y116" s="394"/>
      <c r="Z116" s="394"/>
      <c r="AA116" s="394"/>
      <c r="AB116" s="394"/>
      <c r="AC116" s="391"/>
      <c r="AD116" s="392"/>
      <c r="AE116" s="392"/>
      <c r="AF116" s="392"/>
      <c r="AG116" s="392"/>
      <c r="AH116" s="392"/>
      <c r="AI116" s="392"/>
      <c r="AJ116" s="392"/>
      <c r="AK116" s="392"/>
      <c r="AL116" s="392"/>
      <c r="AM116" s="392"/>
      <c r="AN116" s="392"/>
      <c r="AO116" s="392"/>
      <c r="AP116" s="392"/>
      <c r="AQ116" s="392"/>
      <c r="AR116" s="392"/>
      <c r="AS116" s="392"/>
      <c r="AT116" s="392"/>
      <c r="AU116" s="392"/>
      <c r="AV116" s="392"/>
      <c r="AW116" s="392"/>
      <c r="AX116" s="392"/>
      <c r="AY116" s="392"/>
      <c r="AZ116" s="392"/>
      <c r="BA116" s="392"/>
      <c r="BB116" s="392"/>
      <c r="BC116" s="392"/>
      <c r="BD116" s="392"/>
      <c r="BG116" s="393"/>
      <c r="BH116" s="393"/>
      <c r="BI116" s="393"/>
      <c r="BJ116" s="393"/>
      <c r="BK116" s="2187" t="str">
        <f t="shared" si="80"/>
        <v/>
      </c>
      <c r="BL116" s="2186"/>
      <c r="BM116" s="393"/>
      <c r="BN116" s="393"/>
      <c r="BO116" s="394"/>
      <c r="BP116" s="394"/>
      <c r="BQ116" s="394"/>
      <c r="BR116" s="394"/>
      <c r="BS116" s="394"/>
      <c r="BT116" s="394"/>
      <c r="BU116" s="392"/>
      <c r="BV116" s="392"/>
      <c r="BW116" s="392"/>
      <c r="BX116" s="392"/>
      <c r="BY116" s="392"/>
      <c r="BZ116" s="392"/>
      <c r="CA116" s="392"/>
      <c r="CB116" s="392"/>
      <c r="CC116" s="392"/>
      <c r="CD116" s="392"/>
      <c r="CE116" s="392"/>
      <c r="DI116" s="392"/>
      <c r="DJ116" s="392"/>
      <c r="DK116" s="392"/>
      <c r="DL116" s="392"/>
      <c r="DM116" s="392"/>
      <c r="DN116" s="392"/>
      <c r="DO116" s="392"/>
      <c r="DQ116" s="392"/>
      <c r="DS116" s="394"/>
      <c r="DT116" s="394"/>
      <c r="DW116" s="392"/>
      <c r="DX116" s="394"/>
      <c r="DY116" s="394"/>
      <c r="EC116" s="392"/>
      <c r="ED116" s="394"/>
      <c r="EH116" s="394"/>
      <c r="EI116" s="392"/>
      <c r="EJ116" s="394"/>
      <c r="EN116" s="394"/>
      <c r="EO116" s="392"/>
      <c r="EP116" s="394"/>
      <c r="ET116" s="394"/>
      <c r="EU116" s="392"/>
      <c r="EV116" s="394"/>
      <c r="EZ116" s="394"/>
      <c r="FA116" s="392"/>
      <c r="FB116" s="394"/>
      <c r="FF116" s="394"/>
      <c r="FG116" s="392"/>
      <c r="FH116" s="394"/>
      <c r="FL116" s="394"/>
      <c r="FM116" s="392"/>
      <c r="FN116" s="394"/>
      <c r="FR116" s="394"/>
      <c r="FS116" s="392"/>
      <c r="FT116" s="394"/>
      <c r="FX116" s="394"/>
      <c r="FY116" s="392"/>
      <c r="FZ116" s="394"/>
      <c r="GD116" s="394"/>
      <c r="GE116" s="392"/>
      <c r="GF116" s="392"/>
      <c r="GG116" s="394"/>
      <c r="GJ116" s="394"/>
      <c r="GK116" s="392"/>
      <c r="GL116" s="392"/>
      <c r="GM116" s="394"/>
      <c r="GO116" s="394"/>
      <c r="GP116" s="394"/>
      <c r="GQ116" s="392"/>
      <c r="GR116" s="392"/>
      <c r="GS116" s="394"/>
      <c r="GT116" s="394"/>
    </row>
    <row r="117" spans="1:202" s="390" customFormat="1" ht="12.75" hidden="1" customHeight="1" outlineLevel="1" collapsed="1" x14ac:dyDescent="0.2">
      <c r="A117" s="2277"/>
      <c r="B117" s="2776"/>
      <c r="C117" s="2777"/>
      <c r="D117" s="2278"/>
      <c r="E117" s="2284"/>
      <c r="F117" s="2285"/>
      <c r="G117" s="2286"/>
      <c r="H117" s="2287"/>
      <c r="I117" s="2287"/>
      <c r="J117" s="2782"/>
      <c r="Q117" s="393"/>
      <c r="S117" s="394"/>
      <c r="T117" s="393"/>
      <c r="U117" s="393"/>
      <c r="V117" s="394"/>
      <c r="W117" s="394"/>
      <c r="X117" s="394"/>
      <c r="Y117" s="394"/>
      <c r="Z117" s="394"/>
      <c r="AA117" s="394"/>
      <c r="AB117" s="394"/>
      <c r="AC117" s="391"/>
      <c r="AD117" s="392"/>
      <c r="AE117" s="392"/>
      <c r="AF117" s="392"/>
      <c r="AG117" s="392"/>
      <c r="AH117" s="392"/>
      <c r="AI117" s="392"/>
      <c r="AJ117" s="392"/>
      <c r="AK117" s="392"/>
      <c r="AL117" s="392"/>
      <c r="AM117" s="392"/>
      <c r="AN117" s="392"/>
      <c r="AO117" s="392"/>
      <c r="AP117" s="392"/>
      <c r="AQ117" s="392"/>
      <c r="AR117" s="392"/>
      <c r="AS117" s="392"/>
      <c r="AT117" s="392"/>
      <c r="AU117" s="392"/>
      <c r="AV117" s="392"/>
      <c r="AW117" s="392"/>
      <c r="AX117" s="392"/>
      <c r="AY117" s="392"/>
      <c r="AZ117" s="392"/>
      <c r="BA117" s="392"/>
      <c r="BB117" s="392"/>
      <c r="BC117" s="392"/>
      <c r="BD117" s="392"/>
      <c r="BG117" s="393"/>
      <c r="BH117" s="393"/>
      <c r="BI117" s="393"/>
      <c r="BJ117" s="393"/>
      <c r="BK117" s="393" t="s">
        <v>1460</v>
      </c>
      <c r="BL117" s="2775"/>
      <c r="BM117" s="393"/>
      <c r="BN117" s="393"/>
      <c r="BO117" s="394"/>
      <c r="BP117" s="394"/>
      <c r="BQ117" s="394"/>
      <c r="BR117" s="394"/>
      <c r="BS117" s="394"/>
      <c r="BT117" s="394"/>
      <c r="BU117" s="392"/>
      <c r="BV117" s="392"/>
      <c r="BW117" s="392"/>
      <c r="BX117" s="392"/>
      <c r="BY117" s="392"/>
      <c r="BZ117" s="392"/>
      <c r="CA117" s="392"/>
      <c r="CB117" s="392"/>
      <c r="CC117" s="392"/>
      <c r="CD117" s="392"/>
      <c r="CE117" s="392"/>
      <c r="DI117" s="392"/>
      <c r="DJ117" s="392"/>
      <c r="DK117" s="392"/>
      <c r="DL117" s="392"/>
      <c r="DM117" s="392"/>
      <c r="DN117" s="392"/>
      <c r="DO117" s="392"/>
      <c r="DQ117" s="392"/>
      <c r="DS117" s="394"/>
      <c r="DT117" s="394"/>
      <c r="DW117" s="392"/>
      <c r="DX117" s="394"/>
      <c r="DY117" s="394"/>
      <c r="EC117" s="392"/>
      <c r="ED117" s="394"/>
      <c r="EH117" s="394"/>
      <c r="EI117" s="392"/>
      <c r="EJ117" s="394"/>
      <c r="EN117" s="394"/>
      <c r="EO117" s="392"/>
      <c r="EP117" s="394"/>
      <c r="ET117" s="394"/>
      <c r="EU117" s="392"/>
      <c r="EV117" s="394"/>
      <c r="EZ117" s="394"/>
      <c r="FA117" s="392"/>
      <c r="FB117" s="394"/>
      <c r="FF117" s="394"/>
      <c r="FG117" s="392"/>
      <c r="FH117" s="394"/>
      <c r="FL117" s="394"/>
      <c r="FM117" s="392"/>
      <c r="FN117" s="394"/>
      <c r="FR117" s="394"/>
      <c r="FS117" s="392"/>
      <c r="FT117" s="394"/>
      <c r="FX117" s="394"/>
      <c r="FY117" s="392"/>
      <c r="FZ117" s="394"/>
      <c r="GD117" s="394"/>
      <c r="GE117" s="392"/>
      <c r="GF117" s="392"/>
      <c r="GG117" s="394"/>
      <c r="GJ117" s="394"/>
      <c r="GK117" s="392"/>
      <c r="GL117" s="392"/>
      <c r="GM117" s="394"/>
      <c r="GO117" s="394"/>
      <c r="GP117" s="394"/>
      <c r="GQ117" s="392"/>
      <c r="GR117" s="392"/>
      <c r="GS117" s="394"/>
      <c r="GT117" s="394"/>
    </row>
    <row r="118" spans="1:202" s="390" customFormat="1" hidden="1" outlineLevel="2" x14ac:dyDescent="0.15">
      <c r="A118" s="2934" t="s">
        <v>1005</v>
      </c>
      <c r="B118" s="2934" t="s">
        <v>1007</v>
      </c>
      <c r="C118" s="2934" t="str">
        <f>C100</f>
        <v>HW Price</v>
      </c>
      <c r="D118" s="2934" t="s">
        <v>737</v>
      </c>
      <c r="E118" s="2929" t="str">
        <f>E100</f>
        <v>Platform Tier Selection</v>
      </c>
      <c r="F118" s="2930" t="str">
        <f>F100</f>
        <v>RAM</v>
      </c>
      <c r="G118" s="2941" t="s">
        <v>313</v>
      </c>
      <c r="H118" s="2934" t="s">
        <v>1016</v>
      </c>
      <c r="I118" s="2942" t="s">
        <v>1014</v>
      </c>
      <c r="J118" s="2781"/>
      <c r="Q118" s="393"/>
      <c r="S118" s="394"/>
      <c r="T118" s="393"/>
      <c r="U118" s="393"/>
      <c r="V118" s="394"/>
      <c r="W118" s="394"/>
      <c r="X118" s="394"/>
      <c r="Y118" s="394"/>
      <c r="Z118" s="394"/>
      <c r="AA118" s="394"/>
      <c r="AB118" s="394"/>
      <c r="AC118" s="391"/>
      <c r="AD118" s="392"/>
      <c r="AE118" s="392"/>
      <c r="AF118" s="392"/>
      <c r="AG118" s="392"/>
      <c r="AH118" s="392"/>
      <c r="AI118" s="392"/>
      <c r="AJ118" s="392"/>
      <c r="AK118" s="392"/>
      <c r="AL118" s="392"/>
      <c r="AM118" s="392"/>
      <c r="AN118" s="392"/>
      <c r="AO118" s="392"/>
      <c r="AP118" s="392"/>
      <c r="AQ118" s="392"/>
      <c r="AR118" s="392"/>
      <c r="AS118" s="392"/>
      <c r="AT118" s="392"/>
      <c r="AU118" s="392"/>
      <c r="AV118" s="392"/>
      <c r="AW118" s="392"/>
      <c r="AX118" s="392"/>
      <c r="AY118" s="392"/>
      <c r="AZ118" s="392"/>
      <c r="BA118" s="392"/>
      <c r="BB118" s="392"/>
      <c r="BC118" s="392"/>
      <c r="BD118" s="392"/>
      <c r="BG118" s="393"/>
      <c r="BH118" s="393"/>
      <c r="BI118" s="393"/>
      <c r="BJ118" s="393"/>
      <c r="BK118" s="393"/>
      <c r="BL118" s="393"/>
      <c r="BM118" s="393"/>
      <c r="BN118" s="393"/>
      <c r="BO118" s="394"/>
      <c r="BP118" s="394"/>
      <c r="BQ118" s="394"/>
      <c r="BR118" s="394"/>
      <c r="BS118" s="394"/>
      <c r="BT118" s="394"/>
      <c r="BU118" s="392"/>
      <c r="BV118" s="392"/>
      <c r="BW118" s="392"/>
      <c r="BX118" s="392"/>
      <c r="BY118" s="392"/>
      <c r="BZ118" s="392"/>
      <c r="CA118" s="392"/>
      <c r="CB118" s="392"/>
      <c r="CC118" s="392"/>
      <c r="CD118" s="392"/>
      <c r="CE118" s="392"/>
      <c r="DI118" s="392"/>
      <c r="DJ118" s="392"/>
      <c r="DK118" s="392"/>
      <c r="DL118" s="392"/>
      <c r="DM118" s="392"/>
      <c r="DN118" s="392"/>
      <c r="DO118" s="392"/>
      <c r="DQ118" s="392"/>
      <c r="DS118" s="394"/>
      <c r="DT118" s="394"/>
      <c r="DW118" s="392"/>
      <c r="DX118" s="394"/>
      <c r="DY118" s="394"/>
      <c r="EC118" s="392"/>
      <c r="ED118" s="394"/>
      <c r="EH118" s="394"/>
      <c r="EI118" s="392"/>
      <c r="EJ118" s="394"/>
      <c r="EN118" s="394"/>
      <c r="EO118" s="392"/>
      <c r="EP118" s="394"/>
      <c r="ET118" s="394"/>
      <c r="EU118" s="392"/>
      <c r="EV118" s="394"/>
      <c r="EZ118" s="394"/>
      <c r="FA118" s="392"/>
      <c r="FB118" s="394"/>
      <c r="FF118" s="394"/>
      <c r="FG118" s="392"/>
      <c r="FH118" s="394"/>
      <c r="FL118" s="394"/>
      <c r="FM118" s="392"/>
      <c r="FN118" s="394"/>
      <c r="FR118" s="394"/>
      <c r="FS118" s="392"/>
      <c r="FT118" s="394"/>
      <c r="FX118" s="394"/>
      <c r="FY118" s="392"/>
      <c r="FZ118" s="394"/>
      <c r="GD118" s="394"/>
      <c r="GE118" s="392"/>
      <c r="GF118" s="392"/>
      <c r="GG118" s="394"/>
      <c r="GJ118" s="394"/>
      <c r="GK118" s="392"/>
      <c r="GL118" s="392"/>
      <c r="GM118" s="394"/>
      <c r="GO118" s="394"/>
      <c r="GP118" s="394"/>
      <c r="GQ118" s="392"/>
      <c r="GR118" s="392"/>
      <c r="GS118" s="394"/>
      <c r="GT118" s="394"/>
    </row>
    <row r="119" spans="1:202" s="390" customFormat="1" ht="16" hidden="1" outlineLevel="2" x14ac:dyDescent="0.2">
      <c r="A119" s="2952">
        <f>F184</f>
        <v>0</v>
      </c>
      <c r="B119" s="3053" t="str">
        <f>J119</f>
        <v/>
      </c>
      <c r="C119" s="2944" t="str">
        <f>IF(A119&gt;0,A119*VLOOKUP(B119,HWPricing,6,FALSE),"")</f>
        <v/>
      </c>
      <c r="D119" s="2936" t="str">
        <f>M86</f>
        <v>Host01</v>
      </c>
      <c r="E119" s="2931" t="str">
        <f>IF(A119&gt;0,VLOOKUP(B119,HWPricing,2,FALSE),"")</f>
        <v/>
      </c>
      <c r="F119" s="2933">
        <f t="shared" ref="F119:G123" si="87">D184</f>
        <v>0</v>
      </c>
      <c r="G119" s="2953">
        <f t="shared" si="87"/>
        <v>0</v>
      </c>
      <c r="H119" s="2944">
        <f>G119*I119</f>
        <v>0</v>
      </c>
      <c r="I119" s="2316"/>
      <c r="J119" s="2780" t="str">
        <f>BK119&amp;BL119</f>
        <v/>
      </c>
      <c r="Q119" s="393"/>
      <c r="S119" s="394"/>
      <c r="T119" s="393"/>
      <c r="U119" s="393"/>
      <c r="V119" s="394"/>
      <c r="W119" s="394"/>
      <c r="X119" s="394"/>
      <c r="Y119" s="394"/>
      <c r="Z119" s="394"/>
      <c r="AA119" s="394"/>
      <c r="AB119" s="394"/>
      <c r="AC119" s="391"/>
      <c r="AD119" s="392"/>
      <c r="AE119" s="392"/>
      <c r="AF119" s="392"/>
      <c r="AG119" s="392"/>
      <c r="AH119" s="392"/>
      <c r="AI119" s="392"/>
      <c r="AJ119" s="392"/>
      <c r="AK119" s="392"/>
      <c r="AL119" s="392"/>
      <c r="AM119" s="392"/>
      <c r="AN119" s="392"/>
      <c r="AO119" s="392"/>
      <c r="AP119" s="392"/>
      <c r="AQ119" s="392"/>
      <c r="AR119" s="392"/>
      <c r="AS119" s="392"/>
      <c r="AT119" s="392"/>
      <c r="AU119" s="392"/>
      <c r="AV119" s="392"/>
      <c r="AW119" s="392"/>
      <c r="AX119" s="392"/>
      <c r="AY119" s="392"/>
      <c r="AZ119" s="392"/>
      <c r="BA119" s="392"/>
      <c r="BB119" s="392"/>
      <c r="BC119" s="392"/>
      <c r="BD119" s="392"/>
      <c r="BG119" s="393"/>
      <c r="BH119" s="393"/>
      <c r="BI119" s="393"/>
      <c r="BJ119" s="393"/>
      <c r="BK119" s="2187" t="str">
        <f>IF(A119&gt;0,C184,"")</f>
        <v/>
      </c>
      <c r="BL119" s="2186" t="str">
        <f t="shared" ref="BL119:BL123" si="88">IF(A119&gt;0," "&amp;VLOOKUP(F119,Memory,2,TRUE)&amp;" GB RAM","")</f>
        <v/>
      </c>
      <c r="BM119" s="393"/>
      <c r="BN119" s="393"/>
      <c r="BO119" s="394"/>
      <c r="BP119" s="394"/>
      <c r="BQ119" s="394"/>
      <c r="BR119" s="394"/>
      <c r="BS119" s="394"/>
      <c r="BT119" s="394"/>
      <c r="BU119" s="392"/>
      <c r="BV119" s="392"/>
      <c r="BW119" s="392"/>
      <c r="BX119" s="392"/>
      <c r="BY119" s="392"/>
      <c r="BZ119" s="392"/>
      <c r="CA119" s="392"/>
      <c r="CB119" s="392"/>
      <c r="CC119" s="392"/>
      <c r="CD119" s="392"/>
      <c r="CE119" s="392"/>
      <c r="DI119" s="392"/>
      <c r="DJ119" s="392"/>
      <c r="DK119" s="392"/>
      <c r="DL119" s="392"/>
      <c r="DM119" s="392"/>
      <c r="DN119" s="392"/>
      <c r="DO119" s="392"/>
      <c r="DQ119" s="392"/>
      <c r="DS119" s="394"/>
      <c r="DT119" s="394"/>
      <c r="DW119" s="392"/>
      <c r="DX119" s="394"/>
      <c r="DY119" s="394"/>
      <c r="EC119" s="392"/>
      <c r="ED119" s="394"/>
      <c r="EH119" s="394"/>
      <c r="EI119" s="392"/>
      <c r="EJ119" s="394"/>
      <c r="EN119" s="394"/>
      <c r="EO119" s="392"/>
      <c r="EP119" s="394"/>
      <c r="ET119" s="394"/>
      <c r="EU119" s="392"/>
      <c r="EV119" s="394"/>
      <c r="EZ119" s="394"/>
      <c r="FA119" s="392"/>
      <c r="FB119" s="394"/>
      <c r="FF119" s="394"/>
      <c r="FG119" s="392"/>
      <c r="FH119" s="394"/>
      <c r="FL119" s="394"/>
      <c r="FM119" s="392"/>
      <c r="FN119" s="394"/>
      <c r="FR119" s="394"/>
      <c r="FS119" s="392"/>
      <c r="FT119" s="394"/>
      <c r="FX119" s="394"/>
      <c r="FY119" s="392"/>
      <c r="FZ119" s="394"/>
      <c r="GD119" s="394"/>
      <c r="GE119" s="392"/>
      <c r="GF119" s="392"/>
      <c r="GG119" s="394"/>
      <c r="GJ119" s="394"/>
      <c r="GK119" s="392"/>
      <c r="GL119" s="392"/>
      <c r="GM119" s="394"/>
      <c r="GO119" s="394"/>
      <c r="GP119" s="394"/>
      <c r="GQ119" s="392"/>
      <c r="GR119" s="392"/>
      <c r="GS119" s="394"/>
      <c r="GT119" s="394"/>
    </row>
    <row r="120" spans="1:202" s="390" customFormat="1" ht="16" hidden="1" outlineLevel="2" x14ac:dyDescent="0.2">
      <c r="A120" s="2952">
        <f>F185</f>
        <v>0</v>
      </c>
      <c r="B120" s="3053" t="str">
        <f>J120</f>
        <v/>
      </c>
      <c r="C120" s="2944" t="str">
        <f>IF(A120&gt;0,A120*VLOOKUP(B120,HWPricing,6,FALSE),"")</f>
        <v/>
      </c>
      <c r="D120" s="2936">
        <f>M87</f>
        <v>0</v>
      </c>
      <c r="E120" s="2931" t="str">
        <f>IF(A120&gt;0,VLOOKUP(B120,HWPricing,2,FALSE),"")</f>
        <v/>
      </c>
      <c r="F120" s="2933">
        <f t="shared" si="87"/>
        <v>0</v>
      </c>
      <c r="G120" s="2953">
        <f t="shared" si="87"/>
        <v>0</v>
      </c>
      <c r="H120" s="2944">
        <f>G120*I120</f>
        <v>0</v>
      </c>
      <c r="I120" s="2316"/>
      <c r="J120" s="2780" t="str">
        <f>BK120&amp;BL120</f>
        <v/>
      </c>
      <c r="Q120" s="393"/>
      <c r="S120" s="394"/>
      <c r="T120" s="393"/>
      <c r="U120" s="393"/>
      <c r="V120" s="394"/>
      <c r="W120" s="394"/>
      <c r="X120" s="394"/>
      <c r="Y120" s="394"/>
      <c r="Z120" s="394"/>
      <c r="AA120" s="394"/>
      <c r="AB120" s="394"/>
      <c r="AC120" s="391"/>
      <c r="AD120" s="392"/>
      <c r="AE120" s="392"/>
      <c r="AF120" s="392"/>
      <c r="AG120" s="392"/>
      <c r="AH120" s="392"/>
      <c r="AI120" s="392"/>
      <c r="AJ120" s="392"/>
      <c r="AK120" s="392"/>
      <c r="AL120" s="392"/>
      <c r="AM120" s="392"/>
      <c r="AN120" s="392"/>
      <c r="AO120" s="392"/>
      <c r="AP120" s="392"/>
      <c r="AQ120" s="392"/>
      <c r="AR120" s="392"/>
      <c r="AS120" s="392"/>
      <c r="AT120" s="392"/>
      <c r="AU120" s="392"/>
      <c r="AV120" s="392"/>
      <c r="AW120" s="392"/>
      <c r="AX120" s="392"/>
      <c r="AY120" s="392"/>
      <c r="AZ120" s="392"/>
      <c r="BA120" s="392"/>
      <c r="BB120" s="392"/>
      <c r="BC120" s="392"/>
      <c r="BD120" s="392"/>
      <c r="BG120" s="393"/>
      <c r="BH120" s="393"/>
      <c r="BI120" s="393"/>
      <c r="BJ120" s="393"/>
      <c r="BK120" s="2187" t="str">
        <f>IF(A120&gt;0,C185,"")</f>
        <v/>
      </c>
      <c r="BL120" s="2186" t="str">
        <f t="shared" si="88"/>
        <v/>
      </c>
      <c r="BM120" s="393"/>
      <c r="BN120" s="393"/>
      <c r="BO120" s="394"/>
      <c r="BP120" s="394"/>
      <c r="BQ120" s="394"/>
      <c r="BR120" s="394"/>
      <c r="BS120" s="394"/>
      <c r="BT120" s="394"/>
      <c r="BU120" s="392"/>
      <c r="BV120" s="392"/>
      <c r="BW120" s="392"/>
      <c r="BX120" s="392"/>
      <c r="BY120" s="392"/>
      <c r="BZ120" s="392"/>
      <c r="CA120" s="392"/>
      <c r="CB120" s="392"/>
      <c r="CC120" s="392"/>
      <c r="CD120" s="392"/>
      <c r="CE120" s="392"/>
      <c r="DI120" s="392"/>
      <c r="DJ120" s="392"/>
      <c r="DK120" s="392"/>
      <c r="DL120" s="392"/>
      <c r="DM120" s="392"/>
      <c r="DN120" s="392"/>
      <c r="DO120" s="392"/>
      <c r="DQ120" s="392"/>
      <c r="DS120" s="394"/>
      <c r="DT120" s="394"/>
      <c r="DW120" s="392"/>
      <c r="DX120" s="394"/>
      <c r="DY120" s="394"/>
      <c r="EC120" s="392"/>
      <c r="ED120" s="394"/>
      <c r="EH120" s="394"/>
      <c r="EI120" s="392"/>
      <c r="EJ120" s="394"/>
      <c r="EN120" s="394"/>
      <c r="EO120" s="392"/>
      <c r="EP120" s="394"/>
      <c r="ET120" s="394"/>
      <c r="EU120" s="392"/>
      <c r="EV120" s="394"/>
      <c r="EZ120" s="394"/>
      <c r="FA120" s="392"/>
      <c r="FB120" s="394"/>
      <c r="FF120" s="394"/>
      <c r="FG120" s="392"/>
      <c r="FH120" s="394"/>
      <c r="FL120" s="394"/>
      <c r="FM120" s="392"/>
      <c r="FN120" s="394"/>
      <c r="FR120" s="394"/>
      <c r="FS120" s="392"/>
      <c r="FT120" s="394"/>
      <c r="FX120" s="394"/>
      <c r="FY120" s="392"/>
      <c r="FZ120" s="394"/>
      <c r="GD120" s="394"/>
      <c r="GE120" s="392"/>
      <c r="GF120" s="392"/>
      <c r="GG120" s="394"/>
      <c r="GJ120" s="394"/>
      <c r="GK120" s="392"/>
      <c r="GL120" s="392"/>
      <c r="GM120" s="394"/>
      <c r="GO120" s="394"/>
      <c r="GP120" s="394"/>
      <c r="GQ120" s="392"/>
      <c r="GR120" s="392"/>
      <c r="GS120" s="394"/>
      <c r="GT120" s="394"/>
    </row>
    <row r="121" spans="1:202" s="390" customFormat="1" ht="16" hidden="1" outlineLevel="2" x14ac:dyDescent="0.2">
      <c r="A121" s="2952">
        <f>F186</f>
        <v>0</v>
      </c>
      <c r="B121" s="3053" t="str">
        <f>J121</f>
        <v/>
      </c>
      <c r="C121" s="2944" t="str">
        <f>IF(A121&gt;0,A121*VLOOKUP(B121,HWPricing,6,FALSE),"")</f>
        <v/>
      </c>
      <c r="D121" s="2936">
        <f>M90</f>
        <v>0</v>
      </c>
      <c r="E121" s="2931" t="str">
        <f>IF(A121&gt;0,VLOOKUP(B121,HWPricing,2,FALSE),"")</f>
        <v/>
      </c>
      <c r="F121" s="2933">
        <f t="shared" si="87"/>
        <v>0</v>
      </c>
      <c r="G121" s="2953">
        <f t="shared" si="87"/>
        <v>0</v>
      </c>
      <c r="H121" s="2944">
        <f>G121*I121</f>
        <v>0</v>
      </c>
      <c r="I121" s="2316"/>
      <c r="J121" s="2780" t="str">
        <f>BK121&amp;BL121</f>
        <v/>
      </c>
      <c r="L121" s="392"/>
      <c r="M121" s="392"/>
      <c r="N121" s="392"/>
      <c r="O121" s="392"/>
      <c r="P121" s="392"/>
      <c r="Q121" s="392"/>
      <c r="R121" s="393"/>
      <c r="S121" s="394"/>
      <c r="T121" s="393"/>
      <c r="U121" s="393"/>
      <c r="V121" s="394"/>
      <c r="W121" s="394"/>
      <c r="X121" s="394"/>
      <c r="Y121" s="394"/>
      <c r="Z121" s="394"/>
      <c r="AA121" s="394"/>
      <c r="AB121" s="394"/>
      <c r="AC121" s="391"/>
      <c r="AD121" s="392"/>
      <c r="AE121" s="392"/>
      <c r="AF121" s="392"/>
      <c r="AG121" s="392"/>
      <c r="AH121" s="392"/>
      <c r="AI121" s="392"/>
      <c r="AJ121" s="392"/>
      <c r="AK121" s="392"/>
      <c r="AL121" s="392"/>
      <c r="AM121" s="392"/>
      <c r="AN121" s="392"/>
      <c r="AO121" s="392"/>
      <c r="AP121" s="392"/>
      <c r="AQ121" s="392"/>
      <c r="AR121" s="392"/>
      <c r="AS121" s="392"/>
      <c r="AT121" s="392"/>
      <c r="AU121" s="392"/>
      <c r="AV121" s="392"/>
      <c r="AW121" s="392"/>
      <c r="AX121" s="392"/>
      <c r="AY121" s="392"/>
      <c r="AZ121" s="392"/>
      <c r="BA121" s="392"/>
      <c r="BB121" s="392"/>
      <c r="BC121" s="392"/>
      <c r="BD121" s="392"/>
      <c r="BG121" s="393"/>
      <c r="BH121" s="393"/>
      <c r="BI121" s="393"/>
      <c r="BJ121" s="393"/>
      <c r="BK121" s="2187" t="str">
        <f>IF(A121&gt;0,C186,"")</f>
        <v/>
      </c>
      <c r="BL121" s="2186" t="str">
        <f t="shared" si="88"/>
        <v/>
      </c>
      <c r="BM121" s="393"/>
      <c r="BN121" s="393"/>
      <c r="BO121" s="394"/>
      <c r="BP121" s="394"/>
      <c r="BQ121" s="394"/>
      <c r="BR121" s="394"/>
      <c r="BS121" s="394"/>
      <c r="BT121" s="394"/>
      <c r="BU121" s="392"/>
      <c r="BV121" s="392"/>
      <c r="BW121" s="392"/>
      <c r="BX121" s="392"/>
      <c r="BY121" s="392"/>
      <c r="BZ121" s="392"/>
      <c r="CA121" s="392"/>
      <c r="CB121" s="392"/>
      <c r="CC121" s="392"/>
      <c r="CD121" s="392"/>
      <c r="CE121" s="392"/>
      <c r="DI121" s="392"/>
      <c r="DJ121" s="392"/>
      <c r="DK121" s="392"/>
      <c r="DL121" s="392"/>
      <c r="DM121" s="392"/>
      <c r="DN121" s="392"/>
      <c r="DO121" s="392"/>
      <c r="DQ121" s="392"/>
      <c r="DS121" s="394"/>
      <c r="DT121" s="394"/>
      <c r="DW121" s="392"/>
      <c r="DX121" s="394"/>
      <c r="DY121" s="394"/>
      <c r="EC121" s="392"/>
      <c r="ED121" s="394"/>
      <c r="EH121" s="394"/>
      <c r="EI121" s="392"/>
      <c r="EJ121" s="394"/>
      <c r="EN121" s="394"/>
      <c r="EO121" s="392"/>
      <c r="EP121" s="394"/>
      <c r="ET121" s="394"/>
      <c r="EU121" s="392"/>
      <c r="EV121" s="394"/>
      <c r="EZ121" s="394"/>
      <c r="FA121" s="392"/>
      <c r="FB121" s="394"/>
      <c r="FF121" s="394"/>
      <c r="FG121" s="392"/>
      <c r="FH121" s="394"/>
      <c r="FL121" s="394"/>
      <c r="FM121" s="392"/>
      <c r="FN121" s="394"/>
      <c r="FR121" s="394"/>
      <c r="FS121" s="392"/>
      <c r="FT121" s="394"/>
      <c r="FX121" s="394"/>
      <c r="FY121" s="392"/>
      <c r="FZ121" s="394"/>
      <c r="GD121" s="394"/>
      <c r="GE121" s="392"/>
      <c r="GF121" s="392"/>
      <c r="GG121" s="394"/>
      <c r="GJ121" s="394"/>
      <c r="GK121" s="392"/>
      <c r="GL121" s="392"/>
      <c r="GM121" s="394"/>
      <c r="GO121" s="394"/>
      <c r="GP121" s="394"/>
      <c r="GQ121" s="392"/>
      <c r="GR121" s="392"/>
      <c r="GS121" s="394"/>
      <c r="GT121" s="394"/>
    </row>
    <row r="122" spans="1:202" s="390" customFormat="1" ht="16" hidden="1" outlineLevel="2" x14ac:dyDescent="0.2">
      <c r="A122" s="2952">
        <f>F187</f>
        <v>0</v>
      </c>
      <c r="B122" s="3053" t="str">
        <f>J122</f>
        <v/>
      </c>
      <c r="C122" s="2944" t="str">
        <f>IF(A122&gt;0,A122*VLOOKUP(B122,HWPricing,6,FALSE),"")</f>
        <v/>
      </c>
      <c r="D122" s="2936" t="str">
        <f>M89</f>
        <v>Host02</v>
      </c>
      <c r="E122" s="2931" t="str">
        <f>IF(A122&gt;0,VLOOKUP(B122,HWPricing,2,FALSE),"")</f>
        <v/>
      </c>
      <c r="F122" s="2933">
        <f t="shared" si="87"/>
        <v>0</v>
      </c>
      <c r="G122" s="2953">
        <f t="shared" si="87"/>
        <v>0</v>
      </c>
      <c r="H122" s="2944">
        <f>G122*I122</f>
        <v>0</v>
      </c>
      <c r="I122" s="2316"/>
      <c r="J122" s="2780" t="str">
        <f>BK122&amp;BL122</f>
        <v/>
      </c>
      <c r="Q122" s="393"/>
      <c r="S122" s="394"/>
      <c r="T122" s="393"/>
      <c r="U122" s="393"/>
      <c r="V122" s="394"/>
      <c r="W122" s="394"/>
      <c r="X122" s="394"/>
      <c r="Y122" s="394"/>
      <c r="Z122" s="394"/>
      <c r="AA122" s="394"/>
      <c r="AB122" s="394"/>
      <c r="AC122" s="391"/>
      <c r="AD122" s="392"/>
      <c r="AE122" s="392"/>
      <c r="AF122" s="392"/>
      <c r="AG122" s="392"/>
      <c r="AH122" s="392"/>
      <c r="AI122" s="392"/>
      <c r="AJ122" s="392"/>
      <c r="AK122" s="392"/>
      <c r="AL122" s="392"/>
      <c r="AM122" s="392"/>
      <c r="AN122" s="392"/>
      <c r="AO122" s="392"/>
      <c r="AP122" s="392"/>
      <c r="AQ122" s="392"/>
      <c r="AR122" s="392"/>
      <c r="AS122" s="392"/>
      <c r="AT122" s="392"/>
      <c r="AU122" s="392"/>
      <c r="AV122" s="392"/>
      <c r="AW122" s="392"/>
      <c r="AX122" s="392"/>
      <c r="AY122" s="392"/>
      <c r="AZ122" s="392"/>
      <c r="BA122" s="392"/>
      <c r="BB122" s="392"/>
      <c r="BC122" s="392"/>
      <c r="BD122" s="392"/>
      <c r="BG122" s="393"/>
      <c r="BH122" s="393"/>
      <c r="BI122" s="393"/>
      <c r="BJ122" s="393"/>
      <c r="BK122" s="2187" t="str">
        <f>IF(A122&gt;0,C187,"")</f>
        <v/>
      </c>
      <c r="BL122" s="2186" t="str">
        <f t="shared" si="88"/>
        <v/>
      </c>
      <c r="BM122" s="393"/>
      <c r="BN122" s="393"/>
      <c r="BO122" s="394"/>
      <c r="BP122" s="394"/>
      <c r="BQ122" s="394"/>
      <c r="BR122" s="394"/>
      <c r="BS122" s="394"/>
      <c r="BT122" s="394"/>
      <c r="BU122" s="392"/>
      <c r="BV122" s="392"/>
      <c r="BW122" s="392"/>
      <c r="BX122" s="392"/>
      <c r="BY122" s="392"/>
      <c r="BZ122" s="392"/>
      <c r="CA122" s="392"/>
      <c r="CB122" s="392"/>
      <c r="CC122" s="392"/>
      <c r="CD122" s="392"/>
      <c r="CE122" s="392"/>
      <c r="DI122" s="392"/>
      <c r="DJ122" s="392"/>
      <c r="DK122" s="392"/>
      <c r="DL122" s="392"/>
      <c r="DM122" s="392"/>
      <c r="DN122" s="392"/>
      <c r="DO122" s="392"/>
      <c r="DQ122" s="392"/>
      <c r="DS122" s="394"/>
      <c r="DT122" s="394"/>
      <c r="DW122" s="392"/>
      <c r="DX122" s="394"/>
      <c r="DY122" s="394"/>
      <c r="EC122" s="392"/>
      <c r="ED122" s="394"/>
      <c r="EH122" s="394"/>
      <c r="EI122" s="392"/>
      <c r="EJ122" s="394"/>
      <c r="EN122" s="394"/>
      <c r="EO122" s="392"/>
      <c r="EP122" s="394"/>
      <c r="ET122" s="394"/>
      <c r="EU122" s="392"/>
      <c r="EV122" s="394"/>
      <c r="EZ122" s="394"/>
      <c r="FA122" s="392"/>
      <c r="FB122" s="394"/>
      <c r="FF122" s="394"/>
      <c r="FG122" s="392"/>
      <c r="FH122" s="394"/>
      <c r="FL122" s="394"/>
      <c r="FM122" s="392"/>
      <c r="FN122" s="394"/>
      <c r="FR122" s="394"/>
      <c r="FS122" s="392"/>
      <c r="FT122" s="394"/>
      <c r="FX122" s="394"/>
      <c r="FY122" s="392"/>
      <c r="FZ122" s="394"/>
      <c r="GD122" s="394"/>
      <c r="GE122" s="392"/>
      <c r="GF122" s="392"/>
      <c r="GG122" s="394"/>
      <c r="GJ122" s="394"/>
      <c r="GK122" s="392"/>
      <c r="GL122" s="392"/>
      <c r="GM122" s="394"/>
      <c r="GO122" s="394"/>
      <c r="GP122" s="394"/>
      <c r="GQ122" s="392"/>
      <c r="GR122" s="392"/>
      <c r="GS122" s="394"/>
      <c r="GT122" s="394"/>
    </row>
    <row r="123" spans="1:202" s="390" customFormat="1" ht="16" hidden="1" outlineLevel="2" x14ac:dyDescent="0.2">
      <c r="A123" s="2952">
        <f>F188</f>
        <v>0</v>
      </c>
      <c r="B123" s="3053" t="str">
        <f>J123</f>
        <v/>
      </c>
      <c r="C123" s="2944" t="str">
        <f>IF(A123&gt;0,A123*VLOOKUP(B123,HWPricing,6,FALSE),"")</f>
        <v/>
      </c>
      <c r="D123" s="2936" t="str">
        <f>M92</f>
        <v>Host03</v>
      </c>
      <c r="E123" s="2931" t="str">
        <f>IF(A123&gt;0,VLOOKUP(B123,HWPricing,2,FALSE),"")</f>
        <v/>
      </c>
      <c r="F123" s="2933">
        <f t="shared" si="87"/>
        <v>0</v>
      </c>
      <c r="G123" s="2953">
        <f t="shared" si="87"/>
        <v>0</v>
      </c>
      <c r="H123" s="2944">
        <f>G123*I123</f>
        <v>0</v>
      </c>
      <c r="I123" s="2316"/>
      <c r="J123" s="2780" t="str">
        <f>BK123&amp;BL123</f>
        <v/>
      </c>
      <c r="L123" s="392"/>
      <c r="M123" s="392"/>
      <c r="N123" s="392"/>
      <c r="O123" s="392"/>
      <c r="P123" s="392"/>
      <c r="Q123" s="392"/>
      <c r="R123" s="393"/>
      <c r="S123" s="394"/>
      <c r="T123" s="393"/>
      <c r="U123" s="393"/>
      <c r="V123" s="394"/>
      <c r="W123" s="394"/>
      <c r="X123" s="394"/>
      <c r="Y123" s="394"/>
      <c r="Z123" s="394"/>
      <c r="AA123" s="394"/>
      <c r="AB123" s="394"/>
      <c r="AC123" s="391"/>
      <c r="AD123" s="392"/>
      <c r="AE123" s="392"/>
      <c r="AF123" s="392"/>
      <c r="AG123" s="392"/>
      <c r="AH123" s="392"/>
      <c r="AI123" s="392"/>
      <c r="AJ123" s="392"/>
      <c r="AK123" s="392"/>
      <c r="AL123" s="392"/>
      <c r="AM123" s="392"/>
      <c r="AN123" s="392"/>
      <c r="AO123" s="392"/>
      <c r="AP123" s="392"/>
      <c r="AQ123" s="392"/>
      <c r="AR123" s="392"/>
      <c r="AS123" s="392"/>
      <c r="AT123" s="392"/>
      <c r="AU123" s="392"/>
      <c r="AV123" s="392"/>
      <c r="AW123" s="392"/>
      <c r="AX123" s="392"/>
      <c r="AY123" s="392"/>
      <c r="AZ123" s="392"/>
      <c r="BA123" s="392"/>
      <c r="BB123" s="392"/>
      <c r="BC123" s="392"/>
      <c r="BD123" s="392"/>
      <c r="BG123" s="393"/>
      <c r="BH123" s="393"/>
      <c r="BI123" s="393"/>
      <c r="BJ123" s="393"/>
      <c r="BK123" s="2187" t="str">
        <f>IF(A123&gt;0,C188,"")</f>
        <v/>
      </c>
      <c r="BL123" s="2186" t="str">
        <f t="shared" si="88"/>
        <v/>
      </c>
      <c r="BM123" s="393"/>
      <c r="BN123" s="393"/>
      <c r="BO123" s="394"/>
      <c r="BP123" s="394"/>
      <c r="BQ123" s="394"/>
      <c r="BR123" s="394"/>
      <c r="BS123" s="394"/>
      <c r="BT123" s="394"/>
      <c r="BU123" s="392"/>
      <c r="BV123" s="392"/>
      <c r="BW123" s="392"/>
      <c r="BX123" s="392"/>
      <c r="BY123" s="392"/>
      <c r="BZ123" s="392"/>
      <c r="CA123" s="392"/>
      <c r="CB123" s="392"/>
      <c r="CC123" s="392"/>
      <c r="CD123" s="392"/>
      <c r="CE123" s="392"/>
      <c r="DI123" s="392"/>
      <c r="DJ123" s="392"/>
      <c r="DK123" s="392"/>
      <c r="DL123" s="392"/>
      <c r="DM123" s="392"/>
      <c r="DN123" s="392"/>
      <c r="DO123" s="392"/>
      <c r="DQ123" s="392"/>
      <c r="DS123" s="394"/>
      <c r="DT123" s="394"/>
      <c r="DW123" s="392"/>
      <c r="DX123" s="394"/>
      <c r="DY123" s="394"/>
      <c r="EC123" s="392"/>
      <c r="ED123" s="394"/>
      <c r="EH123" s="394"/>
      <c r="EI123" s="392"/>
      <c r="EJ123" s="394"/>
      <c r="EN123" s="394"/>
      <c r="EO123" s="392"/>
      <c r="EP123" s="394"/>
      <c r="ET123" s="394"/>
      <c r="EU123" s="392"/>
      <c r="EV123" s="394"/>
      <c r="EZ123" s="394"/>
      <c r="FA123" s="392"/>
      <c r="FB123" s="394"/>
      <c r="FF123" s="394"/>
      <c r="FG123" s="392"/>
      <c r="FH123" s="394"/>
      <c r="FL123" s="394"/>
      <c r="FM123" s="392"/>
      <c r="FN123" s="394"/>
      <c r="FR123" s="394"/>
      <c r="FS123" s="392"/>
      <c r="FT123" s="394"/>
      <c r="FX123" s="394"/>
      <c r="FY123" s="392"/>
      <c r="FZ123" s="394"/>
      <c r="GD123" s="394"/>
      <c r="GE123" s="392"/>
      <c r="GF123" s="392"/>
      <c r="GG123" s="394"/>
      <c r="GJ123" s="394"/>
      <c r="GK123" s="392"/>
      <c r="GL123" s="392"/>
      <c r="GM123" s="394"/>
      <c r="GO123" s="394"/>
      <c r="GP123" s="394"/>
      <c r="GQ123" s="392"/>
      <c r="GR123" s="392"/>
      <c r="GS123" s="394"/>
      <c r="GT123" s="394"/>
    </row>
    <row r="124" spans="1:202" s="390" customFormat="1" ht="16" hidden="1" outlineLevel="2" x14ac:dyDescent="0.2">
      <c r="A124" s="2959">
        <f>R85+R88+R91</f>
        <v>0</v>
      </c>
      <c r="B124" s="2960" t="s">
        <v>1006</v>
      </c>
      <c r="C124" s="2957">
        <f>HWPricing!I2*Design1!A124</f>
        <v>0</v>
      </c>
      <c r="D124" s="2958">
        <f>F186</f>
        <v>0</v>
      </c>
      <c r="E124" s="2954"/>
      <c r="F124" s="2954"/>
      <c r="G124" s="2954"/>
      <c r="H124" s="2955"/>
      <c r="I124" s="2961"/>
      <c r="J124" s="2781"/>
      <c r="L124" s="392"/>
      <c r="M124" s="392"/>
      <c r="N124" s="392"/>
      <c r="O124" s="392"/>
      <c r="P124" s="392"/>
      <c r="Q124" s="392"/>
      <c r="R124" s="393"/>
      <c r="S124" s="394"/>
      <c r="T124" s="393"/>
      <c r="U124" s="393"/>
      <c r="V124" s="394"/>
      <c r="W124" s="394"/>
      <c r="X124" s="394"/>
      <c r="Y124" s="394"/>
      <c r="Z124" s="394"/>
      <c r="AA124" s="394"/>
      <c r="AB124" s="394"/>
      <c r="AC124" s="391"/>
      <c r="AD124" s="392"/>
      <c r="AE124" s="392"/>
      <c r="AF124" s="392"/>
      <c r="AG124" s="392"/>
      <c r="AH124" s="392"/>
      <c r="AI124" s="392"/>
      <c r="AJ124" s="392"/>
      <c r="AK124" s="392"/>
      <c r="AL124" s="392"/>
      <c r="AM124" s="392"/>
      <c r="AN124" s="392"/>
      <c r="AO124" s="392"/>
      <c r="AP124" s="392"/>
      <c r="AQ124" s="392"/>
      <c r="AR124" s="392"/>
      <c r="AS124" s="392"/>
      <c r="AT124" s="392"/>
      <c r="AU124" s="392"/>
      <c r="AV124" s="392"/>
      <c r="AW124" s="392"/>
      <c r="AX124" s="392"/>
      <c r="AY124" s="392"/>
      <c r="AZ124" s="392"/>
      <c r="BA124" s="392"/>
      <c r="BB124" s="392"/>
      <c r="BC124" s="392"/>
      <c r="BD124" s="392"/>
      <c r="BG124" s="393"/>
      <c r="BH124" s="393"/>
      <c r="BI124" s="393"/>
      <c r="BJ124" s="393"/>
      <c r="BK124" s="393"/>
      <c r="BL124" s="393"/>
      <c r="BM124" s="393"/>
      <c r="BN124" s="393"/>
      <c r="BO124" s="394"/>
      <c r="BP124" s="394"/>
      <c r="BQ124" s="394"/>
      <c r="BR124" s="394"/>
      <c r="BS124" s="394"/>
      <c r="BT124" s="394"/>
      <c r="BU124" s="392"/>
      <c r="BV124" s="392"/>
      <c r="BW124" s="392"/>
      <c r="BX124" s="392"/>
      <c r="BY124" s="392"/>
      <c r="BZ124" s="392"/>
      <c r="CA124" s="392"/>
      <c r="CB124" s="392"/>
      <c r="CC124" s="392"/>
      <c r="CD124" s="392"/>
      <c r="CE124" s="392"/>
      <c r="DI124" s="392"/>
      <c r="DJ124" s="392"/>
      <c r="DK124" s="392"/>
      <c r="DL124" s="392"/>
      <c r="DM124" s="392"/>
      <c r="DN124" s="392"/>
      <c r="DO124" s="392"/>
      <c r="DQ124" s="392"/>
      <c r="DS124" s="394"/>
      <c r="DT124" s="394"/>
      <c r="DW124" s="392"/>
      <c r="DX124" s="394"/>
      <c r="DY124" s="394"/>
      <c r="EC124" s="392"/>
      <c r="ED124" s="394"/>
      <c r="EH124" s="394"/>
      <c r="EI124" s="392"/>
      <c r="EJ124" s="394"/>
      <c r="EN124" s="394"/>
      <c r="EO124" s="392"/>
      <c r="EP124" s="394"/>
      <c r="ET124" s="394"/>
      <c r="EU124" s="392"/>
      <c r="EV124" s="394"/>
      <c r="EZ124" s="394"/>
      <c r="FA124" s="392"/>
      <c r="FB124" s="394"/>
      <c r="FF124" s="394"/>
      <c r="FG124" s="392"/>
      <c r="FH124" s="394"/>
      <c r="FL124" s="394"/>
      <c r="FM124" s="392"/>
      <c r="FN124" s="394"/>
      <c r="FR124" s="394"/>
      <c r="FS124" s="392"/>
      <c r="FT124" s="394"/>
      <c r="FX124" s="394"/>
      <c r="FY124" s="392"/>
      <c r="FZ124" s="394"/>
      <c r="GD124" s="394"/>
      <c r="GE124" s="392"/>
      <c r="GF124" s="392"/>
      <c r="GG124" s="394"/>
      <c r="GJ124" s="394"/>
      <c r="GK124" s="392"/>
      <c r="GL124" s="392"/>
      <c r="GM124" s="394"/>
      <c r="GO124" s="394"/>
      <c r="GP124" s="394"/>
      <c r="GQ124" s="392"/>
      <c r="GR124" s="392"/>
      <c r="GS124" s="394"/>
      <c r="GT124" s="394"/>
    </row>
    <row r="125" spans="1:202" s="390" customFormat="1" hidden="1" outlineLevel="2" x14ac:dyDescent="0.15">
      <c r="A125" s="2313"/>
      <c r="B125" s="2948" t="s">
        <v>1465</v>
      </c>
      <c r="C125" s="2312">
        <f>SUM(C119:C124)</f>
        <v>0</v>
      </c>
      <c r="D125" s="2314"/>
      <c r="E125" s="2314"/>
      <c r="F125" s="2314"/>
      <c r="G125" s="2956" t="s">
        <v>1467</v>
      </c>
      <c r="H125" s="2312">
        <f>SUM(H119:H124)</f>
        <v>0</v>
      </c>
      <c r="I125" s="2962"/>
      <c r="J125" s="2781"/>
      <c r="L125" s="392"/>
      <c r="M125" s="392"/>
      <c r="N125" s="392"/>
      <c r="O125" s="392"/>
      <c r="P125" s="392"/>
      <c r="Q125" s="392"/>
      <c r="R125" s="393"/>
      <c r="S125" s="394"/>
      <c r="T125" s="393"/>
      <c r="U125" s="393"/>
      <c r="V125" s="394"/>
      <c r="W125" s="394"/>
      <c r="X125" s="394"/>
      <c r="Y125" s="394"/>
      <c r="Z125" s="394"/>
      <c r="AA125" s="394"/>
      <c r="AB125" s="394"/>
      <c r="AC125" s="391"/>
      <c r="AD125" s="392"/>
      <c r="AE125" s="392"/>
      <c r="AF125" s="392"/>
      <c r="AG125" s="392"/>
      <c r="AH125" s="392"/>
      <c r="AI125" s="392"/>
      <c r="AJ125" s="392"/>
      <c r="AK125" s="392"/>
      <c r="AL125" s="392"/>
      <c r="AM125" s="392"/>
      <c r="AN125" s="392"/>
      <c r="AO125" s="392"/>
      <c r="AP125" s="392"/>
      <c r="AQ125" s="392"/>
      <c r="AR125" s="392"/>
      <c r="AS125" s="392"/>
      <c r="AT125" s="392"/>
      <c r="AU125" s="392"/>
      <c r="AV125" s="392"/>
      <c r="AW125" s="392"/>
      <c r="AX125" s="392"/>
      <c r="AY125" s="392"/>
      <c r="AZ125" s="392"/>
      <c r="BA125" s="392"/>
      <c r="BB125" s="392"/>
      <c r="BC125" s="392"/>
      <c r="BD125" s="392"/>
      <c r="BG125" s="393"/>
      <c r="BH125" s="393"/>
      <c r="BI125" s="393"/>
      <c r="BJ125" s="393"/>
      <c r="BK125" s="393"/>
      <c r="BL125" s="393"/>
      <c r="BM125" s="393"/>
      <c r="BN125" s="393"/>
      <c r="BO125" s="394"/>
      <c r="BP125" s="394"/>
      <c r="BQ125" s="394"/>
      <c r="BR125" s="394"/>
      <c r="BS125" s="394"/>
      <c r="BT125" s="394"/>
      <c r="BU125" s="392"/>
      <c r="BV125" s="392"/>
      <c r="BW125" s="392"/>
      <c r="BX125" s="392"/>
      <c r="BY125" s="392"/>
      <c r="BZ125" s="392"/>
      <c r="CA125" s="392"/>
      <c r="CB125" s="392"/>
      <c r="CC125" s="392"/>
      <c r="CD125" s="392"/>
      <c r="CE125" s="392"/>
      <c r="DI125" s="392"/>
      <c r="DJ125" s="392"/>
      <c r="DK125" s="392"/>
      <c r="DL125" s="392"/>
      <c r="DM125" s="392"/>
      <c r="DN125" s="392"/>
      <c r="DO125" s="392"/>
      <c r="DQ125" s="392"/>
      <c r="DS125" s="394"/>
      <c r="DT125" s="394"/>
      <c r="DW125" s="392"/>
      <c r="DX125" s="394"/>
      <c r="DY125" s="394"/>
      <c r="EC125" s="392"/>
      <c r="ED125" s="394"/>
      <c r="EH125" s="394"/>
      <c r="EI125" s="392"/>
      <c r="EJ125" s="394"/>
      <c r="EN125" s="394"/>
      <c r="EO125" s="392"/>
      <c r="EP125" s="394"/>
      <c r="ET125" s="394"/>
      <c r="EU125" s="392"/>
      <c r="EV125" s="394"/>
      <c r="EZ125" s="394"/>
      <c r="FA125" s="392"/>
      <c r="FB125" s="394"/>
      <c r="FF125" s="394"/>
      <c r="FG125" s="392"/>
      <c r="FH125" s="394"/>
      <c r="FL125" s="394"/>
      <c r="FM125" s="392"/>
      <c r="FN125" s="394"/>
      <c r="FR125" s="394"/>
      <c r="FS125" s="392"/>
      <c r="FT125" s="394"/>
      <c r="FX125" s="394"/>
      <c r="FY125" s="392"/>
      <c r="FZ125" s="394"/>
      <c r="GD125" s="394"/>
      <c r="GE125" s="392"/>
      <c r="GF125" s="392"/>
      <c r="GG125" s="394"/>
      <c r="GJ125" s="394"/>
      <c r="GK125" s="392"/>
      <c r="GL125" s="392"/>
      <c r="GM125" s="394"/>
      <c r="GO125" s="394"/>
      <c r="GP125" s="394"/>
      <c r="GQ125" s="392"/>
      <c r="GR125" s="392"/>
      <c r="GS125" s="394"/>
      <c r="GT125" s="394"/>
    </row>
    <row r="126" spans="1:202" s="390" customFormat="1" ht="11.25" hidden="1" customHeight="1" outlineLevel="1" collapsed="1" x14ac:dyDescent="0.2">
      <c r="A126" s="2277"/>
      <c r="B126" s="2776"/>
      <c r="C126" s="2777"/>
      <c r="D126" s="2278"/>
      <c r="E126" s="2284"/>
      <c r="F126" s="2285"/>
      <c r="G126" s="2286"/>
      <c r="H126" s="2287"/>
      <c r="I126" s="2287"/>
      <c r="J126" s="2782"/>
      <c r="L126" s="392"/>
      <c r="M126" s="392"/>
      <c r="N126" s="392"/>
      <c r="O126" s="392"/>
      <c r="P126" s="392"/>
      <c r="Q126" s="392"/>
      <c r="R126" s="393"/>
      <c r="S126" s="394"/>
      <c r="T126" s="393"/>
      <c r="U126" s="393"/>
      <c r="V126" s="394"/>
      <c r="W126" s="394"/>
      <c r="X126" s="394"/>
      <c r="Y126" s="394"/>
      <c r="Z126" s="394"/>
      <c r="AA126" s="394"/>
      <c r="AB126" s="394"/>
      <c r="AC126" s="391"/>
      <c r="AD126" s="392"/>
      <c r="AE126" s="392"/>
      <c r="AF126" s="392"/>
      <c r="AG126" s="392"/>
      <c r="AH126" s="392"/>
      <c r="AI126" s="392"/>
      <c r="AJ126" s="392"/>
      <c r="AK126" s="392"/>
      <c r="AL126" s="392"/>
      <c r="AM126" s="392"/>
      <c r="AN126" s="392"/>
      <c r="AO126" s="392"/>
      <c r="AP126" s="392"/>
      <c r="AQ126" s="392"/>
      <c r="AR126" s="392"/>
      <c r="AS126" s="392"/>
      <c r="AT126" s="392"/>
      <c r="AU126" s="392"/>
      <c r="AV126" s="392"/>
      <c r="AW126" s="392"/>
      <c r="AX126" s="392"/>
      <c r="AY126" s="392"/>
      <c r="AZ126" s="392"/>
      <c r="BA126" s="392"/>
      <c r="BB126" s="392"/>
      <c r="BC126" s="392"/>
      <c r="BD126" s="392"/>
      <c r="BG126" s="393"/>
      <c r="BH126" s="393"/>
      <c r="BI126" s="393"/>
      <c r="BJ126" s="393"/>
      <c r="BK126" s="393"/>
      <c r="BL126" s="393"/>
      <c r="BM126" s="393"/>
      <c r="BN126" s="393"/>
      <c r="BO126" s="394"/>
      <c r="BP126" s="394"/>
      <c r="BQ126" s="394"/>
      <c r="BR126" s="394"/>
      <c r="BS126" s="394"/>
      <c r="BT126" s="394"/>
      <c r="BU126" s="392"/>
      <c r="BV126" s="392"/>
      <c r="BW126" s="392"/>
      <c r="BX126" s="392"/>
      <c r="BY126" s="392"/>
      <c r="BZ126" s="392"/>
      <c r="CA126" s="392"/>
      <c r="CB126" s="392"/>
      <c r="CC126" s="392"/>
      <c r="CD126" s="392"/>
      <c r="CE126" s="392"/>
      <c r="DI126" s="392"/>
      <c r="DJ126" s="392"/>
      <c r="DK126" s="392"/>
      <c r="DL126" s="392"/>
      <c r="DM126" s="392"/>
      <c r="DN126" s="392"/>
      <c r="DO126" s="392"/>
      <c r="DQ126" s="392"/>
      <c r="DS126" s="394"/>
      <c r="DT126" s="394"/>
      <c r="DW126" s="392"/>
      <c r="DX126" s="394"/>
      <c r="DY126" s="394"/>
      <c r="EC126" s="392"/>
      <c r="ED126" s="394"/>
      <c r="EH126" s="394"/>
      <c r="EI126" s="392"/>
      <c r="EJ126" s="394"/>
      <c r="EN126" s="394"/>
      <c r="EO126" s="392"/>
      <c r="EP126" s="394"/>
      <c r="ET126" s="394"/>
      <c r="EU126" s="392"/>
      <c r="EV126" s="394"/>
      <c r="EZ126" s="394"/>
      <c r="FA126" s="392"/>
      <c r="FB126" s="394"/>
      <c r="FF126" s="394"/>
      <c r="FG126" s="392"/>
      <c r="FH126" s="394"/>
      <c r="FL126" s="394"/>
      <c r="FM126" s="392"/>
      <c r="FN126" s="394"/>
      <c r="FR126" s="394"/>
      <c r="FS126" s="392"/>
      <c r="FT126" s="394"/>
      <c r="FX126" s="394"/>
      <c r="FY126" s="392"/>
      <c r="FZ126" s="394"/>
      <c r="GD126" s="394"/>
      <c r="GE126" s="392"/>
      <c r="GF126" s="392"/>
      <c r="GG126" s="394"/>
      <c r="GJ126" s="394"/>
      <c r="GK126" s="392"/>
      <c r="GL126" s="392"/>
      <c r="GM126" s="394"/>
      <c r="GO126" s="394"/>
      <c r="GP126" s="394"/>
      <c r="GQ126" s="392"/>
      <c r="GR126" s="392"/>
      <c r="GS126" s="394"/>
      <c r="GT126" s="394"/>
    </row>
    <row r="127" spans="1:202" s="390" customFormat="1" collapsed="1" x14ac:dyDescent="0.15">
      <c r="A127" s="1590"/>
      <c r="B127" s="2963" t="str">
        <f>IF(AF82=0,"TOTAL HARDWARE =","Total VM 3yr Pricing =")</f>
        <v>TOTAL HARDWARE =</v>
      </c>
      <c r="C127" s="2964">
        <f>IFERROR(C125+C116,"Not Listed")</f>
        <v>49458.75</v>
      </c>
      <c r="D127" s="2965" t="s">
        <v>1219</v>
      </c>
      <c r="E127" s="2873">
        <f>G127</f>
        <v>0</v>
      </c>
      <c r="F127" s="2966"/>
      <c r="G127" s="2873">
        <f>H125+H116</f>
        <v>0</v>
      </c>
      <c r="H127" s="2965" t="s">
        <v>1550</v>
      </c>
      <c r="I127" s="2995">
        <f>$HB$3+$HC$3</f>
        <v>2892.7738931341055</v>
      </c>
      <c r="J127" s="392"/>
      <c r="L127" s="392"/>
      <c r="M127" s="392"/>
      <c r="N127" s="392"/>
      <c r="O127" s="392"/>
      <c r="P127" s="392"/>
      <c r="Q127" s="392"/>
      <c r="R127" s="393"/>
      <c r="S127" s="394"/>
      <c r="T127" s="393"/>
      <c r="U127" s="393"/>
      <c r="V127" s="394"/>
      <c r="W127" s="394"/>
      <c r="X127" s="394"/>
      <c r="Y127" s="394"/>
      <c r="Z127" s="394"/>
      <c r="AA127" s="394"/>
      <c r="AB127" s="394"/>
      <c r="AC127" s="391"/>
      <c r="AD127" s="392"/>
      <c r="AE127" s="392"/>
      <c r="AF127" s="392"/>
      <c r="AG127" s="392"/>
      <c r="AH127" s="392"/>
      <c r="AI127" s="392"/>
      <c r="AJ127" s="392"/>
      <c r="AK127" s="392"/>
      <c r="AL127" s="392"/>
      <c r="AM127" s="392"/>
      <c r="AN127" s="392"/>
      <c r="AO127" s="392"/>
      <c r="AP127" s="392"/>
      <c r="AQ127" s="392"/>
      <c r="AR127" s="392"/>
      <c r="AS127" s="392"/>
      <c r="AT127" s="392"/>
      <c r="AU127" s="392"/>
      <c r="AV127" s="392"/>
      <c r="AW127" s="392"/>
      <c r="AX127" s="392"/>
      <c r="AY127" s="392"/>
      <c r="AZ127" s="392"/>
      <c r="BA127" s="392"/>
      <c r="BB127" s="392"/>
      <c r="BC127" s="392"/>
      <c r="BD127" s="392"/>
      <c r="BG127" s="393"/>
      <c r="BH127" s="393"/>
      <c r="BI127" s="393"/>
      <c r="BJ127" s="393"/>
      <c r="BK127" s="393"/>
      <c r="BL127" s="393"/>
      <c r="BM127" s="393"/>
      <c r="BN127" s="393"/>
      <c r="BO127" s="394"/>
      <c r="BP127" s="394"/>
      <c r="BQ127" s="394"/>
      <c r="BR127" s="394"/>
      <c r="BS127" s="394"/>
      <c r="BT127" s="394"/>
      <c r="BU127" s="392"/>
      <c r="BV127" s="392"/>
      <c r="BW127" s="392"/>
      <c r="BX127" s="392"/>
      <c r="BY127" s="392"/>
      <c r="BZ127" s="392"/>
      <c r="CA127" s="392"/>
      <c r="CB127" s="392"/>
      <c r="CC127" s="392"/>
      <c r="CD127" s="392"/>
      <c r="CE127" s="392"/>
      <c r="DI127" s="392"/>
      <c r="DJ127" s="392"/>
      <c r="DK127" s="392"/>
      <c r="DL127" s="392"/>
      <c r="DM127" s="392"/>
      <c r="DN127" s="392"/>
      <c r="DO127" s="392"/>
      <c r="DQ127" s="392"/>
      <c r="DS127" s="394"/>
      <c r="DT127" s="394"/>
      <c r="DW127" s="392"/>
      <c r="DX127" s="394"/>
      <c r="DY127" s="394"/>
      <c r="EC127" s="392"/>
      <c r="ED127" s="394"/>
      <c r="EH127" s="394"/>
      <c r="EI127" s="392"/>
      <c r="EJ127" s="394"/>
      <c r="EN127" s="394"/>
      <c r="EO127" s="392"/>
      <c r="EP127" s="394"/>
      <c r="ET127" s="394"/>
      <c r="EU127" s="392"/>
      <c r="EV127" s="394"/>
      <c r="EZ127" s="394"/>
      <c r="FA127" s="392"/>
      <c r="FB127" s="394"/>
      <c r="FF127" s="394"/>
      <c r="FG127" s="392"/>
      <c r="FH127" s="394"/>
      <c r="FL127" s="394"/>
      <c r="FM127" s="392"/>
      <c r="FN127" s="394"/>
      <c r="FR127" s="394"/>
      <c r="FS127" s="392"/>
      <c r="FT127" s="394"/>
      <c r="FX127" s="394"/>
      <c r="FY127" s="392"/>
      <c r="FZ127" s="394"/>
      <c r="GD127" s="394"/>
      <c r="GE127" s="392"/>
      <c r="GF127" s="392"/>
      <c r="GG127" s="394"/>
      <c r="GJ127" s="394"/>
      <c r="GK127" s="392"/>
      <c r="GL127" s="392"/>
      <c r="GM127" s="394"/>
      <c r="GO127" s="394"/>
      <c r="GP127" s="394"/>
      <c r="GQ127" s="392"/>
      <c r="GR127" s="392"/>
      <c r="GS127" s="394"/>
      <c r="GT127" s="394"/>
    </row>
    <row r="128" spans="1:202" s="390" customFormat="1" x14ac:dyDescent="0.15">
      <c r="H128" s="23"/>
      <c r="I128" s="391"/>
      <c r="L128" s="392"/>
      <c r="M128" s="392"/>
      <c r="N128" s="392"/>
      <c r="O128" s="392"/>
      <c r="P128" s="392"/>
      <c r="Q128" s="392"/>
      <c r="R128" s="393"/>
      <c r="S128" s="394"/>
      <c r="T128" s="393"/>
      <c r="U128" s="393"/>
      <c r="V128" s="393"/>
      <c r="W128" s="393"/>
      <c r="X128" s="393"/>
      <c r="Y128" s="393"/>
      <c r="Z128" s="393"/>
      <c r="AA128" s="393"/>
      <c r="AB128" s="393"/>
      <c r="AC128" s="393"/>
      <c r="AD128" s="392"/>
      <c r="AE128" s="392"/>
      <c r="AF128" s="392"/>
      <c r="AG128" s="392"/>
      <c r="AH128" s="392"/>
      <c r="AI128" s="392"/>
      <c r="AJ128" s="392"/>
      <c r="AK128" s="392"/>
      <c r="AL128" s="392"/>
      <c r="AM128" s="392"/>
      <c r="AN128" s="392"/>
      <c r="AO128" s="392"/>
      <c r="AP128" s="392"/>
      <c r="AQ128" s="392"/>
      <c r="AR128" s="392"/>
      <c r="AS128" s="392"/>
      <c r="AT128" s="392"/>
      <c r="AU128" s="392"/>
      <c r="AV128" s="392"/>
      <c r="AW128" s="392"/>
      <c r="AX128" s="392"/>
      <c r="AY128" s="392"/>
      <c r="AZ128" s="392"/>
      <c r="BA128" s="392"/>
      <c r="BB128" s="392"/>
      <c r="BC128" s="392"/>
      <c r="BD128" s="392"/>
      <c r="BG128" s="393"/>
      <c r="BH128" s="393"/>
      <c r="BI128" s="393"/>
      <c r="BJ128" s="393"/>
      <c r="BK128" s="393"/>
      <c r="BL128" s="393"/>
      <c r="BM128" s="393"/>
      <c r="BN128" s="393"/>
      <c r="BO128" s="394"/>
      <c r="BP128" s="394"/>
      <c r="BQ128" s="394"/>
      <c r="BR128" s="394"/>
      <c r="BS128" s="394"/>
      <c r="BT128" s="394"/>
      <c r="BU128" s="392"/>
      <c r="BV128" s="392"/>
      <c r="BW128" s="392"/>
      <c r="BX128" s="392"/>
      <c r="BY128" s="392"/>
      <c r="BZ128" s="392"/>
      <c r="CA128" s="392"/>
      <c r="CB128" s="392"/>
      <c r="CC128" s="392"/>
      <c r="CD128" s="392"/>
      <c r="CE128" s="392"/>
      <c r="DI128" s="392"/>
      <c r="DJ128" s="392"/>
      <c r="DK128" s="392"/>
      <c r="DL128" s="392"/>
      <c r="DM128" s="392"/>
      <c r="DN128" s="392"/>
      <c r="DO128" s="392"/>
      <c r="DQ128" s="392"/>
      <c r="DS128" s="394"/>
      <c r="DT128" s="394"/>
      <c r="DW128" s="392"/>
      <c r="DX128" s="394"/>
      <c r="DY128" s="394"/>
      <c r="EC128" s="392"/>
      <c r="ED128" s="394"/>
      <c r="EH128" s="394"/>
      <c r="EI128" s="392"/>
      <c r="EJ128" s="394"/>
      <c r="EN128" s="394"/>
      <c r="EO128" s="392"/>
      <c r="EP128" s="394"/>
      <c r="ET128" s="394"/>
      <c r="EU128" s="392"/>
      <c r="EV128" s="394"/>
      <c r="EZ128" s="394"/>
      <c r="FA128" s="392"/>
      <c r="FB128" s="394"/>
      <c r="FF128" s="394"/>
      <c r="FG128" s="392"/>
      <c r="FH128" s="394"/>
      <c r="FL128" s="394"/>
      <c r="FM128" s="392"/>
      <c r="FN128" s="394"/>
      <c r="FR128" s="394"/>
      <c r="FS128" s="392"/>
      <c r="FT128" s="394"/>
      <c r="FX128" s="394"/>
      <c r="FY128" s="392"/>
      <c r="FZ128" s="394"/>
      <c r="GD128" s="394"/>
      <c r="GE128" s="392"/>
      <c r="GF128" s="392"/>
      <c r="GG128" s="394"/>
      <c r="GJ128" s="394"/>
      <c r="GK128" s="392"/>
      <c r="GL128" s="392"/>
      <c r="GM128" s="394"/>
      <c r="GO128" s="394"/>
      <c r="GP128" s="394"/>
      <c r="GQ128" s="392"/>
      <c r="GR128" s="392"/>
      <c r="GS128" s="394"/>
      <c r="GT128" s="394"/>
    </row>
    <row r="129" spans="1:202" s="390" customFormat="1" ht="18" x14ac:dyDescent="0.2">
      <c r="A129" s="2047"/>
      <c r="B129" s="2047"/>
      <c r="R129" s="393"/>
      <c r="S129" s="394"/>
      <c r="T129" s="2408"/>
      <c r="U129" s="2409"/>
      <c r="V129" s="1889"/>
      <c r="W129" s="2407"/>
      <c r="X129" s="2426"/>
      <c r="Y129" s="2425"/>
      <c r="Z129" s="2425"/>
      <c r="AA129" s="2425"/>
      <c r="AB129" s="2425"/>
      <c r="AC129" s="391"/>
      <c r="AD129" s="392"/>
      <c r="AE129" s="392"/>
      <c r="AF129" s="392"/>
      <c r="AG129" s="392"/>
      <c r="AH129" s="392"/>
      <c r="AI129" s="392"/>
      <c r="AJ129" s="392"/>
      <c r="AK129" s="392"/>
      <c r="AL129" s="392"/>
      <c r="AM129" s="392"/>
      <c r="AN129" s="392"/>
      <c r="AO129" s="392"/>
      <c r="AP129" s="392"/>
      <c r="AQ129" s="392"/>
      <c r="AR129" s="392"/>
      <c r="AS129" s="392"/>
      <c r="AT129" s="392"/>
      <c r="AU129" s="392"/>
      <c r="AV129" s="392"/>
      <c r="AW129" s="392"/>
      <c r="AX129" s="392"/>
      <c r="AY129" s="392"/>
      <c r="AZ129" s="392"/>
      <c r="BA129" s="392"/>
      <c r="BB129" s="392"/>
      <c r="BC129" s="392"/>
      <c r="BD129" s="392"/>
      <c r="BG129" s="393"/>
      <c r="BH129" s="393"/>
      <c r="BI129" s="393"/>
      <c r="BJ129" s="393"/>
      <c r="BK129" s="393"/>
      <c r="BL129" s="393"/>
      <c r="BM129" s="393"/>
      <c r="BN129" s="393"/>
      <c r="BO129" s="394"/>
      <c r="BP129" s="394"/>
      <c r="BQ129" s="394"/>
      <c r="BR129" s="394"/>
      <c r="BS129" s="394"/>
      <c r="BT129" s="394"/>
      <c r="BU129" s="392"/>
      <c r="BV129" s="392"/>
      <c r="BW129" s="392"/>
      <c r="BX129" s="392"/>
      <c r="BY129" s="392"/>
      <c r="BZ129" s="392"/>
      <c r="CA129" s="392"/>
      <c r="CB129" s="392"/>
      <c r="CC129" s="392"/>
      <c r="CD129" s="392"/>
      <c r="CE129" s="392"/>
      <c r="DI129" s="392"/>
      <c r="DJ129" s="392"/>
      <c r="DK129" s="392"/>
      <c r="DL129" s="392"/>
      <c r="DM129" s="392"/>
      <c r="DN129" s="392"/>
      <c r="DO129" s="392"/>
      <c r="DQ129" s="392"/>
      <c r="DS129" s="394"/>
      <c r="DT129" s="394"/>
      <c r="DW129" s="392"/>
      <c r="DX129" s="394"/>
      <c r="DY129" s="394"/>
      <c r="EC129" s="392"/>
      <c r="ED129" s="394"/>
      <c r="EH129" s="394"/>
      <c r="EI129" s="392"/>
      <c r="EJ129" s="394"/>
      <c r="EN129" s="394"/>
      <c r="EO129" s="392"/>
      <c r="EP129" s="394"/>
      <c r="ET129" s="394"/>
      <c r="EU129" s="392"/>
      <c r="EV129" s="394"/>
      <c r="EZ129" s="394"/>
      <c r="FA129" s="392"/>
      <c r="FB129" s="394"/>
      <c r="FF129" s="394"/>
      <c r="FG129" s="392"/>
      <c r="FH129" s="394"/>
      <c r="FL129" s="394"/>
      <c r="FM129" s="392"/>
      <c r="FN129" s="394"/>
      <c r="FR129" s="394"/>
      <c r="FS129" s="392"/>
      <c r="FT129" s="394"/>
      <c r="FX129" s="394"/>
      <c r="FY129" s="392"/>
      <c r="FZ129" s="394"/>
      <c r="GD129" s="394"/>
      <c r="GE129" s="392"/>
      <c r="GF129" s="392"/>
      <c r="GG129" s="394"/>
      <c r="GJ129" s="394"/>
      <c r="GK129" s="392"/>
      <c r="GL129" s="392"/>
      <c r="GM129" s="394"/>
      <c r="GO129" s="394"/>
      <c r="GP129" s="394"/>
      <c r="GQ129" s="392"/>
      <c r="GR129" s="392"/>
      <c r="GS129" s="394"/>
      <c r="GT129" s="394"/>
    </row>
    <row r="130" spans="1:202" s="390" customFormat="1" ht="14" x14ac:dyDescent="0.15">
      <c r="A130" s="2170"/>
      <c r="R130" s="393"/>
      <c r="S130" s="394"/>
      <c r="T130" s="393"/>
      <c r="U130" s="1890"/>
      <c r="V130" s="2416"/>
      <c r="W130" s="1889"/>
      <c r="X130" s="1888"/>
      <c r="Y130" s="1888"/>
      <c r="Z130" s="1888"/>
      <c r="AA130" s="1888"/>
      <c r="AB130" s="1888"/>
      <c r="AC130" s="391"/>
      <c r="AD130" s="392"/>
      <c r="AE130" s="392"/>
      <c r="AF130" s="392"/>
      <c r="AG130" s="392"/>
      <c r="AH130" s="392"/>
      <c r="AI130" s="392"/>
      <c r="AJ130" s="392"/>
      <c r="AK130" s="392"/>
      <c r="AL130" s="392"/>
      <c r="AM130" s="392"/>
      <c r="AN130" s="392"/>
      <c r="AO130" s="392"/>
      <c r="AP130" s="392"/>
      <c r="AQ130" s="392"/>
      <c r="AR130" s="392"/>
      <c r="AS130" s="392"/>
      <c r="AT130" s="392"/>
      <c r="AU130" s="392"/>
      <c r="AV130" s="392"/>
      <c r="AW130" s="392"/>
      <c r="AX130" s="392"/>
      <c r="AY130" s="392"/>
      <c r="AZ130" s="392"/>
      <c r="BA130" s="392"/>
      <c r="BB130" s="392"/>
      <c r="BC130" s="392"/>
      <c r="BD130" s="392"/>
      <c r="BG130" s="393"/>
      <c r="BH130" s="393"/>
      <c r="BI130" s="393"/>
      <c r="BJ130" s="393"/>
      <c r="BK130" s="393"/>
      <c r="BL130" s="393"/>
      <c r="BM130" s="393"/>
      <c r="BN130" s="393"/>
      <c r="BO130" s="394"/>
      <c r="BP130" s="394"/>
      <c r="BQ130" s="394"/>
      <c r="BR130" s="394"/>
      <c r="BS130" s="394"/>
      <c r="BT130" s="394"/>
      <c r="BU130" s="392"/>
      <c r="BV130" s="392"/>
      <c r="BW130" s="392"/>
      <c r="BX130" s="392"/>
      <c r="BY130" s="392"/>
      <c r="BZ130" s="392"/>
      <c r="CA130" s="392"/>
      <c r="CB130" s="392"/>
      <c r="CC130" s="392"/>
      <c r="CD130" s="392"/>
      <c r="CE130" s="392"/>
      <c r="DI130" s="392"/>
      <c r="DJ130" s="392"/>
      <c r="DK130" s="392"/>
      <c r="DL130" s="392"/>
      <c r="DM130" s="392"/>
      <c r="DN130" s="392"/>
      <c r="DO130" s="392"/>
      <c r="DQ130" s="392"/>
      <c r="DS130" s="394"/>
      <c r="DT130" s="394"/>
      <c r="DW130" s="392"/>
      <c r="DX130" s="394"/>
      <c r="DY130" s="394"/>
      <c r="EC130" s="392"/>
      <c r="ED130" s="394"/>
      <c r="EH130" s="394"/>
      <c r="EI130" s="392"/>
      <c r="EJ130" s="394"/>
      <c r="EN130" s="394"/>
      <c r="EO130" s="392"/>
      <c r="EP130" s="394"/>
      <c r="ET130" s="394"/>
      <c r="EU130" s="392"/>
      <c r="EV130" s="394"/>
      <c r="EZ130" s="394"/>
      <c r="FA130" s="392"/>
      <c r="FB130" s="394"/>
      <c r="FF130" s="394"/>
      <c r="FG130" s="392"/>
      <c r="FH130" s="394"/>
      <c r="FL130" s="394"/>
      <c r="FM130" s="392"/>
      <c r="FN130" s="394"/>
      <c r="FR130" s="394"/>
      <c r="FS130" s="392"/>
      <c r="FT130" s="394"/>
      <c r="FX130" s="394"/>
      <c r="FY130" s="392"/>
      <c r="FZ130" s="394"/>
      <c r="GD130" s="394"/>
      <c r="GE130" s="392"/>
      <c r="GF130" s="392"/>
      <c r="GG130" s="394"/>
      <c r="GJ130" s="394"/>
      <c r="GK130" s="392"/>
      <c r="GL130" s="392"/>
      <c r="GM130" s="394"/>
      <c r="GO130" s="394"/>
      <c r="GP130" s="394"/>
      <c r="GQ130" s="392"/>
      <c r="GR130" s="392"/>
      <c r="GS130" s="394"/>
      <c r="GT130" s="394"/>
    </row>
    <row r="131" spans="1:202" s="390" customFormat="1" ht="14" x14ac:dyDescent="0.15">
      <c r="A131" s="2170"/>
      <c r="R131" s="393"/>
      <c r="S131" s="394"/>
      <c r="T131" s="393"/>
      <c r="U131" s="1890"/>
      <c r="V131" s="1889"/>
      <c r="W131" s="1889"/>
      <c r="X131" s="2402"/>
      <c r="Y131" s="2402"/>
      <c r="Z131" s="2402"/>
      <c r="AA131" s="2402"/>
      <c r="AB131" s="2402"/>
      <c r="AC131" s="391"/>
      <c r="AD131" s="392"/>
      <c r="AE131" s="392"/>
      <c r="AF131" s="392"/>
      <c r="AG131" s="392"/>
      <c r="AH131" s="392"/>
      <c r="AI131" s="392"/>
      <c r="AJ131" s="392"/>
      <c r="AK131" s="392"/>
      <c r="AL131" s="392"/>
      <c r="AM131" s="392"/>
      <c r="AN131" s="392"/>
      <c r="AO131" s="392"/>
      <c r="AP131" s="392"/>
      <c r="AQ131" s="392"/>
      <c r="AR131" s="392"/>
      <c r="AS131" s="392"/>
      <c r="AT131" s="392"/>
      <c r="AU131" s="392"/>
      <c r="AV131" s="392"/>
      <c r="AW131" s="392"/>
      <c r="AX131" s="392"/>
      <c r="AY131" s="392"/>
      <c r="AZ131" s="392"/>
      <c r="BA131" s="392"/>
      <c r="BB131" s="392"/>
      <c r="BC131" s="392"/>
      <c r="BD131" s="392"/>
      <c r="BG131" s="393"/>
      <c r="BH131" s="393"/>
      <c r="BI131" s="393"/>
      <c r="BJ131" s="393"/>
      <c r="BK131" s="393"/>
      <c r="BL131" s="393"/>
      <c r="BM131" s="393"/>
      <c r="BN131" s="393"/>
      <c r="BO131" s="394"/>
      <c r="BP131" s="394"/>
      <c r="BQ131" s="394"/>
      <c r="BR131" s="394"/>
      <c r="BS131" s="394"/>
      <c r="BT131" s="394"/>
      <c r="BU131" s="392"/>
      <c r="BV131" s="392"/>
      <c r="BW131" s="392"/>
      <c r="BX131" s="392"/>
      <c r="BY131" s="392"/>
      <c r="BZ131" s="392"/>
      <c r="CA131" s="392"/>
      <c r="CB131" s="392"/>
      <c r="CC131" s="392"/>
      <c r="CD131" s="392"/>
      <c r="CE131" s="392"/>
      <c r="DI131" s="392"/>
      <c r="DJ131" s="392"/>
      <c r="DK131" s="392"/>
      <c r="DL131" s="392"/>
      <c r="DM131" s="392"/>
      <c r="DN131" s="392"/>
      <c r="DO131" s="392"/>
      <c r="DQ131" s="392"/>
      <c r="DS131" s="394"/>
      <c r="DT131" s="394"/>
      <c r="DW131" s="392"/>
      <c r="DX131" s="394"/>
      <c r="DY131" s="394"/>
      <c r="EC131" s="392"/>
      <c r="ED131" s="394"/>
      <c r="EH131" s="394"/>
      <c r="EI131" s="392"/>
      <c r="EJ131" s="394"/>
      <c r="EN131" s="394"/>
      <c r="EO131" s="392"/>
      <c r="EP131" s="394"/>
      <c r="ET131" s="394"/>
      <c r="EU131" s="392"/>
      <c r="EV131" s="394"/>
      <c r="EZ131" s="394"/>
      <c r="FA131" s="392"/>
      <c r="FB131" s="394"/>
      <c r="FF131" s="394"/>
      <c r="FG131" s="392"/>
      <c r="FH131" s="394"/>
      <c r="FL131" s="394"/>
      <c r="FM131" s="392"/>
      <c r="FN131" s="394"/>
      <c r="FR131" s="394"/>
      <c r="FS131" s="392"/>
      <c r="FT131" s="394"/>
      <c r="FX131" s="394"/>
      <c r="FY131" s="392"/>
      <c r="FZ131" s="394"/>
      <c r="GD131" s="394"/>
      <c r="GE131" s="392"/>
      <c r="GF131" s="392"/>
      <c r="GG131" s="394"/>
      <c r="GJ131" s="394"/>
      <c r="GK131" s="392"/>
      <c r="GL131" s="392"/>
      <c r="GM131" s="394"/>
      <c r="GO131" s="394"/>
      <c r="GP131" s="394"/>
      <c r="GQ131" s="392"/>
      <c r="GR131" s="392"/>
      <c r="GS131" s="394"/>
      <c r="GT131" s="394"/>
    </row>
    <row r="132" spans="1:202" s="390" customFormat="1" ht="14" x14ac:dyDescent="0.15">
      <c r="A132" s="2170"/>
      <c r="R132" s="393"/>
      <c r="S132" s="394"/>
      <c r="T132" s="393"/>
      <c r="U132" s="1890"/>
      <c r="V132" s="1889"/>
      <c r="W132" s="1889"/>
      <c r="X132" s="2402"/>
      <c r="Y132" s="2402"/>
      <c r="Z132" s="2402"/>
      <c r="AA132" s="2402"/>
      <c r="AB132" s="2402"/>
      <c r="AC132" s="391"/>
      <c r="AD132" s="392"/>
      <c r="AE132" s="392"/>
      <c r="AF132" s="392"/>
      <c r="AG132" s="392"/>
      <c r="AH132" s="392"/>
      <c r="AI132" s="392"/>
      <c r="AJ132" s="392"/>
      <c r="AK132" s="392"/>
      <c r="AL132" s="392"/>
      <c r="AM132" s="392"/>
      <c r="AN132" s="392"/>
      <c r="AO132" s="392"/>
      <c r="AP132" s="392"/>
      <c r="AQ132" s="392"/>
      <c r="AR132" s="392"/>
      <c r="AS132" s="392"/>
      <c r="AT132" s="392"/>
      <c r="AU132" s="392"/>
      <c r="AV132" s="392"/>
      <c r="AW132" s="392"/>
      <c r="AX132" s="392"/>
      <c r="AY132" s="392"/>
      <c r="AZ132" s="392"/>
      <c r="BA132" s="392"/>
      <c r="BB132" s="392"/>
      <c r="BC132" s="392"/>
      <c r="BD132" s="392"/>
      <c r="BG132" s="393"/>
      <c r="BH132" s="393"/>
      <c r="BI132" s="393"/>
      <c r="BJ132" s="393"/>
      <c r="BK132" s="393"/>
      <c r="BL132" s="393"/>
      <c r="BM132" s="393"/>
      <c r="BN132" s="393"/>
      <c r="BO132" s="394"/>
      <c r="BP132" s="394"/>
      <c r="BQ132" s="394"/>
      <c r="BR132" s="394"/>
      <c r="BS132" s="394"/>
      <c r="BT132" s="394"/>
      <c r="BU132" s="392"/>
      <c r="BV132" s="392"/>
      <c r="BW132" s="392"/>
      <c r="BX132" s="392"/>
      <c r="BY132" s="392"/>
      <c r="BZ132" s="392"/>
      <c r="CA132" s="392"/>
      <c r="CB132" s="392"/>
      <c r="CC132" s="392"/>
      <c r="CD132" s="392"/>
      <c r="CE132" s="392"/>
      <c r="DI132" s="392"/>
      <c r="DJ132" s="392"/>
      <c r="DK132" s="392"/>
      <c r="DL132" s="392"/>
      <c r="DM132" s="392"/>
      <c r="DN132" s="392"/>
      <c r="DO132" s="392"/>
      <c r="DQ132" s="392"/>
      <c r="DS132" s="394"/>
      <c r="DT132" s="394"/>
      <c r="DW132" s="392"/>
      <c r="DX132" s="394"/>
      <c r="DY132" s="394"/>
      <c r="EC132" s="392"/>
      <c r="ED132" s="394"/>
      <c r="EH132" s="394"/>
      <c r="EI132" s="392"/>
      <c r="EJ132" s="394"/>
      <c r="EN132" s="394"/>
      <c r="EO132" s="392"/>
      <c r="EP132" s="394"/>
      <c r="ET132" s="394"/>
      <c r="EU132" s="392"/>
      <c r="EV132" s="394"/>
      <c r="EZ132" s="394"/>
      <c r="FA132" s="392"/>
      <c r="FB132" s="394"/>
      <c r="FF132" s="394"/>
      <c r="FG132" s="392"/>
      <c r="FH132" s="394"/>
      <c r="FL132" s="394"/>
      <c r="FM132" s="392"/>
      <c r="FN132" s="394"/>
      <c r="FR132" s="394"/>
      <c r="FS132" s="392"/>
      <c r="FT132" s="394"/>
      <c r="FX132" s="394"/>
      <c r="FY132" s="392"/>
      <c r="FZ132" s="394"/>
      <c r="GD132" s="394"/>
      <c r="GE132" s="392"/>
      <c r="GF132" s="392"/>
      <c r="GG132" s="394"/>
      <c r="GJ132" s="394"/>
      <c r="GK132" s="392"/>
      <c r="GL132" s="392"/>
      <c r="GM132" s="394"/>
      <c r="GO132" s="394"/>
      <c r="GP132" s="394"/>
      <c r="GQ132" s="392"/>
      <c r="GR132" s="392"/>
      <c r="GS132" s="394"/>
      <c r="GT132" s="394"/>
    </row>
    <row r="133" spans="1:202" s="390" customFormat="1" ht="14" x14ac:dyDescent="0.15">
      <c r="A133" s="2170"/>
      <c r="R133" s="393"/>
      <c r="S133" s="394"/>
      <c r="T133" s="393"/>
      <c r="U133" s="1890"/>
      <c r="V133" s="1889"/>
      <c r="W133" s="1889"/>
      <c r="X133" s="2402"/>
      <c r="Y133" s="2402"/>
      <c r="Z133" s="2402"/>
      <c r="AA133" s="2402"/>
      <c r="AB133" s="2402"/>
      <c r="AC133" s="391"/>
      <c r="AD133" s="392"/>
      <c r="AE133" s="392"/>
      <c r="AF133" s="392"/>
      <c r="AG133" s="392"/>
      <c r="AH133" s="392"/>
      <c r="AI133" s="392"/>
      <c r="AJ133" s="392"/>
      <c r="AK133" s="392"/>
      <c r="AL133" s="392"/>
      <c r="AM133" s="392"/>
      <c r="AN133" s="392"/>
      <c r="AO133" s="392"/>
      <c r="AP133" s="392"/>
      <c r="AQ133" s="392"/>
      <c r="AR133" s="392"/>
      <c r="AS133" s="392"/>
      <c r="AT133" s="392"/>
      <c r="AU133" s="392"/>
      <c r="AV133" s="392"/>
      <c r="AW133" s="392"/>
      <c r="AX133" s="392"/>
      <c r="AY133" s="392"/>
      <c r="AZ133" s="392"/>
      <c r="BA133" s="392"/>
      <c r="BB133" s="392"/>
      <c r="BC133" s="392"/>
      <c r="BD133" s="392"/>
      <c r="BG133" s="393"/>
      <c r="BH133" s="393"/>
      <c r="BI133" s="393"/>
      <c r="BJ133" s="393"/>
      <c r="BK133" s="393"/>
      <c r="BL133" s="393"/>
      <c r="BM133" s="393"/>
      <c r="BN133" s="393"/>
      <c r="BO133" s="394"/>
      <c r="BP133" s="394"/>
      <c r="BQ133" s="394"/>
      <c r="BR133" s="394"/>
      <c r="BS133" s="394"/>
      <c r="BT133" s="394"/>
      <c r="BU133" s="392"/>
      <c r="BV133" s="392"/>
      <c r="BW133" s="392"/>
      <c r="BX133" s="392"/>
      <c r="BY133" s="392"/>
      <c r="BZ133" s="392"/>
      <c r="CA133" s="392"/>
      <c r="CB133" s="392"/>
      <c r="CC133" s="392"/>
      <c r="CD133" s="392"/>
      <c r="CE133" s="392"/>
      <c r="DI133" s="392"/>
      <c r="DJ133" s="392"/>
      <c r="DK133" s="392"/>
      <c r="DL133" s="392"/>
      <c r="DM133" s="392"/>
      <c r="DN133" s="392"/>
      <c r="DO133" s="392"/>
      <c r="DQ133" s="392"/>
      <c r="DS133" s="394"/>
      <c r="DT133" s="394"/>
      <c r="DW133" s="392"/>
      <c r="DX133" s="394"/>
      <c r="DY133" s="394"/>
      <c r="EC133" s="392"/>
      <c r="ED133" s="394"/>
      <c r="EH133" s="394"/>
      <c r="EI133" s="392"/>
      <c r="EJ133" s="394"/>
      <c r="EN133" s="394"/>
      <c r="EO133" s="392"/>
      <c r="EP133" s="394"/>
      <c r="ET133" s="394"/>
      <c r="EU133" s="392"/>
      <c r="EV133" s="394"/>
      <c r="EZ133" s="394"/>
      <c r="FA133" s="392"/>
      <c r="FB133" s="394"/>
      <c r="FF133" s="394"/>
      <c r="FG133" s="392"/>
      <c r="FH133" s="394"/>
      <c r="FL133" s="394"/>
      <c r="FM133" s="392"/>
      <c r="FN133" s="394"/>
      <c r="FR133" s="394"/>
      <c r="FS133" s="392"/>
      <c r="FT133" s="394"/>
      <c r="FX133" s="394"/>
      <c r="FY133" s="392"/>
      <c r="FZ133" s="394"/>
      <c r="GD133" s="394"/>
      <c r="GE133" s="392"/>
      <c r="GF133" s="392"/>
      <c r="GG133" s="394"/>
      <c r="GJ133" s="394"/>
      <c r="GK133" s="392"/>
      <c r="GL133" s="392"/>
      <c r="GM133" s="394"/>
      <c r="GO133" s="394"/>
      <c r="GP133" s="394"/>
      <c r="GQ133" s="392"/>
      <c r="GR133" s="392"/>
      <c r="GS133" s="394"/>
      <c r="GT133" s="394"/>
    </row>
    <row r="134" spans="1:202" s="390" customFormat="1" x14ac:dyDescent="0.15">
      <c r="R134" s="393"/>
      <c r="S134" s="394"/>
      <c r="T134" s="393"/>
      <c r="U134" s="1890"/>
      <c r="V134" s="1889"/>
      <c r="W134" s="1889"/>
      <c r="X134" s="2402"/>
      <c r="Y134" s="2402"/>
      <c r="Z134" s="2403"/>
      <c r="AA134" s="2403"/>
      <c r="AB134" s="2403"/>
      <c r="AC134" s="391"/>
      <c r="AD134" s="392"/>
      <c r="AE134" s="392"/>
      <c r="AF134" s="392"/>
      <c r="AG134" s="392"/>
      <c r="AH134" s="392"/>
      <c r="AI134" s="392"/>
      <c r="AJ134" s="392"/>
      <c r="AK134" s="392"/>
      <c r="AL134" s="392"/>
      <c r="AM134" s="392"/>
      <c r="AN134" s="392"/>
      <c r="AO134" s="392"/>
      <c r="AP134" s="392"/>
      <c r="AQ134" s="392"/>
      <c r="AR134" s="392"/>
      <c r="AS134" s="392"/>
      <c r="AT134" s="392"/>
      <c r="AU134" s="392"/>
      <c r="AV134" s="392"/>
      <c r="AW134" s="392"/>
      <c r="AX134" s="392"/>
      <c r="AY134" s="392"/>
      <c r="AZ134" s="392"/>
      <c r="BA134" s="392"/>
      <c r="BB134" s="392"/>
      <c r="BC134" s="392"/>
      <c r="BD134" s="392"/>
      <c r="BG134" s="393"/>
      <c r="BH134" s="393"/>
      <c r="BI134" s="393"/>
      <c r="BJ134" s="393"/>
      <c r="BK134" s="393"/>
      <c r="BL134" s="393"/>
      <c r="BM134" s="393"/>
      <c r="BN134" s="393"/>
      <c r="BO134" s="394"/>
      <c r="BP134" s="394"/>
      <c r="BQ134" s="394"/>
      <c r="BR134" s="394"/>
      <c r="BS134" s="394"/>
      <c r="BT134" s="394"/>
      <c r="BU134" s="392"/>
      <c r="BV134" s="392"/>
      <c r="BW134" s="392"/>
      <c r="BX134" s="392"/>
      <c r="BY134" s="392"/>
      <c r="BZ134" s="392"/>
      <c r="CA134" s="392"/>
      <c r="CB134" s="392"/>
      <c r="CC134" s="392"/>
      <c r="CD134" s="392"/>
      <c r="CE134" s="392"/>
      <c r="DI134" s="392"/>
      <c r="DJ134" s="392"/>
      <c r="DK134" s="392"/>
      <c r="DL134" s="392"/>
      <c r="DM134" s="392"/>
      <c r="DN134" s="392"/>
      <c r="DO134" s="392"/>
      <c r="DQ134" s="392"/>
      <c r="DS134" s="394"/>
      <c r="DT134" s="394"/>
      <c r="DW134" s="392"/>
      <c r="DX134" s="394"/>
      <c r="DY134" s="394"/>
      <c r="EC134" s="392"/>
      <c r="ED134" s="394"/>
      <c r="EH134" s="394"/>
      <c r="EI134" s="392"/>
      <c r="EJ134" s="394"/>
      <c r="EN134" s="394"/>
      <c r="EO134" s="392"/>
      <c r="EP134" s="394"/>
      <c r="ET134" s="394"/>
      <c r="EU134" s="392"/>
      <c r="EV134" s="394"/>
      <c r="EZ134" s="394"/>
      <c r="FA134" s="392"/>
      <c r="FB134" s="394"/>
      <c r="FF134" s="394"/>
      <c r="FG134" s="392"/>
      <c r="FH134" s="394"/>
      <c r="FL134" s="394"/>
      <c r="FM134" s="392"/>
      <c r="FN134" s="394"/>
      <c r="FR134" s="394"/>
      <c r="FS134" s="392"/>
      <c r="FT134" s="394"/>
      <c r="FX134" s="394"/>
      <c r="FY134" s="392"/>
      <c r="FZ134" s="394"/>
      <c r="GD134" s="394"/>
      <c r="GE134" s="392"/>
      <c r="GF134" s="392"/>
      <c r="GG134" s="394"/>
      <c r="GJ134" s="394"/>
      <c r="GK134" s="392"/>
      <c r="GL134" s="392"/>
      <c r="GM134" s="394"/>
      <c r="GO134" s="394"/>
      <c r="GP134" s="394"/>
      <c r="GQ134" s="392"/>
      <c r="GR134" s="392"/>
      <c r="GS134" s="394"/>
      <c r="GT134" s="394"/>
    </row>
    <row r="135" spans="1:202" s="390" customFormat="1" x14ac:dyDescent="0.15">
      <c r="R135" s="393"/>
      <c r="S135" s="394"/>
      <c r="T135" s="393"/>
      <c r="U135" s="1890"/>
      <c r="V135" s="1889"/>
      <c r="W135" s="1889"/>
      <c r="X135" s="2402"/>
      <c r="Y135" s="2402"/>
      <c r="Z135" s="2402"/>
      <c r="AA135" s="2402"/>
      <c r="AB135" s="2402"/>
      <c r="AC135" s="391"/>
      <c r="AD135" s="392"/>
      <c r="AE135" s="392"/>
      <c r="AF135" s="392"/>
      <c r="AG135" s="392"/>
      <c r="AH135" s="392"/>
      <c r="AI135" s="392"/>
      <c r="AJ135" s="392"/>
      <c r="AK135" s="392"/>
      <c r="AL135" s="392"/>
      <c r="AM135" s="392"/>
      <c r="AN135" s="392"/>
      <c r="AO135" s="392"/>
      <c r="AP135" s="392"/>
      <c r="AQ135" s="392"/>
      <c r="AR135" s="392"/>
      <c r="AS135" s="392"/>
      <c r="AT135" s="392"/>
      <c r="AU135" s="392"/>
      <c r="AV135" s="392"/>
      <c r="AW135" s="392"/>
      <c r="AX135" s="392"/>
      <c r="AY135" s="392"/>
      <c r="AZ135" s="392"/>
      <c r="BA135" s="392"/>
      <c r="BB135" s="392"/>
      <c r="BC135" s="392"/>
      <c r="BD135" s="392"/>
      <c r="BG135" s="393"/>
      <c r="BH135" s="393"/>
      <c r="BI135" s="393"/>
      <c r="BJ135" s="393"/>
      <c r="BK135" s="393"/>
      <c r="BL135" s="393"/>
      <c r="BM135" s="393"/>
      <c r="BN135" s="393"/>
      <c r="BO135" s="394"/>
      <c r="BP135" s="394"/>
      <c r="BQ135" s="394"/>
      <c r="BR135" s="394"/>
      <c r="BS135" s="394"/>
      <c r="BT135" s="394"/>
      <c r="BU135" s="392"/>
      <c r="BV135" s="392"/>
      <c r="BW135" s="392"/>
      <c r="BX135" s="392"/>
      <c r="BY135" s="392"/>
      <c r="BZ135" s="392"/>
      <c r="CA135" s="392"/>
      <c r="CB135" s="392"/>
      <c r="CC135" s="392"/>
      <c r="CD135" s="392"/>
      <c r="CE135" s="392"/>
      <c r="DI135" s="392"/>
      <c r="DJ135" s="392"/>
      <c r="DK135" s="392"/>
      <c r="DL135" s="392"/>
      <c r="DM135" s="392"/>
      <c r="DN135" s="392"/>
      <c r="DO135" s="392"/>
      <c r="DQ135" s="392"/>
      <c r="DS135" s="394"/>
      <c r="DT135" s="394"/>
      <c r="DW135" s="392"/>
      <c r="DX135" s="394"/>
      <c r="DY135" s="394"/>
      <c r="EC135" s="392"/>
      <c r="ED135" s="394"/>
      <c r="EH135" s="394"/>
      <c r="EI135" s="392"/>
      <c r="EJ135" s="394"/>
      <c r="EN135" s="394"/>
      <c r="EO135" s="392"/>
      <c r="EP135" s="394"/>
      <c r="ET135" s="394"/>
      <c r="EU135" s="392"/>
      <c r="EV135" s="394"/>
      <c r="EZ135" s="394"/>
      <c r="FA135" s="392"/>
      <c r="FB135" s="394"/>
      <c r="FF135" s="394"/>
      <c r="FG135" s="392"/>
      <c r="FH135" s="394"/>
      <c r="FL135" s="394"/>
      <c r="FM135" s="392"/>
      <c r="FN135" s="394"/>
      <c r="FR135" s="394"/>
      <c r="FS135" s="392"/>
      <c r="FT135" s="394"/>
      <c r="FX135" s="394"/>
      <c r="FY135" s="392"/>
      <c r="FZ135" s="394"/>
      <c r="GD135" s="394"/>
      <c r="GE135" s="392"/>
      <c r="GF135" s="392"/>
      <c r="GG135" s="394"/>
      <c r="GJ135" s="394"/>
      <c r="GK135" s="392"/>
      <c r="GL135" s="392"/>
      <c r="GM135" s="394"/>
      <c r="GO135" s="394"/>
      <c r="GP135" s="394"/>
      <c r="GQ135" s="392"/>
      <c r="GR135" s="392"/>
      <c r="GS135" s="394"/>
      <c r="GT135" s="394"/>
    </row>
    <row r="136" spans="1:202" s="390" customFormat="1" x14ac:dyDescent="0.15">
      <c r="R136" s="393"/>
      <c r="S136" s="394"/>
      <c r="T136" s="393"/>
      <c r="U136" s="1890"/>
      <c r="V136" s="1889"/>
      <c r="W136" s="1889"/>
      <c r="X136" s="2402"/>
      <c r="Y136" s="2402"/>
      <c r="Z136" s="2402"/>
      <c r="AA136" s="2402"/>
      <c r="AB136" s="2402"/>
      <c r="AC136" s="391"/>
      <c r="AD136" s="392"/>
      <c r="AE136" s="392"/>
      <c r="AF136" s="392"/>
      <c r="AG136" s="392"/>
      <c r="AH136" s="392"/>
      <c r="AI136" s="392"/>
      <c r="AJ136" s="392"/>
      <c r="AK136" s="392"/>
      <c r="AL136" s="392"/>
      <c r="AM136" s="392"/>
      <c r="AN136" s="392"/>
      <c r="AO136" s="392"/>
      <c r="AP136" s="392"/>
      <c r="AQ136" s="392"/>
      <c r="AR136" s="392"/>
      <c r="AS136" s="392"/>
      <c r="AT136" s="392"/>
      <c r="AU136" s="392"/>
      <c r="AV136" s="392"/>
      <c r="AW136" s="392"/>
      <c r="AX136" s="392"/>
      <c r="AY136" s="392"/>
      <c r="AZ136" s="392"/>
      <c r="BA136" s="392"/>
      <c r="BB136" s="392"/>
      <c r="BC136" s="392"/>
      <c r="BD136" s="392"/>
      <c r="BG136" s="393"/>
      <c r="BH136" s="393"/>
      <c r="BI136" s="393"/>
      <c r="BJ136" s="393"/>
      <c r="BK136" s="393"/>
      <c r="BL136" s="393"/>
      <c r="BM136" s="393"/>
      <c r="BN136" s="393"/>
      <c r="BO136" s="394"/>
      <c r="BP136" s="394"/>
      <c r="BQ136" s="394"/>
      <c r="BR136" s="394"/>
      <c r="BS136" s="394"/>
      <c r="BT136" s="394"/>
      <c r="BU136" s="392"/>
      <c r="BV136" s="392"/>
      <c r="BW136" s="392"/>
      <c r="BX136" s="392"/>
      <c r="BY136" s="392"/>
      <c r="BZ136" s="392"/>
      <c r="CA136" s="392"/>
      <c r="CB136" s="392"/>
      <c r="CC136" s="392"/>
      <c r="CD136" s="392"/>
      <c r="CE136" s="392"/>
      <c r="DI136" s="392"/>
      <c r="DJ136" s="392"/>
      <c r="DK136" s="392"/>
      <c r="DL136" s="392"/>
      <c r="DM136" s="392"/>
      <c r="DN136" s="392"/>
      <c r="DO136" s="392"/>
      <c r="DQ136" s="392"/>
      <c r="DS136" s="394"/>
      <c r="DT136" s="394"/>
      <c r="DW136" s="392"/>
      <c r="DX136" s="394"/>
      <c r="DY136" s="394"/>
      <c r="EC136" s="392"/>
      <c r="ED136" s="394"/>
      <c r="EH136" s="394"/>
      <c r="EI136" s="392"/>
      <c r="EJ136" s="394"/>
      <c r="EN136" s="394"/>
      <c r="EO136" s="392"/>
      <c r="EP136" s="394"/>
      <c r="ET136" s="394"/>
      <c r="EU136" s="392"/>
      <c r="EV136" s="394"/>
      <c r="EZ136" s="394"/>
      <c r="FA136" s="392"/>
      <c r="FB136" s="394"/>
      <c r="FF136" s="394"/>
      <c r="FG136" s="392"/>
      <c r="FH136" s="394"/>
      <c r="FL136" s="394"/>
      <c r="FM136" s="392"/>
      <c r="FN136" s="394"/>
      <c r="FR136" s="394"/>
      <c r="FS136" s="392"/>
      <c r="FT136" s="394"/>
      <c r="FX136" s="394"/>
      <c r="FY136" s="392"/>
      <c r="FZ136" s="394"/>
      <c r="GD136" s="394"/>
      <c r="GE136" s="392"/>
      <c r="GF136" s="392"/>
      <c r="GG136" s="394"/>
      <c r="GJ136" s="394"/>
      <c r="GK136" s="392"/>
      <c r="GL136" s="392"/>
      <c r="GM136" s="394"/>
      <c r="GO136" s="394"/>
      <c r="GP136" s="394"/>
      <c r="GQ136" s="392"/>
      <c r="GR136" s="392"/>
      <c r="GS136" s="394"/>
      <c r="GT136" s="394"/>
    </row>
    <row r="137" spans="1:202" s="390" customFormat="1" x14ac:dyDescent="0.15">
      <c r="R137" s="393"/>
      <c r="S137" s="394"/>
      <c r="T137" s="393"/>
      <c r="U137" s="1890"/>
      <c r="V137" s="1889"/>
      <c r="W137" s="1889"/>
      <c r="X137" s="2402"/>
      <c r="Y137" s="2402"/>
      <c r="Z137" s="2402"/>
      <c r="AA137" s="2402"/>
      <c r="AB137" s="2402"/>
      <c r="AC137" s="391"/>
      <c r="AD137" s="392"/>
      <c r="AE137" s="392"/>
      <c r="AF137" s="392"/>
      <c r="AG137" s="392"/>
      <c r="AH137" s="392"/>
      <c r="AI137" s="392"/>
      <c r="AJ137" s="392"/>
      <c r="AK137" s="392"/>
      <c r="AL137" s="392"/>
      <c r="AM137" s="392"/>
      <c r="AN137" s="392"/>
      <c r="AO137" s="392"/>
      <c r="AP137" s="392"/>
      <c r="AQ137" s="392"/>
      <c r="AR137" s="392"/>
      <c r="AS137" s="392"/>
      <c r="AT137" s="392"/>
      <c r="AU137" s="392"/>
      <c r="AV137" s="392"/>
      <c r="AW137" s="392"/>
      <c r="AX137" s="392"/>
      <c r="AY137" s="392"/>
      <c r="AZ137" s="392"/>
      <c r="BA137" s="392"/>
      <c r="BB137" s="392"/>
      <c r="BC137" s="392"/>
      <c r="BD137" s="392"/>
      <c r="BG137" s="393"/>
      <c r="BH137" s="393"/>
      <c r="BI137" s="393"/>
      <c r="BJ137" s="393"/>
      <c r="BK137" s="393"/>
      <c r="BL137" s="393"/>
      <c r="BM137" s="393"/>
      <c r="BN137" s="393"/>
      <c r="BO137" s="394"/>
      <c r="BP137" s="394"/>
      <c r="BQ137" s="394"/>
      <c r="BR137" s="394"/>
      <c r="BS137" s="394"/>
      <c r="BT137" s="394"/>
      <c r="BU137" s="392"/>
      <c r="BV137" s="392"/>
      <c r="BW137" s="392"/>
      <c r="BX137" s="392"/>
      <c r="BY137" s="392"/>
      <c r="BZ137" s="392"/>
      <c r="CA137" s="392"/>
      <c r="CB137" s="392"/>
      <c r="CC137" s="392"/>
      <c r="CD137" s="392"/>
      <c r="CE137" s="392"/>
      <c r="DI137" s="392"/>
      <c r="DJ137" s="392"/>
      <c r="DK137" s="392"/>
      <c r="DL137" s="392"/>
      <c r="DM137" s="392"/>
      <c r="DN137" s="392"/>
      <c r="DO137" s="392"/>
      <c r="DQ137" s="392"/>
      <c r="DS137" s="394"/>
      <c r="DT137" s="394"/>
      <c r="DW137" s="392"/>
      <c r="DX137" s="394"/>
      <c r="DY137" s="394"/>
      <c r="EC137" s="392"/>
      <c r="ED137" s="394"/>
      <c r="EH137" s="394"/>
      <c r="EI137" s="392"/>
      <c r="EJ137" s="394"/>
      <c r="EN137" s="394"/>
      <c r="EO137" s="392"/>
      <c r="EP137" s="394"/>
      <c r="ET137" s="394"/>
      <c r="EU137" s="392"/>
      <c r="EV137" s="394"/>
      <c r="EZ137" s="394"/>
      <c r="FA137" s="392"/>
      <c r="FB137" s="394"/>
      <c r="FF137" s="394"/>
      <c r="FG137" s="392"/>
      <c r="FH137" s="394"/>
      <c r="FL137" s="394"/>
      <c r="FM137" s="392"/>
      <c r="FN137" s="394"/>
      <c r="FR137" s="394"/>
      <c r="FS137" s="392"/>
      <c r="FT137" s="394"/>
      <c r="FX137" s="394"/>
      <c r="FY137" s="392"/>
      <c r="FZ137" s="394"/>
      <c r="GD137" s="394"/>
      <c r="GE137" s="392"/>
      <c r="GF137" s="392"/>
      <c r="GG137" s="394"/>
      <c r="GJ137" s="394"/>
      <c r="GK137" s="392"/>
      <c r="GL137" s="392"/>
      <c r="GM137" s="394"/>
      <c r="GO137" s="394"/>
      <c r="GP137" s="394"/>
      <c r="GQ137" s="392"/>
      <c r="GR137" s="392"/>
      <c r="GS137" s="394"/>
      <c r="GT137" s="394"/>
    </row>
    <row r="138" spans="1:202" s="390" customFormat="1" x14ac:dyDescent="0.15">
      <c r="R138" s="393"/>
      <c r="S138" s="394"/>
      <c r="T138" s="393"/>
      <c r="U138" s="320"/>
      <c r="V138" s="320"/>
      <c r="W138" s="1889"/>
      <c r="X138" s="2402"/>
      <c r="Y138" s="2402"/>
      <c r="Z138" s="2402"/>
      <c r="AA138" s="2402"/>
      <c r="AB138" s="2402"/>
      <c r="AC138" s="391"/>
      <c r="AD138" s="392"/>
      <c r="AE138" s="392"/>
      <c r="AF138" s="392"/>
      <c r="AG138" s="392"/>
      <c r="AH138" s="392"/>
      <c r="AI138" s="392"/>
      <c r="AJ138" s="392"/>
      <c r="AK138" s="392"/>
      <c r="AL138" s="392"/>
      <c r="AM138" s="392"/>
      <c r="AN138" s="392"/>
      <c r="AO138" s="392"/>
      <c r="AP138" s="392"/>
      <c r="AQ138" s="392"/>
      <c r="AR138" s="392"/>
      <c r="AS138" s="392"/>
      <c r="AT138" s="392"/>
      <c r="AU138" s="392"/>
      <c r="AV138" s="392"/>
      <c r="AW138" s="392"/>
      <c r="AX138" s="392"/>
      <c r="AY138" s="392"/>
      <c r="AZ138" s="392"/>
      <c r="BA138" s="392"/>
      <c r="BB138" s="392"/>
      <c r="BC138" s="392"/>
      <c r="BD138" s="392"/>
      <c r="BG138" s="393"/>
      <c r="BH138" s="393"/>
      <c r="BI138" s="393"/>
      <c r="BJ138" s="393"/>
      <c r="BK138" s="393"/>
      <c r="BL138" s="393"/>
      <c r="BM138" s="393"/>
      <c r="BN138" s="393"/>
      <c r="BO138" s="394"/>
      <c r="BP138" s="394"/>
      <c r="BQ138" s="394"/>
      <c r="BR138" s="394"/>
      <c r="BS138" s="394"/>
      <c r="BT138" s="394"/>
      <c r="BU138" s="392"/>
      <c r="BV138" s="392"/>
      <c r="BW138" s="392"/>
      <c r="BX138" s="392"/>
      <c r="BY138" s="392"/>
      <c r="BZ138" s="392"/>
      <c r="CA138" s="392"/>
      <c r="CB138" s="392"/>
      <c r="CC138" s="392"/>
      <c r="CD138" s="392"/>
      <c r="CE138" s="392"/>
      <c r="DI138" s="392"/>
      <c r="DJ138" s="392"/>
      <c r="DK138" s="392"/>
      <c r="DL138" s="392"/>
      <c r="DM138" s="392"/>
      <c r="DN138" s="392"/>
      <c r="DO138" s="392"/>
      <c r="DQ138" s="392"/>
      <c r="DS138" s="394"/>
      <c r="DT138" s="394"/>
      <c r="DW138" s="392"/>
      <c r="DX138" s="394"/>
      <c r="DY138" s="394"/>
      <c r="EC138" s="392"/>
      <c r="ED138" s="394"/>
      <c r="EH138" s="394"/>
      <c r="EI138" s="392"/>
      <c r="EJ138" s="394"/>
      <c r="EN138" s="394"/>
      <c r="EO138" s="392"/>
      <c r="EP138" s="394"/>
      <c r="ET138" s="394"/>
      <c r="EU138" s="392"/>
      <c r="EV138" s="394"/>
      <c r="EZ138" s="394"/>
      <c r="FA138" s="392"/>
      <c r="FB138" s="394"/>
      <c r="FF138" s="394"/>
      <c r="FG138" s="392"/>
      <c r="FH138" s="394"/>
      <c r="FL138" s="394"/>
      <c r="FM138" s="392"/>
      <c r="FN138" s="394"/>
      <c r="FR138" s="394"/>
      <c r="FS138" s="392"/>
      <c r="FT138" s="394"/>
      <c r="FX138" s="394"/>
      <c r="FY138" s="392"/>
      <c r="FZ138" s="394"/>
      <c r="GD138" s="394"/>
      <c r="GE138" s="392"/>
      <c r="GF138" s="392"/>
      <c r="GG138" s="394"/>
      <c r="GJ138" s="394"/>
      <c r="GK138" s="392"/>
      <c r="GL138" s="392"/>
      <c r="GM138" s="394"/>
      <c r="GO138" s="394"/>
      <c r="GP138" s="394"/>
      <c r="GQ138" s="392"/>
      <c r="GR138" s="392"/>
      <c r="GS138" s="394"/>
      <c r="GT138" s="394"/>
    </row>
    <row r="139" spans="1:202" s="390" customFormat="1" x14ac:dyDescent="0.15">
      <c r="R139" s="393"/>
      <c r="S139" s="394"/>
      <c r="T139" s="393"/>
      <c r="U139" s="320"/>
      <c r="V139" s="320"/>
      <c r="W139" s="1889"/>
      <c r="X139" s="2402"/>
      <c r="Y139" s="2402"/>
      <c r="Z139" s="2402"/>
      <c r="AA139" s="2402"/>
      <c r="AB139" s="2402"/>
      <c r="AC139" s="391"/>
      <c r="AD139" s="392"/>
      <c r="AE139" s="392"/>
      <c r="AF139" s="392"/>
      <c r="AG139" s="392"/>
      <c r="AH139" s="392"/>
      <c r="AI139" s="392"/>
      <c r="AJ139" s="392"/>
      <c r="AK139" s="392"/>
      <c r="AL139" s="392"/>
      <c r="AM139" s="392"/>
      <c r="AN139" s="392"/>
      <c r="AO139" s="392"/>
      <c r="AP139" s="392"/>
      <c r="AQ139" s="392"/>
      <c r="AR139" s="392"/>
      <c r="AS139" s="392"/>
      <c r="AT139" s="392"/>
      <c r="AU139" s="392"/>
      <c r="AV139" s="392"/>
      <c r="AW139" s="392"/>
      <c r="AX139" s="392"/>
      <c r="AY139" s="392"/>
      <c r="AZ139" s="392"/>
      <c r="BA139" s="392"/>
      <c r="BB139" s="392"/>
      <c r="BC139" s="392"/>
      <c r="BD139" s="392"/>
      <c r="BG139" s="393"/>
      <c r="BH139" s="393"/>
      <c r="BI139" s="393"/>
      <c r="BJ139" s="393"/>
      <c r="BK139" s="393"/>
      <c r="BL139" s="393"/>
      <c r="BM139" s="393"/>
      <c r="BN139" s="393"/>
      <c r="BO139" s="394"/>
      <c r="BP139" s="394"/>
      <c r="BQ139" s="394"/>
      <c r="BR139" s="394"/>
      <c r="BS139" s="394"/>
      <c r="BT139" s="394"/>
      <c r="BU139" s="392"/>
      <c r="BV139" s="392"/>
      <c r="BW139" s="392"/>
      <c r="BX139" s="392"/>
      <c r="BY139" s="392"/>
      <c r="BZ139" s="392"/>
      <c r="CA139" s="392"/>
      <c r="CB139" s="392"/>
      <c r="CC139" s="392"/>
      <c r="CD139" s="392"/>
      <c r="CE139" s="392"/>
      <c r="DI139" s="392"/>
      <c r="DJ139" s="392"/>
      <c r="DK139" s="392"/>
      <c r="DL139" s="392"/>
      <c r="DM139" s="392"/>
      <c r="DN139" s="392"/>
      <c r="DO139" s="392"/>
      <c r="DQ139" s="392"/>
      <c r="DS139" s="394"/>
      <c r="DT139" s="394"/>
      <c r="DW139" s="392"/>
      <c r="DX139" s="394"/>
      <c r="DY139" s="394"/>
      <c r="EC139" s="392"/>
      <c r="ED139" s="394"/>
      <c r="EH139" s="394"/>
      <c r="EI139" s="392"/>
      <c r="EJ139" s="394"/>
      <c r="EN139" s="394"/>
      <c r="EO139" s="392"/>
      <c r="EP139" s="394"/>
      <c r="ET139" s="394"/>
      <c r="EU139" s="392"/>
      <c r="EV139" s="394"/>
      <c r="EZ139" s="394"/>
      <c r="FA139" s="392"/>
      <c r="FB139" s="394"/>
      <c r="FF139" s="394"/>
      <c r="FG139" s="392"/>
      <c r="FH139" s="394"/>
      <c r="FL139" s="394"/>
      <c r="FM139" s="392"/>
      <c r="FN139" s="394"/>
      <c r="FR139" s="394"/>
      <c r="FS139" s="392"/>
      <c r="FT139" s="394"/>
      <c r="FX139" s="394"/>
      <c r="FY139" s="392"/>
      <c r="FZ139" s="394"/>
      <c r="GD139" s="394"/>
      <c r="GE139" s="392"/>
      <c r="GF139" s="392"/>
      <c r="GG139" s="394"/>
      <c r="GJ139" s="394"/>
      <c r="GK139" s="392"/>
      <c r="GL139" s="392"/>
      <c r="GM139" s="394"/>
      <c r="GO139" s="394"/>
      <c r="GP139" s="394"/>
      <c r="GQ139" s="392"/>
      <c r="GR139" s="392"/>
      <c r="GS139" s="394"/>
      <c r="GT139" s="394"/>
    </row>
    <row r="140" spans="1:202" s="390" customFormat="1" x14ac:dyDescent="0.15">
      <c r="R140" s="393"/>
      <c r="S140" s="394"/>
      <c r="T140" s="393"/>
      <c r="U140" s="587"/>
      <c r="V140" s="587"/>
      <c r="W140" s="1889"/>
      <c r="X140" s="2403"/>
      <c r="Y140" s="2403"/>
      <c r="Z140" s="2403"/>
      <c r="AA140" s="2403"/>
      <c r="AB140" s="2403"/>
      <c r="AC140" s="391"/>
      <c r="AD140" s="392"/>
      <c r="AE140" s="392"/>
      <c r="AF140" s="392"/>
      <c r="AG140" s="392"/>
      <c r="AH140" s="392"/>
      <c r="AI140" s="392"/>
      <c r="AJ140" s="392"/>
      <c r="AK140" s="392"/>
      <c r="AL140" s="392"/>
      <c r="AM140" s="392"/>
      <c r="AN140" s="392"/>
      <c r="AO140" s="392"/>
      <c r="AP140" s="392"/>
      <c r="AQ140" s="392"/>
      <c r="AR140" s="392"/>
      <c r="AS140" s="392"/>
      <c r="AT140" s="392"/>
      <c r="AU140" s="392"/>
      <c r="AV140" s="392"/>
      <c r="AW140" s="392"/>
      <c r="AX140" s="392"/>
      <c r="AY140" s="392"/>
      <c r="AZ140" s="392"/>
      <c r="BA140" s="392"/>
      <c r="BB140" s="392"/>
      <c r="BC140" s="392"/>
      <c r="BD140" s="392"/>
      <c r="BG140" s="393"/>
      <c r="BH140" s="393"/>
      <c r="BI140" s="393"/>
      <c r="BJ140" s="393"/>
      <c r="BK140" s="393"/>
      <c r="BL140" s="393"/>
      <c r="BM140" s="393"/>
      <c r="BN140" s="393"/>
      <c r="BO140" s="394"/>
      <c r="BP140" s="394"/>
      <c r="BQ140" s="394"/>
      <c r="BR140" s="394"/>
      <c r="BS140" s="394"/>
      <c r="BT140" s="394"/>
      <c r="BU140" s="392"/>
      <c r="BV140" s="392"/>
      <c r="BW140" s="392"/>
      <c r="BX140" s="392"/>
      <c r="BY140" s="392"/>
      <c r="BZ140" s="392"/>
      <c r="CA140" s="392"/>
      <c r="CB140" s="392"/>
      <c r="CC140" s="392"/>
      <c r="CD140" s="392"/>
      <c r="CE140" s="392"/>
      <c r="DI140" s="392"/>
      <c r="DJ140" s="392"/>
      <c r="DK140" s="392"/>
      <c r="DL140" s="392"/>
      <c r="DM140" s="392"/>
      <c r="DN140" s="392"/>
      <c r="DO140" s="392"/>
      <c r="DQ140" s="392"/>
      <c r="DS140" s="394"/>
      <c r="DT140" s="394"/>
      <c r="DW140" s="392"/>
      <c r="DX140" s="394"/>
      <c r="DY140" s="394"/>
      <c r="EC140" s="392"/>
      <c r="ED140" s="394"/>
      <c r="EH140" s="394"/>
      <c r="EI140" s="392"/>
      <c r="EJ140" s="394"/>
      <c r="EN140" s="394"/>
      <c r="EO140" s="392"/>
      <c r="EP140" s="394"/>
      <c r="ET140" s="394"/>
      <c r="EU140" s="392"/>
      <c r="EV140" s="394"/>
      <c r="EZ140" s="394"/>
      <c r="FA140" s="392"/>
      <c r="FB140" s="394"/>
      <c r="FF140" s="394"/>
      <c r="FG140" s="392"/>
      <c r="FH140" s="394"/>
      <c r="FL140" s="394"/>
      <c r="FM140" s="392"/>
      <c r="FN140" s="394"/>
      <c r="FR140" s="394"/>
      <c r="FS140" s="392"/>
      <c r="FT140" s="394"/>
      <c r="FX140" s="394"/>
      <c r="FY140" s="392"/>
      <c r="FZ140" s="394"/>
      <c r="GD140" s="394"/>
      <c r="GE140" s="392"/>
      <c r="GF140" s="392"/>
      <c r="GG140" s="394"/>
      <c r="GJ140" s="394"/>
      <c r="GK140" s="392"/>
      <c r="GL140" s="392"/>
      <c r="GM140" s="394"/>
      <c r="GO140" s="394"/>
      <c r="GP140" s="394"/>
      <c r="GQ140" s="392"/>
      <c r="GR140" s="392"/>
      <c r="GS140" s="394"/>
      <c r="GT140" s="394"/>
    </row>
    <row r="141" spans="1:202" s="390" customFormat="1" x14ac:dyDescent="0.15">
      <c r="C141" s="587"/>
      <c r="D141" s="587"/>
      <c r="E141" s="587"/>
      <c r="F141" s="587"/>
      <c r="G141" s="587"/>
      <c r="H141" s="587"/>
      <c r="I141" s="587"/>
      <c r="J141" s="587"/>
      <c r="K141" s="392"/>
      <c r="L141" s="392"/>
      <c r="M141" s="392"/>
      <c r="N141" s="392"/>
      <c r="O141" s="392"/>
      <c r="P141" s="392"/>
      <c r="Q141" s="392"/>
      <c r="R141" s="393"/>
      <c r="S141" s="394"/>
      <c r="T141" s="393"/>
      <c r="U141" s="393"/>
      <c r="V141" s="394"/>
      <c r="W141" s="394"/>
      <c r="X141" s="394"/>
      <c r="Y141" s="394"/>
      <c r="Z141" s="394"/>
      <c r="AA141" s="394"/>
      <c r="AB141" s="394"/>
      <c r="AC141" s="391"/>
      <c r="AD141" s="392"/>
      <c r="AE141" s="392"/>
      <c r="AF141" s="392"/>
      <c r="AG141" s="392"/>
      <c r="AH141" s="392"/>
      <c r="AI141" s="392"/>
      <c r="AJ141" s="392"/>
      <c r="AK141" s="392"/>
      <c r="AL141" s="392"/>
      <c r="AM141" s="392"/>
      <c r="AN141" s="392"/>
      <c r="AO141" s="392"/>
      <c r="AP141" s="392"/>
      <c r="AQ141" s="392"/>
      <c r="AR141" s="392"/>
      <c r="AS141" s="392"/>
      <c r="AT141" s="392"/>
      <c r="AU141" s="392"/>
      <c r="AV141" s="392"/>
      <c r="AW141" s="392"/>
      <c r="AX141" s="392"/>
      <c r="AY141" s="392"/>
      <c r="AZ141" s="392"/>
      <c r="BA141" s="392"/>
      <c r="BB141" s="392"/>
      <c r="BC141" s="392"/>
      <c r="BD141" s="392"/>
      <c r="BG141" s="393"/>
      <c r="BH141" s="393"/>
      <c r="BI141" s="393"/>
      <c r="BJ141" s="393"/>
      <c r="BK141" s="393"/>
      <c r="BL141" s="393"/>
      <c r="BM141" s="393"/>
      <c r="BN141" s="393"/>
      <c r="BO141" s="394"/>
      <c r="BP141" s="394"/>
      <c r="BQ141" s="394"/>
      <c r="BR141" s="394"/>
      <c r="BS141" s="394"/>
      <c r="BT141" s="394"/>
      <c r="BU141" s="392"/>
      <c r="BV141" s="392"/>
      <c r="BW141" s="392"/>
      <c r="BX141" s="392"/>
      <c r="BY141" s="392"/>
      <c r="BZ141" s="392"/>
      <c r="CA141" s="392"/>
      <c r="CB141" s="392"/>
      <c r="CC141" s="392"/>
      <c r="CD141" s="392"/>
      <c r="CE141" s="392"/>
      <c r="DI141" s="392"/>
      <c r="DJ141" s="392"/>
      <c r="DK141" s="392"/>
      <c r="DL141" s="392"/>
      <c r="DM141" s="392"/>
      <c r="DN141" s="392"/>
      <c r="DO141" s="392"/>
      <c r="DQ141" s="392"/>
      <c r="DS141" s="394"/>
      <c r="DT141" s="394"/>
      <c r="DW141" s="392"/>
      <c r="DX141" s="394"/>
      <c r="DY141" s="394"/>
      <c r="EC141" s="392"/>
      <c r="ED141" s="394"/>
      <c r="EH141" s="394"/>
      <c r="EI141" s="392"/>
      <c r="EJ141" s="394"/>
      <c r="EN141" s="394"/>
      <c r="EO141" s="392"/>
      <c r="EP141" s="394"/>
      <c r="ET141" s="394"/>
      <c r="EU141" s="392"/>
      <c r="EV141" s="394"/>
      <c r="EZ141" s="394"/>
      <c r="FA141" s="392"/>
      <c r="FB141" s="394"/>
      <c r="FF141" s="394"/>
      <c r="FG141" s="392"/>
      <c r="FH141" s="394"/>
      <c r="FL141" s="394"/>
      <c r="FM141" s="392"/>
      <c r="FN141" s="394"/>
      <c r="FR141" s="394"/>
      <c r="FS141" s="392"/>
      <c r="FT141" s="394"/>
      <c r="FX141" s="394"/>
      <c r="FY141" s="392"/>
      <c r="FZ141" s="394"/>
      <c r="GD141" s="394"/>
      <c r="GE141" s="392"/>
      <c r="GF141" s="392"/>
      <c r="GG141" s="394"/>
      <c r="GJ141" s="394"/>
      <c r="GK141" s="392"/>
      <c r="GL141" s="392"/>
      <c r="GM141" s="394"/>
      <c r="GO141" s="394"/>
      <c r="GP141" s="394"/>
      <c r="GQ141" s="392"/>
      <c r="GR141" s="392"/>
      <c r="GS141" s="394"/>
      <c r="GT141" s="394"/>
    </row>
    <row r="142" spans="1:202" s="390" customFormat="1" x14ac:dyDescent="0.15">
      <c r="C142" s="587"/>
      <c r="D142" s="587"/>
      <c r="E142" s="587"/>
      <c r="F142" s="587"/>
      <c r="G142" s="587"/>
      <c r="H142" s="587"/>
      <c r="I142" s="587"/>
      <c r="J142" s="587"/>
      <c r="K142" s="392"/>
      <c r="L142" s="392"/>
      <c r="M142" s="392"/>
      <c r="N142" s="392"/>
      <c r="O142" s="392"/>
      <c r="P142" s="392"/>
      <c r="Q142" s="392"/>
      <c r="R142" s="393"/>
      <c r="S142" s="394"/>
      <c r="T142" s="393"/>
      <c r="U142" s="393"/>
      <c r="V142" s="394"/>
      <c r="W142" s="394"/>
      <c r="X142" s="394"/>
      <c r="Y142" s="394"/>
      <c r="Z142" s="394"/>
      <c r="AA142" s="394"/>
      <c r="AB142" s="394"/>
      <c r="AC142" s="391"/>
      <c r="AD142" s="392"/>
      <c r="AE142" s="392"/>
      <c r="AF142" s="392"/>
      <c r="AG142" s="392"/>
      <c r="AH142" s="392"/>
      <c r="AI142" s="392"/>
      <c r="AJ142" s="392"/>
      <c r="AK142" s="392"/>
      <c r="AL142" s="392"/>
      <c r="AM142" s="392"/>
      <c r="AN142" s="392"/>
      <c r="AO142" s="392"/>
      <c r="AP142" s="392"/>
      <c r="AQ142" s="392"/>
      <c r="AR142" s="392"/>
      <c r="AS142" s="392"/>
      <c r="AT142" s="392"/>
      <c r="AU142" s="392"/>
      <c r="AV142" s="392"/>
      <c r="AW142" s="392"/>
      <c r="AX142" s="392"/>
      <c r="AY142" s="392"/>
      <c r="AZ142" s="392"/>
      <c r="BA142" s="392"/>
      <c r="BB142" s="392"/>
      <c r="BC142" s="392"/>
      <c r="BD142" s="392"/>
      <c r="BG142" s="393"/>
      <c r="BH142" s="393"/>
      <c r="BI142" s="393"/>
      <c r="BJ142" s="393"/>
      <c r="BK142" s="393"/>
      <c r="BL142" s="393"/>
      <c r="BM142" s="393"/>
      <c r="BN142" s="393"/>
      <c r="BO142" s="394"/>
      <c r="BP142" s="394"/>
      <c r="BQ142" s="394"/>
      <c r="BR142" s="394"/>
      <c r="BS142" s="394"/>
      <c r="BT142" s="394"/>
      <c r="BU142" s="392"/>
      <c r="BV142" s="392"/>
      <c r="BW142" s="392"/>
      <c r="BX142" s="392"/>
      <c r="BY142" s="392"/>
      <c r="BZ142" s="392"/>
      <c r="CA142" s="392"/>
      <c r="CB142" s="392"/>
      <c r="CC142" s="392"/>
      <c r="CD142" s="392"/>
      <c r="CE142" s="392"/>
      <c r="DI142" s="392"/>
      <c r="DJ142" s="392"/>
      <c r="DK142" s="392"/>
      <c r="DL142" s="392"/>
      <c r="DM142" s="392"/>
      <c r="DN142" s="392"/>
      <c r="DO142" s="392"/>
      <c r="DQ142" s="392"/>
      <c r="DS142" s="394"/>
      <c r="DT142" s="394"/>
      <c r="DW142" s="392"/>
      <c r="DX142" s="394"/>
      <c r="DY142" s="394"/>
      <c r="EC142" s="392"/>
      <c r="ED142" s="394"/>
      <c r="EH142" s="394"/>
      <c r="EI142" s="392"/>
      <c r="EJ142" s="394"/>
      <c r="EN142" s="394"/>
      <c r="EO142" s="392"/>
      <c r="EP142" s="394"/>
      <c r="ET142" s="394"/>
      <c r="EU142" s="392"/>
      <c r="EV142" s="394"/>
      <c r="EZ142" s="394"/>
      <c r="FA142" s="392"/>
      <c r="FB142" s="394"/>
      <c r="FF142" s="394"/>
      <c r="FG142" s="392"/>
      <c r="FH142" s="394"/>
      <c r="FL142" s="394"/>
      <c r="FM142" s="392"/>
      <c r="FN142" s="394"/>
      <c r="FR142" s="394"/>
      <c r="FS142" s="392"/>
      <c r="FT142" s="394"/>
      <c r="FX142" s="394"/>
      <c r="FY142" s="392"/>
      <c r="FZ142" s="394"/>
      <c r="GD142" s="394"/>
      <c r="GE142" s="392"/>
      <c r="GF142" s="392"/>
      <c r="GG142" s="394"/>
      <c r="GJ142" s="394"/>
      <c r="GK142" s="392"/>
      <c r="GL142" s="392"/>
      <c r="GM142" s="394"/>
      <c r="GO142" s="394"/>
      <c r="GP142" s="394"/>
      <c r="GQ142" s="392"/>
      <c r="GR142" s="392"/>
      <c r="GS142" s="394"/>
      <c r="GT142" s="394"/>
    </row>
    <row r="143" spans="1:202" s="390" customFormat="1" x14ac:dyDescent="0.15">
      <c r="H143" s="23"/>
      <c r="I143" s="391"/>
      <c r="J143" s="392"/>
      <c r="K143" s="392"/>
      <c r="L143" s="392"/>
      <c r="M143" s="392"/>
      <c r="N143" s="392"/>
      <c r="O143" s="392"/>
      <c r="P143" s="392"/>
      <c r="Q143" s="392"/>
      <c r="R143" s="393"/>
      <c r="S143" s="394"/>
      <c r="T143" s="393"/>
      <c r="U143" s="393"/>
      <c r="V143" s="394"/>
      <c r="W143" s="394"/>
      <c r="X143" s="394"/>
      <c r="Y143" s="394"/>
      <c r="Z143" s="394"/>
      <c r="AA143" s="394"/>
      <c r="AB143" s="394"/>
      <c r="AC143" s="391"/>
      <c r="AD143" s="392"/>
      <c r="AE143" s="392"/>
      <c r="AF143" s="392"/>
      <c r="AG143" s="392"/>
      <c r="AH143" s="392"/>
      <c r="AI143" s="392"/>
      <c r="AJ143" s="392"/>
      <c r="AK143" s="392"/>
      <c r="AL143" s="392"/>
      <c r="AM143" s="392"/>
      <c r="AN143" s="392"/>
      <c r="AO143" s="392"/>
      <c r="AP143" s="392"/>
      <c r="AQ143" s="392"/>
      <c r="AR143" s="392"/>
      <c r="AS143" s="392"/>
      <c r="AT143" s="392"/>
      <c r="AU143" s="392"/>
      <c r="AV143" s="392"/>
      <c r="AW143" s="392"/>
      <c r="AX143" s="392"/>
      <c r="AY143" s="392"/>
      <c r="AZ143" s="392"/>
      <c r="BA143" s="392"/>
      <c r="BB143" s="392"/>
      <c r="BC143" s="392"/>
      <c r="BD143" s="392"/>
      <c r="BG143" s="393"/>
      <c r="BH143" s="393"/>
      <c r="BI143" s="393"/>
      <c r="BJ143" s="393"/>
      <c r="BK143" s="393"/>
      <c r="BL143" s="393"/>
      <c r="BM143" s="393"/>
      <c r="BN143" s="393"/>
      <c r="BO143" s="394"/>
      <c r="BP143" s="394"/>
      <c r="BQ143" s="394"/>
      <c r="BR143" s="394"/>
      <c r="BS143" s="394"/>
      <c r="BT143" s="394"/>
      <c r="BU143" s="392"/>
      <c r="BV143" s="392"/>
      <c r="BW143" s="392"/>
      <c r="BX143" s="392"/>
      <c r="BY143" s="392"/>
      <c r="BZ143" s="392"/>
      <c r="CA143" s="392"/>
      <c r="CB143" s="392"/>
      <c r="CC143" s="392"/>
      <c r="CD143" s="392"/>
      <c r="CE143" s="392"/>
      <c r="DI143" s="392"/>
      <c r="DJ143" s="392"/>
      <c r="DK143" s="392"/>
      <c r="DL143" s="392"/>
      <c r="DM143" s="392"/>
      <c r="DN143" s="392"/>
      <c r="DO143" s="392"/>
      <c r="DQ143" s="392"/>
      <c r="DS143" s="394"/>
      <c r="DT143" s="394"/>
      <c r="DW143" s="392"/>
      <c r="DX143" s="394"/>
      <c r="DY143" s="394"/>
      <c r="EC143" s="392"/>
      <c r="ED143" s="394"/>
      <c r="EH143" s="394"/>
      <c r="EI143" s="392"/>
      <c r="EJ143" s="394"/>
      <c r="EN143" s="394"/>
      <c r="EO143" s="392"/>
      <c r="EP143" s="394"/>
      <c r="ET143" s="394"/>
      <c r="EU143" s="392"/>
      <c r="EV143" s="394"/>
      <c r="EZ143" s="394"/>
      <c r="FA143" s="392"/>
      <c r="FB143" s="394"/>
      <c r="FF143" s="394"/>
      <c r="FG143" s="392"/>
      <c r="FH143" s="394"/>
      <c r="FL143" s="394"/>
      <c r="FM143" s="392"/>
      <c r="FN143" s="394"/>
      <c r="FR143" s="394"/>
      <c r="FS143" s="392"/>
      <c r="FT143" s="394"/>
      <c r="FX143" s="394"/>
      <c r="FY143" s="392"/>
      <c r="FZ143" s="394"/>
      <c r="GD143" s="394"/>
      <c r="GE143" s="392"/>
      <c r="GF143" s="392"/>
      <c r="GG143" s="394"/>
      <c r="GJ143" s="394"/>
      <c r="GK143" s="392"/>
      <c r="GL143" s="392"/>
      <c r="GM143" s="394"/>
      <c r="GO143" s="394"/>
      <c r="GP143" s="394"/>
      <c r="GQ143" s="392"/>
      <c r="GR143" s="392"/>
      <c r="GS143" s="394"/>
      <c r="GT143" s="394"/>
    </row>
    <row r="144" spans="1:202" s="390" customFormat="1" x14ac:dyDescent="0.15">
      <c r="H144" s="23"/>
      <c r="I144" s="391"/>
      <c r="J144" s="392"/>
      <c r="K144" s="392"/>
      <c r="L144" s="392"/>
      <c r="M144" s="392"/>
      <c r="N144" s="392"/>
      <c r="O144" s="392"/>
      <c r="P144" s="392"/>
      <c r="Q144" s="392"/>
      <c r="R144" s="393"/>
      <c r="S144" s="394"/>
      <c r="T144" s="393"/>
      <c r="U144" s="393"/>
      <c r="V144" s="394"/>
      <c r="W144" s="394"/>
      <c r="X144" s="394"/>
      <c r="Y144" s="394"/>
      <c r="Z144" s="394"/>
      <c r="AA144" s="394"/>
      <c r="AB144" s="394"/>
      <c r="AC144" s="391"/>
      <c r="AD144" s="392"/>
      <c r="AE144" s="392"/>
      <c r="AF144" s="392"/>
      <c r="AG144" s="392"/>
      <c r="AH144" s="392"/>
      <c r="AI144" s="392"/>
      <c r="AJ144" s="392"/>
      <c r="AK144" s="392"/>
      <c r="AL144" s="392"/>
      <c r="AM144" s="392"/>
      <c r="AN144" s="392"/>
      <c r="AO144" s="392"/>
      <c r="AP144" s="392"/>
      <c r="AQ144" s="392"/>
      <c r="AR144" s="392"/>
      <c r="AS144" s="392"/>
      <c r="AT144" s="392"/>
      <c r="AU144" s="392"/>
      <c r="AV144" s="392"/>
      <c r="AW144" s="392"/>
      <c r="AX144" s="392"/>
      <c r="AY144" s="392"/>
      <c r="AZ144" s="392"/>
      <c r="BA144" s="392"/>
      <c r="BB144" s="392"/>
      <c r="BC144" s="392"/>
      <c r="BD144" s="392"/>
      <c r="BG144" s="393"/>
      <c r="BH144" s="393"/>
      <c r="BI144" s="393"/>
      <c r="BJ144" s="393"/>
      <c r="BK144" s="393"/>
      <c r="BL144" s="393"/>
      <c r="BM144" s="393"/>
      <c r="BN144" s="393"/>
      <c r="BO144" s="394"/>
      <c r="BP144" s="394"/>
      <c r="BQ144" s="394"/>
      <c r="BR144" s="394"/>
      <c r="BS144" s="394"/>
      <c r="BT144" s="394"/>
      <c r="BU144" s="392"/>
      <c r="BV144" s="392"/>
      <c r="BW144" s="392"/>
      <c r="BX144" s="392"/>
      <c r="BY144" s="392"/>
      <c r="BZ144" s="392"/>
      <c r="CA144" s="392"/>
      <c r="CB144" s="392"/>
      <c r="CC144" s="392"/>
      <c r="CD144" s="392"/>
      <c r="CE144" s="392"/>
      <c r="DI144" s="392"/>
      <c r="DJ144" s="392"/>
      <c r="DK144" s="392"/>
      <c r="DL144" s="392"/>
      <c r="DM144" s="392"/>
      <c r="DN144" s="392"/>
      <c r="DO144" s="392"/>
      <c r="DQ144" s="392"/>
      <c r="DS144" s="394"/>
      <c r="DT144" s="394"/>
      <c r="DW144" s="392"/>
      <c r="DX144" s="394"/>
      <c r="DY144" s="394"/>
      <c r="EC144" s="392"/>
      <c r="ED144" s="394"/>
      <c r="EH144" s="394"/>
      <c r="EI144" s="392"/>
      <c r="EJ144" s="394"/>
      <c r="EN144" s="394"/>
      <c r="EO144" s="392"/>
      <c r="EP144" s="394"/>
      <c r="ET144" s="394"/>
      <c r="EU144" s="392"/>
      <c r="EV144" s="394"/>
      <c r="EZ144" s="394"/>
      <c r="FA144" s="392"/>
      <c r="FB144" s="394"/>
      <c r="FF144" s="394"/>
      <c r="FG144" s="392"/>
      <c r="FH144" s="394"/>
      <c r="FL144" s="394"/>
      <c r="FM144" s="392"/>
      <c r="FN144" s="394"/>
      <c r="FR144" s="394"/>
      <c r="FS144" s="392"/>
      <c r="FT144" s="394"/>
      <c r="FX144" s="394"/>
      <c r="FY144" s="392"/>
      <c r="FZ144" s="394"/>
      <c r="GD144" s="394"/>
      <c r="GE144" s="392"/>
      <c r="GF144" s="392"/>
      <c r="GG144" s="394"/>
      <c r="GJ144" s="394"/>
      <c r="GK144" s="392"/>
      <c r="GL144" s="392"/>
      <c r="GM144" s="394"/>
      <c r="GO144" s="394"/>
      <c r="GP144" s="394"/>
      <c r="GQ144" s="392"/>
      <c r="GR144" s="392"/>
      <c r="GS144" s="394"/>
      <c r="GT144" s="394"/>
    </row>
    <row r="145" spans="3:202" s="390" customFormat="1" x14ac:dyDescent="0.15">
      <c r="H145" s="23"/>
      <c r="I145" s="391"/>
      <c r="J145" s="392"/>
      <c r="K145" s="392"/>
      <c r="L145" s="392"/>
      <c r="M145" s="392"/>
      <c r="N145" s="392"/>
      <c r="O145" s="392"/>
      <c r="P145" s="392"/>
      <c r="Q145" s="392"/>
      <c r="R145" s="393"/>
      <c r="S145" s="394"/>
      <c r="T145" s="393"/>
      <c r="U145" s="393"/>
      <c r="V145" s="394"/>
      <c r="W145" s="394"/>
      <c r="X145" s="394"/>
      <c r="Y145" s="394"/>
      <c r="Z145" s="394"/>
      <c r="AA145" s="394"/>
      <c r="AB145" s="394"/>
      <c r="AC145" s="391"/>
      <c r="AD145" s="392"/>
      <c r="AE145" s="392"/>
      <c r="AF145" s="392"/>
      <c r="AG145" s="392"/>
      <c r="AH145" s="392"/>
      <c r="AI145" s="392"/>
      <c r="AJ145" s="392"/>
      <c r="AK145" s="392"/>
      <c r="AL145" s="392"/>
      <c r="AM145" s="392"/>
      <c r="AN145" s="392"/>
      <c r="AO145" s="392"/>
      <c r="AP145" s="392"/>
      <c r="AQ145" s="392"/>
      <c r="AR145" s="392"/>
      <c r="AS145" s="392"/>
      <c r="AT145" s="392"/>
      <c r="AU145" s="392"/>
      <c r="AV145" s="392"/>
      <c r="AW145" s="392"/>
      <c r="AX145" s="392"/>
      <c r="AY145" s="392"/>
      <c r="AZ145" s="392"/>
      <c r="BA145" s="392"/>
      <c r="BB145" s="392"/>
      <c r="BC145" s="392"/>
      <c r="BD145" s="392"/>
      <c r="BG145" s="393"/>
      <c r="BH145" s="393"/>
      <c r="BI145" s="393"/>
      <c r="BJ145" s="393"/>
      <c r="BK145" s="393"/>
      <c r="BL145" s="393"/>
      <c r="BM145" s="393"/>
      <c r="BN145" s="393"/>
      <c r="BO145" s="394"/>
      <c r="BP145" s="394"/>
      <c r="BQ145" s="394"/>
      <c r="BR145" s="394"/>
      <c r="BS145" s="394"/>
      <c r="BT145" s="394"/>
      <c r="BU145" s="392"/>
      <c r="BV145" s="392"/>
      <c r="BW145" s="392"/>
      <c r="BX145" s="392"/>
      <c r="BY145" s="392"/>
      <c r="BZ145" s="392"/>
      <c r="CA145" s="392"/>
      <c r="CB145" s="392"/>
      <c r="CC145" s="392"/>
      <c r="CD145" s="392"/>
      <c r="CE145" s="392"/>
      <c r="DI145" s="392"/>
      <c r="DJ145" s="392"/>
      <c r="DK145" s="392"/>
      <c r="DL145" s="392"/>
      <c r="DM145" s="392"/>
      <c r="DN145" s="392"/>
      <c r="DO145" s="392"/>
      <c r="DQ145" s="392"/>
      <c r="DS145" s="394"/>
      <c r="DT145" s="394"/>
      <c r="DW145" s="392"/>
      <c r="DX145" s="394"/>
      <c r="DY145" s="394"/>
      <c r="EC145" s="392"/>
      <c r="ED145" s="394"/>
      <c r="EH145" s="394"/>
      <c r="EI145" s="392"/>
      <c r="EJ145" s="394"/>
      <c r="EN145" s="394"/>
      <c r="EO145" s="392"/>
      <c r="EP145" s="394"/>
      <c r="ET145" s="394"/>
      <c r="EU145" s="392"/>
      <c r="EV145" s="394"/>
      <c r="EZ145" s="394"/>
      <c r="FA145" s="392"/>
      <c r="FB145" s="394"/>
      <c r="FF145" s="394"/>
      <c r="FG145" s="392"/>
      <c r="FH145" s="394"/>
      <c r="FL145" s="394"/>
      <c r="FM145" s="392"/>
      <c r="FN145" s="394"/>
      <c r="FR145" s="394"/>
      <c r="FS145" s="392"/>
      <c r="FT145" s="394"/>
      <c r="FX145" s="394"/>
      <c r="FY145" s="392"/>
      <c r="FZ145" s="394"/>
      <c r="GD145" s="394"/>
      <c r="GE145" s="392"/>
      <c r="GF145" s="392"/>
      <c r="GG145" s="394"/>
      <c r="GJ145" s="394"/>
      <c r="GK145" s="392"/>
      <c r="GL145" s="392"/>
      <c r="GM145" s="394"/>
      <c r="GO145" s="394"/>
      <c r="GP145" s="394"/>
      <c r="GQ145" s="392"/>
      <c r="GR145" s="392"/>
      <c r="GS145" s="394"/>
      <c r="GT145" s="394"/>
    </row>
    <row r="146" spans="3:202" s="390" customFormat="1" x14ac:dyDescent="0.15">
      <c r="H146" s="23"/>
      <c r="I146" s="391"/>
      <c r="J146" s="392"/>
      <c r="K146" s="392"/>
      <c r="L146" s="392"/>
      <c r="M146" s="392"/>
      <c r="N146" s="392"/>
      <c r="O146" s="392"/>
      <c r="P146" s="392"/>
      <c r="Q146" s="392"/>
      <c r="R146" s="393"/>
      <c r="S146" s="394"/>
      <c r="T146" s="393"/>
      <c r="U146" s="393"/>
      <c r="V146" s="394"/>
      <c r="W146" s="394"/>
      <c r="X146" s="394"/>
      <c r="Y146" s="394"/>
      <c r="Z146" s="394"/>
      <c r="AA146" s="394"/>
      <c r="AB146" s="394"/>
      <c r="AC146" s="391"/>
      <c r="AD146" s="392"/>
      <c r="AE146" s="392"/>
      <c r="AF146" s="392"/>
      <c r="AG146" s="392"/>
      <c r="AH146" s="392"/>
      <c r="AI146" s="392"/>
      <c r="AJ146" s="392"/>
      <c r="AK146" s="392"/>
      <c r="AL146" s="392"/>
      <c r="AM146" s="392"/>
      <c r="AN146" s="392"/>
      <c r="AO146" s="392"/>
      <c r="AP146" s="392"/>
      <c r="AQ146" s="392"/>
      <c r="AR146" s="392"/>
      <c r="AS146" s="392"/>
      <c r="AT146" s="392"/>
      <c r="AU146" s="392"/>
      <c r="AV146" s="392"/>
      <c r="AW146" s="392"/>
      <c r="AX146" s="392"/>
      <c r="AY146" s="392"/>
      <c r="AZ146" s="392"/>
      <c r="BA146" s="392"/>
      <c r="BB146" s="392"/>
      <c r="BC146" s="392"/>
      <c r="BD146" s="392"/>
      <c r="BG146" s="393"/>
      <c r="BH146" s="393"/>
      <c r="BI146" s="393"/>
      <c r="BJ146" s="393"/>
      <c r="BK146" s="393"/>
      <c r="BL146" s="393"/>
      <c r="BM146" s="393"/>
      <c r="BN146" s="393"/>
      <c r="BO146" s="394"/>
      <c r="BP146" s="394"/>
      <c r="BQ146" s="394"/>
      <c r="BR146" s="394"/>
      <c r="BS146" s="394"/>
      <c r="BT146" s="394"/>
      <c r="BU146" s="392"/>
      <c r="BV146" s="392"/>
      <c r="BW146" s="392"/>
      <c r="BX146" s="392"/>
      <c r="BY146" s="392"/>
      <c r="BZ146" s="392"/>
      <c r="CA146" s="392"/>
      <c r="CB146" s="392"/>
      <c r="CC146" s="392"/>
      <c r="CD146" s="392"/>
      <c r="CE146" s="392"/>
      <c r="DI146" s="392"/>
      <c r="DJ146" s="392"/>
      <c r="DK146" s="392"/>
      <c r="DL146" s="392"/>
      <c r="DM146" s="392"/>
      <c r="DN146" s="392"/>
      <c r="DO146" s="392"/>
      <c r="DQ146" s="392"/>
      <c r="DS146" s="394"/>
      <c r="DT146" s="394"/>
      <c r="DW146" s="392"/>
      <c r="DX146" s="394"/>
      <c r="DY146" s="394"/>
      <c r="EC146" s="392"/>
      <c r="ED146" s="394"/>
      <c r="EH146" s="394"/>
      <c r="EI146" s="392"/>
      <c r="EJ146" s="394"/>
      <c r="EN146" s="394"/>
      <c r="EO146" s="392"/>
      <c r="EP146" s="394"/>
      <c r="ET146" s="394"/>
      <c r="EU146" s="392"/>
      <c r="EV146" s="394"/>
      <c r="EZ146" s="394"/>
      <c r="FA146" s="392"/>
      <c r="FB146" s="394"/>
      <c r="FF146" s="394"/>
      <c r="FG146" s="392"/>
      <c r="FH146" s="394"/>
      <c r="FL146" s="394"/>
      <c r="FM146" s="392"/>
      <c r="FN146" s="394"/>
      <c r="FR146" s="394"/>
      <c r="FS146" s="392"/>
      <c r="FT146" s="394"/>
      <c r="FX146" s="394"/>
      <c r="FY146" s="392"/>
      <c r="FZ146" s="394"/>
      <c r="GD146" s="394"/>
      <c r="GE146" s="392"/>
      <c r="GF146" s="392"/>
      <c r="GG146" s="394"/>
      <c r="GJ146" s="394"/>
      <c r="GK146" s="392"/>
      <c r="GL146" s="392"/>
      <c r="GM146" s="394"/>
      <c r="GO146" s="394"/>
      <c r="GP146" s="394"/>
      <c r="GQ146" s="392"/>
      <c r="GR146" s="392"/>
      <c r="GS146" s="394"/>
      <c r="GT146" s="394"/>
    </row>
    <row r="147" spans="3:202" s="390" customFormat="1" x14ac:dyDescent="0.15">
      <c r="H147" s="23"/>
      <c r="I147" s="391"/>
      <c r="J147" s="392"/>
      <c r="K147" s="392"/>
      <c r="L147" s="392"/>
      <c r="M147" s="392"/>
      <c r="N147" s="392"/>
      <c r="O147" s="392"/>
      <c r="P147" s="392"/>
      <c r="Q147" s="392"/>
      <c r="R147" s="393"/>
      <c r="S147" s="394"/>
      <c r="T147" s="393"/>
      <c r="U147" s="393"/>
      <c r="V147" s="394"/>
      <c r="W147" s="394"/>
      <c r="X147" s="394"/>
      <c r="Y147" s="394"/>
      <c r="Z147" s="394"/>
      <c r="AA147" s="394"/>
      <c r="AB147" s="394"/>
      <c r="AC147" s="391"/>
      <c r="AD147" s="392"/>
      <c r="AE147" s="392"/>
      <c r="AF147" s="392"/>
      <c r="AG147" s="392"/>
      <c r="AH147" s="392"/>
      <c r="AI147" s="392"/>
      <c r="AJ147" s="392"/>
      <c r="AK147" s="392"/>
      <c r="AL147" s="392"/>
      <c r="AM147" s="392"/>
      <c r="AN147" s="392"/>
      <c r="AO147" s="392"/>
      <c r="AP147" s="392"/>
      <c r="AQ147" s="392"/>
      <c r="AR147" s="392"/>
      <c r="AS147" s="392"/>
      <c r="AT147" s="392"/>
      <c r="AU147" s="392"/>
      <c r="AV147" s="392"/>
      <c r="AW147" s="392"/>
      <c r="AX147" s="392"/>
      <c r="AY147" s="392"/>
      <c r="AZ147" s="392"/>
      <c r="BA147" s="392"/>
      <c r="BB147" s="392"/>
      <c r="BC147" s="392"/>
      <c r="BD147" s="392"/>
      <c r="BG147" s="393"/>
      <c r="BH147" s="393"/>
      <c r="BI147" s="393"/>
      <c r="BJ147" s="393"/>
      <c r="BK147" s="393"/>
      <c r="BL147" s="393"/>
      <c r="BM147" s="393"/>
      <c r="BN147" s="393"/>
      <c r="BO147" s="394"/>
      <c r="BP147" s="394"/>
      <c r="BQ147" s="394"/>
      <c r="BR147" s="394"/>
      <c r="BS147" s="394"/>
      <c r="BT147" s="394"/>
      <c r="BU147" s="392"/>
      <c r="BV147" s="392"/>
      <c r="BW147" s="392"/>
      <c r="BX147" s="392"/>
      <c r="BY147" s="392"/>
      <c r="BZ147" s="392"/>
      <c r="CA147" s="392"/>
      <c r="CB147" s="392"/>
      <c r="CC147" s="392"/>
      <c r="CD147" s="392"/>
      <c r="CE147" s="392"/>
      <c r="DI147" s="392"/>
      <c r="DJ147" s="392"/>
      <c r="DK147" s="392"/>
      <c r="DL147" s="392"/>
      <c r="DM147" s="392"/>
      <c r="DN147" s="392"/>
      <c r="DO147" s="392"/>
      <c r="DQ147" s="392"/>
      <c r="DS147" s="394"/>
      <c r="DT147" s="394"/>
      <c r="DW147" s="392"/>
      <c r="DX147" s="394"/>
      <c r="DY147" s="394"/>
      <c r="EC147" s="392"/>
      <c r="ED147" s="394"/>
      <c r="EH147" s="394"/>
      <c r="EI147" s="392"/>
      <c r="EJ147" s="394"/>
      <c r="EN147" s="394"/>
      <c r="EO147" s="392"/>
      <c r="EP147" s="394"/>
      <c r="ET147" s="394"/>
      <c r="EU147" s="392"/>
      <c r="EV147" s="394"/>
      <c r="EZ147" s="394"/>
      <c r="FA147" s="392"/>
      <c r="FB147" s="394"/>
      <c r="FF147" s="394"/>
      <c r="FG147" s="392"/>
      <c r="FH147" s="394"/>
      <c r="FL147" s="394"/>
      <c r="FM147" s="392"/>
      <c r="FN147" s="394"/>
      <c r="FR147" s="394"/>
      <c r="FS147" s="392"/>
      <c r="FT147" s="394"/>
      <c r="FX147" s="394"/>
      <c r="FY147" s="392"/>
      <c r="FZ147" s="394"/>
      <c r="GD147" s="394"/>
      <c r="GE147" s="392"/>
      <c r="GF147" s="392"/>
      <c r="GG147" s="394"/>
      <c r="GJ147" s="394"/>
      <c r="GK147" s="392"/>
      <c r="GL147" s="392"/>
      <c r="GM147" s="394"/>
      <c r="GO147" s="394"/>
      <c r="GP147" s="394"/>
      <c r="GQ147" s="392"/>
      <c r="GR147" s="392"/>
      <c r="GS147" s="394"/>
      <c r="GT147" s="394"/>
    </row>
    <row r="148" spans="3:202" s="390" customFormat="1" x14ac:dyDescent="0.15">
      <c r="H148" s="23"/>
      <c r="I148" s="391"/>
      <c r="J148" s="392"/>
      <c r="K148" s="392"/>
      <c r="L148" s="392"/>
      <c r="M148" s="392"/>
      <c r="N148" s="392"/>
      <c r="O148" s="392"/>
      <c r="P148" s="392"/>
      <c r="Q148" s="392"/>
      <c r="R148" s="393"/>
      <c r="S148" s="394"/>
      <c r="T148" s="393"/>
      <c r="U148" s="393"/>
      <c r="V148" s="394"/>
      <c r="W148" s="394"/>
      <c r="X148" s="394"/>
      <c r="Y148" s="394"/>
      <c r="Z148" s="394"/>
      <c r="AA148" s="394"/>
      <c r="AB148" s="394"/>
      <c r="AC148" s="391"/>
      <c r="AD148" s="392"/>
      <c r="AE148" s="392"/>
      <c r="AF148" s="392"/>
      <c r="AG148" s="392"/>
      <c r="AH148" s="392"/>
      <c r="AI148" s="392"/>
      <c r="AJ148" s="392"/>
      <c r="AK148" s="392"/>
      <c r="AL148" s="392"/>
      <c r="AM148" s="392"/>
      <c r="AN148" s="392"/>
      <c r="AO148" s="392"/>
      <c r="AP148" s="392"/>
      <c r="AQ148" s="392"/>
      <c r="AR148" s="392"/>
      <c r="AS148" s="392"/>
      <c r="AT148" s="392"/>
      <c r="AU148" s="392"/>
      <c r="AV148" s="392"/>
      <c r="AW148" s="392"/>
      <c r="AX148" s="392"/>
      <c r="AY148" s="392"/>
      <c r="AZ148" s="392"/>
      <c r="BA148" s="392"/>
      <c r="BB148" s="392"/>
      <c r="BC148" s="392"/>
      <c r="BD148" s="392"/>
      <c r="BG148" s="393"/>
      <c r="BH148" s="393"/>
      <c r="BI148" s="393"/>
      <c r="BJ148" s="393"/>
      <c r="BK148" s="393"/>
      <c r="BL148" s="393"/>
      <c r="BM148" s="393"/>
      <c r="BN148" s="393"/>
      <c r="BO148" s="394"/>
      <c r="BP148" s="394"/>
      <c r="BQ148" s="394"/>
      <c r="BR148" s="394"/>
      <c r="BS148" s="394"/>
      <c r="BT148" s="394"/>
      <c r="BU148" s="392"/>
      <c r="BV148" s="392"/>
      <c r="BW148" s="392"/>
      <c r="BX148" s="392"/>
      <c r="BY148" s="392"/>
      <c r="BZ148" s="392"/>
      <c r="CA148" s="392"/>
      <c r="CB148" s="392"/>
      <c r="CC148" s="392"/>
      <c r="CD148" s="392"/>
      <c r="CE148" s="392"/>
      <c r="DI148" s="392"/>
      <c r="DJ148" s="392"/>
      <c r="DK148" s="392"/>
      <c r="DL148" s="392"/>
      <c r="DM148" s="392"/>
      <c r="DN148" s="392"/>
      <c r="DO148" s="392"/>
      <c r="DQ148" s="392"/>
      <c r="DS148" s="394"/>
      <c r="DT148" s="394"/>
      <c r="DW148" s="392"/>
      <c r="DX148" s="394"/>
      <c r="DY148" s="394"/>
      <c r="EC148" s="392"/>
      <c r="ED148" s="394"/>
      <c r="EH148" s="394"/>
      <c r="EI148" s="392"/>
      <c r="EJ148" s="394"/>
      <c r="EN148" s="394"/>
      <c r="EO148" s="392"/>
      <c r="EP148" s="394"/>
      <c r="ET148" s="394"/>
      <c r="EU148" s="392"/>
      <c r="EV148" s="394"/>
      <c r="EZ148" s="394"/>
      <c r="FA148" s="392"/>
      <c r="FB148" s="394"/>
      <c r="FF148" s="394"/>
      <c r="FG148" s="392"/>
      <c r="FH148" s="394"/>
      <c r="FL148" s="394"/>
      <c r="FM148" s="392"/>
      <c r="FN148" s="394"/>
      <c r="FR148" s="394"/>
      <c r="FS148" s="392"/>
      <c r="FT148" s="394"/>
      <c r="FX148" s="394"/>
      <c r="FY148" s="392"/>
      <c r="FZ148" s="394"/>
      <c r="GD148" s="394"/>
      <c r="GE148" s="392"/>
      <c r="GF148" s="392"/>
      <c r="GG148" s="394"/>
      <c r="GJ148" s="394"/>
      <c r="GK148" s="392"/>
      <c r="GL148" s="392"/>
      <c r="GM148" s="394"/>
      <c r="GO148" s="394"/>
      <c r="GP148" s="394"/>
      <c r="GQ148" s="392"/>
      <c r="GR148" s="392"/>
      <c r="GS148" s="394"/>
      <c r="GT148" s="394"/>
    </row>
    <row r="149" spans="3:202" s="390" customFormat="1" x14ac:dyDescent="0.15">
      <c r="H149" s="23"/>
      <c r="I149" s="391"/>
      <c r="J149" s="392"/>
      <c r="K149" s="392"/>
      <c r="L149" s="392"/>
      <c r="M149" s="392"/>
      <c r="N149" s="392"/>
      <c r="O149" s="392"/>
      <c r="P149" s="392"/>
      <c r="Q149" s="392"/>
      <c r="R149" s="393"/>
      <c r="S149" s="394"/>
      <c r="T149" s="393"/>
      <c r="U149" s="393"/>
      <c r="V149" s="394"/>
      <c r="W149" s="394"/>
      <c r="X149" s="394"/>
      <c r="Y149" s="394"/>
      <c r="Z149" s="394"/>
      <c r="AA149" s="394"/>
      <c r="AB149" s="394"/>
      <c r="AC149" s="391"/>
      <c r="AD149" s="392"/>
      <c r="AE149" s="392"/>
      <c r="AF149" s="392"/>
      <c r="AG149" s="392"/>
      <c r="AH149" s="392"/>
      <c r="AI149" s="392"/>
      <c r="AJ149" s="392"/>
      <c r="AK149" s="392"/>
      <c r="AL149" s="392"/>
      <c r="AM149" s="392"/>
      <c r="AN149" s="392"/>
      <c r="AO149" s="392"/>
      <c r="AP149" s="392"/>
      <c r="AQ149" s="392"/>
      <c r="AR149" s="392"/>
      <c r="AS149" s="392"/>
      <c r="AT149" s="392"/>
      <c r="AU149" s="392"/>
      <c r="AV149" s="392"/>
      <c r="AW149" s="392"/>
      <c r="AX149" s="392"/>
      <c r="AY149" s="392"/>
      <c r="AZ149" s="392"/>
      <c r="BA149" s="392"/>
      <c r="BB149" s="392"/>
      <c r="BC149" s="392"/>
      <c r="BD149" s="392"/>
      <c r="BG149" s="393"/>
      <c r="BH149" s="393"/>
      <c r="BI149" s="393"/>
      <c r="BJ149" s="393"/>
      <c r="BK149" s="393"/>
      <c r="BL149" s="393"/>
      <c r="BM149" s="393"/>
      <c r="BN149" s="393"/>
      <c r="BO149" s="394"/>
      <c r="BP149" s="394"/>
      <c r="BQ149" s="394"/>
      <c r="BR149" s="394"/>
      <c r="BS149" s="394"/>
      <c r="BT149" s="394"/>
      <c r="BU149" s="392"/>
      <c r="BV149" s="392"/>
      <c r="BW149" s="392"/>
      <c r="BX149" s="392"/>
      <c r="BY149" s="392"/>
      <c r="BZ149" s="392"/>
      <c r="CA149" s="392"/>
      <c r="CB149" s="392"/>
      <c r="CC149" s="392"/>
      <c r="CD149" s="392"/>
      <c r="CE149" s="392"/>
      <c r="DI149" s="392"/>
      <c r="DJ149" s="392"/>
      <c r="DK149" s="392"/>
      <c r="DL149" s="392"/>
      <c r="DM149" s="392"/>
      <c r="DN149" s="392"/>
      <c r="DO149" s="392"/>
      <c r="DQ149" s="392"/>
      <c r="DS149" s="394"/>
      <c r="DT149" s="394"/>
      <c r="DW149" s="392"/>
      <c r="DX149" s="394"/>
      <c r="DY149" s="394"/>
      <c r="EC149" s="392"/>
      <c r="ED149" s="394"/>
      <c r="EH149" s="394"/>
      <c r="EI149" s="392"/>
      <c r="EJ149" s="394"/>
      <c r="EN149" s="394"/>
      <c r="EO149" s="392"/>
      <c r="EP149" s="394"/>
      <c r="ET149" s="394"/>
      <c r="EU149" s="392"/>
      <c r="EV149" s="394"/>
      <c r="EZ149" s="394"/>
      <c r="FA149" s="392"/>
      <c r="FB149" s="394"/>
      <c r="FF149" s="394"/>
      <c r="FG149" s="392"/>
      <c r="FH149" s="394"/>
      <c r="FL149" s="394"/>
      <c r="FM149" s="392"/>
      <c r="FN149" s="394"/>
      <c r="FR149" s="394"/>
      <c r="FS149" s="392"/>
      <c r="FT149" s="394"/>
      <c r="FX149" s="394"/>
      <c r="FY149" s="392"/>
      <c r="FZ149" s="394"/>
      <c r="GD149" s="394"/>
      <c r="GE149" s="392"/>
      <c r="GF149" s="392"/>
      <c r="GG149" s="394"/>
      <c r="GJ149" s="394"/>
      <c r="GK149" s="392"/>
      <c r="GL149" s="392"/>
      <c r="GM149" s="394"/>
      <c r="GO149" s="394"/>
      <c r="GP149" s="394"/>
      <c r="GQ149" s="392"/>
      <c r="GR149" s="392"/>
      <c r="GS149" s="394"/>
      <c r="GT149" s="394"/>
    </row>
    <row r="150" spans="3:202" s="390" customFormat="1" x14ac:dyDescent="0.15">
      <c r="H150" s="23"/>
      <c r="I150" s="391"/>
      <c r="J150" s="392"/>
      <c r="K150" s="392"/>
      <c r="L150" s="392"/>
      <c r="M150" s="392"/>
      <c r="N150" s="392"/>
      <c r="O150" s="392"/>
      <c r="P150" s="392"/>
      <c r="Q150" s="392"/>
      <c r="R150" s="393"/>
      <c r="S150" s="394"/>
      <c r="T150" s="393"/>
      <c r="U150" s="393"/>
      <c r="V150" s="394"/>
      <c r="W150" s="394"/>
      <c r="X150" s="394"/>
      <c r="Y150" s="394"/>
      <c r="Z150" s="394"/>
      <c r="AA150" s="394"/>
      <c r="AB150" s="394"/>
      <c r="AC150" s="391"/>
      <c r="AD150" s="392"/>
      <c r="AE150" s="392"/>
      <c r="AF150" s="392"/>
      <c r="AG150" s="392"/>
      <c r="AH150" s="392"/>
      <c r="AI150" s="392"/>
      <c r="AJ150" s="392"/>
      <c r="AK150" s="392"/>
      <c r="AL150" s="392"/>
      <c r="AM150" s="392"/>
      <c r="AN150" s="392"/>
      <c r="AO150" s="392"/>
      <c r="AP150" s="392"/>
      <c r="AQ150" s="392"/>
      <c r="AR150" s="392"/>
      <c r="AS150" s="392"/>
      <c r="AT150" s="392"/>
      <c r="AU150" s="392"/>
      <c r="AV150" s="392"/>
      <c r="AW150" s="392"/>
      <c r="AX150" s="392"/>
      <c r="AY150" s="392"/>
      <c r="AZ150" s="392"/>
      <c r="BA150" s="392"/>
      <c r="BB150" s="392"/>
      <c r="BC150" s="392"/>
      <c r="BD150" s="392"/>
      <c r="BG150" s="393"/>
      <c r="BH150" s="393"/>
      <c r="BI150" s="393"/>
      <c r="BJ150" s="393"/>
      <c r="BK150" s="393"/>
      <c r="BL150" s="393"/>
      <c r="BM150" s="393"/>
      <c r="BN150" s="393"/>
      <c r="BO150" s="394"/>
      <c r="BP150" s="394"/>
      <c r="BQ150" s="394"/>
      <c r="BR150" s="394"/>
      <c r="BS150" s="394"/>
      <c r="BT150" s="394"/>
      <c r="BU150" s="392"/>
      <c r="BV150" s="392"/>
      <c r="BW150" s="392"/>
      <c r="BX150" s="392"/>
      <c r="BY150" s="392"/>
      <c r="BZ150" s="392"/>
      <c r="CA150" s="392"/>
      <c r="CB150" s="392"/>
      <c r="CC150" s="392"/>
      <c r="CD150" s="392"/>
      <c r="CE150" s="392"/>
      <c r="DI150" s="392"/>
      <c r="DJ150" s="392"/>
      <c r="DK150" s="392"/>
      <c r="DL150" s="392"/>
      <c r="DM150" s="392"/>
      <c r="DN150" s="392"/>
      <c r="DO150" s="392"/>
      <c r="DQ150" s="392"/>
      <c r="DS150" s="394"/>
      <c r="DT150" s="394"/>
      <c r="DW150" s="392"/>
      <c r="DX150" s="394"/>
      <c r="DY150" s="394"/>
      <c r="EC150" s="392"/>
      <c r="ED150" s="394"/>
      <c r="EH150" s="394"/>
      <c r="EI150" s="392"/>
      <c r="EJ150" s="394"/>
      <c r="EN150" s="394"/>
      <c r="EO150" s="392"/>
      <c r="EP150" s="394"/>
      <c r="ET150" s="394"/>
      <c r="EU150" s="392"/>
      <c r="EV150" s="394"/>
      <c r="EZ150" s="394"/>
      <c r="FA150" s="392"/>
      <c r="FB150" s="394"/>
      <c r="FF150" s="394"/>
      <c r="FG150" s="392"/>
      <c r="FH150" s="394"/>
      <c r="FL150" s="394"/>
      <c r="FM150" s="392"/>
      <c r="FN150" s="394"/>
      <c r="FR150" s="394"/>
      <c r="FS150" s="392"/>
      <c r="FT150" s="394"/>
      <c r="FX150" s="394"/>
      <c r="FY150" s="392"/>
      <c r="FZ150" s="394"/>
      <c r="GD150" s="394"/>
      <c r="GE150" s="392"/>
      <c r="GF150" s="392"/>
      <c r="GG150" s="394"/>
      <c r="GJ150" s="394"/>
      <c r="GK150" s="392"/>
      <c r="GL150" s="392"/>
      <c r="GM150" s="394"/>
      <c r="GO150" s="394"/>
      <c r="GP150" s="394"/>
      <c r="GQ150" s="392"/>
      <c r="GR150" s="392"/>
      <c r="GS150" s="394"/>
      <c r="GT150" s="394"/>
    </row>
    <row r="151" spans="3:202" s="390" customFormat="1" x14ac:dyDescent="0.15">
      <c r="H151" s="23"/>
      <c r="I151" s="391"/>
      <c r="J151" s="392"/>
      <c r="K151" s="392"/>
      <c r="L151" s="392"/>
      <c r="M151" s="392"/>
      <c r="N151" s="392"/>
      <c r="O151" s="392"/>
      <c r="P151" s="392"/>
      <c r="Q151" s="392"/>
      <c r="R151" s="393"/>
      <c r="S151" s="394"/>
      <c r="T151" s="393"/>
      <c r="U151" s="393"/>
      <c r="V151" s="394"/>
      <c r="W151" s="394"/>
      <c r="X151" s="394"/>
      <c r="Y151" s="394"/>
      <c r="Z151" s="394"/>
      <c r="AA151" s="394"/>
      <c r="AB151" s="394"/>
      <c r="AC151" s="391"/>
      <c r="AD151" s="392"/>
      <c r="AE151" s="392"/>
      <c r="AF151" s="392"/>
      <c r="AG151" s="392"/>
      <c r="AH151" s="392"/>
      <c r="AI151" s="392"/>
      <c r="AJ151" s="392"/>
      <c r="AK151" s="392"/>
      <c r="AL151" s="392"/>
      <c r="AM151" s="392"/>
      <c r="AN151" s="392"/>
      <c r="AO151" s="392"/>
      <c r="AP151" s="392"/>
      <c r="AQ151" s="392"/>
      <c r="AR151" s="392"/>
      <c r="AS151" s="392"/>
      <c r="AT151" s="392"/>
      <c r="AU151" s="392"/>
      <c r="AV151" s="392"/>
      <c r="AW151" s="392"/>
      <c r="AX151" s="392"/>
      <c r="AY151" s="392"/>
      <c r="AZ151" s="392"/>
      <c r="BA151" s="392"/>
      <c r="BB151" s="392"/>
      <c r="BC151" s="392"/>
      <c r="BD151" s="392"/>
      <c r="BG151" s="393"/>
      <c r="BH151" s="393"/>
      <c r="BI151" s="393"/>
      <c r="BJ151" s="393"/>
      <c r="BK151" s="393"/>
      <c r="BL151" s="393"/>
      <c r="BM151" s="393"/>
      <c r="BN151" s="393"/>
      <c r="BO151" s="394"/>
      <c r="BP151" s="394"/>
      <c r="BQ151" s="394"/>
      <c r="BR151" s="394"/>
      <c r="BS151" s="394"/>
      <c r="BT151" s="394"/>
      <c r="BU151" s="392"/>
      <c r="BV151" s="392"/>
      <c r="BW151" s="392"/>
      <c r="BX151" s="392"/>
      <c r="BY151" s="392"/>
      <c r="BZ151" s="392"/>
      <c r="CA151" s="392"/>
      <c r="CB151" s="392"/>
      <c r="CC151" s="392"/>
      <c r="CD151" s="392"/>
      <c r="CE151" s="392"/>
      <c r="DI151" s="392"/>
      <c r="DJ151" s="392"/>
      <c r="DK151" s="392"/>
      <c r="DL151" s="392"/>
      <c r="DM151" s="392"/>
      <c r="DN151" s="392"/>
      <c r="DO151" s="392"/>
      <c r="DQ151" s="392"/>
      <c r="DS151" s="394"/>
      <c r="DT151" s="394"/>
      <c r="DW151" s="392"/>
      <c r="DX151" s="394"/>
      <c r="DY151" s="394"/>
      <c r="EC151" s="392"/>
      <c r="ED151" s="394"/>
      <c r="EH151" s="394"/>
      <c r="EI151" s="392"/>
      <c r="EJ151" s="394"/>
      <c r="EN151" s="394"/>
      <c r="EO151" s="392"/>
      <c r="EP151" s="394"/>
      <c r="ET151" s="394"/>
      <c r="EU151" s="392"/>
      <c r="EV151" s="394"/>
      <c r="EZ151" s="394"/>
      <c r="FA151" s="392"/>
      <c r="FB151" s="394"/>
      <c r="FF151" s="394"/>
      <c r="FG151" s="392"/>
      <c r="FH151" s="394"/>
      <c r="FL151" s="394"/>
      <c r="FM151" s="392"/>
      <c r="FN151" s="394"/>
      <c r="FR151" s="394"/>
      <c r="FS151" s="392"/>
      <c r="FT151" s="394"/>
      <c r="FX151" s="394"/>
      <c r="FY151" s="392"/>
      <c r="FZ151" s="394"/>
      <c r="GD151" s="394"/>
      <c r="GE151" s="392"/>
      <c r="GF151" s="392"/>
      <c r="GG151" s="394"/>
      <c r="GJ151" s="394"/>
      <c r="GK151" s="392"/>
      <c r="GL151" s="392"/>
      <c r="GM151" s="394"/>
      <c r="GO151" s="394"/>
      <c r="GP151" s="394"/>
      <c r="GQ151" s="392"/>
      <c r="GR151" s="392"/>
      <c r="GS151" s="394"/>
      <c r="GT151" s="394"/>
    </row>
    <row r="152" spans="3:202" s="390" customFormat="1" x14ac:dyDescent="0.15">
      <c r="H152" s="23"/>
      <c r="I152" s="391"/>
      <c r="J152" s="392"/>
      <c r="K152" s="392"/>
      <c r="L152" s="392"/>
      <c r="M152" s="392"/>
      <c r="N152" s="392"/>
      <c r="O152" s="392"/>
      <c r="P152" s="392"/>
      <c r="Q152" s="392"/>
      <c r="R152" s="393"/>
      <c r="S152" s="394"/>
      <c r="T152" s="393"/>
      <c r="U152" s="393"/>
      <c r="V152" s="394"/>
      <c r="W152" s="394"/>
      <c r="X152" s="394"/>
      <c r="Y152" s="394"/>
      <c r="Z152" s="394"/>
      <c r="AA152" s="394"/>
      <c r="AB152" s="394"/>
      <c r="AC152" s="391"/>
      <c r="AD152" s="392"/>
      <c r="AE152" s="392"/>
      <c r="AF152" s="392"/>
      <c r="AG152" s="392"/>
      <c r="AH152" s="392"/>
      <c r="AI152" s="392"/>
      <c r="AJ152" s="392"/>
      <c r="AK152" s="392"/>
      <c r="AL152" s="392"/>
      <c r="AM152" s="392"/>
      <c r="AN152" s="392"/>
      <c r="AO152" s="392"/>
      <c r="AP152" s="392"/>
      <c r="AQ152" s="392"/>
      <c r="AR152" s="392"/>
      <c r="AS152" s="392"/>
      <c r="AT152" s="392"/>
      <c r="AU152" s="392"/>
      <c r="AV152" s="392"/>
      <c r="AW152" s="392"/>
      <c r="AX152" s="392"/>
      <c r="AY152" s="392"/>
      <c r="AZ152" s="392"/>
      <c r="BA152" s="392"/>
      <c r="BB152" s="392"/>
      <c r="BC152" s="392"/>
      <c r="BD152" s="392"/>
      <c r="BG152" s="393"/>
      <c r="BH152" s="393"/>
      <c r="BI152" s="393"/>
      <c r="BJ152" s="393"/>
      <c r="BK152" s="393"/>
      <c r="BL152" s="393"/>
      <c r="BM152" s="393"/>
      <c r="BN152" s="393"/>
      <c r="BO152" s="394"/>
      <c r="BP152" s="394"/>
      <c r="BQ152" s="394"/>
      <c r="BR152" s="394"/>
      <c r="BS152" s="394"/>
      <c r="BT152" s="394"/>
      <c r="BU152" s="392"/>
      <c r="BV152" s="392"/>
      <c r="BW152" s="392"/>
      <c r="BX152" s="392"/>
      <c r="BY152" s="392"/>
      <c r="BZ152" s="392"/>
      <c r="CA152" s="392"/>
      <c r="CB152" s="392"/>
      <c r="CC152" s="392"/>
      <c r="CD152" s="392"/>
      <c r="CE152" s="392"/>
      <c r="DI152" s="392"/>
      <c r="DJ152" s="392"/>
      <c r="DK152" s="392"/>
      <c r="DL152" s="392"/>
      <c r="DM152" s="392"/>
      <c r="DN152" s="392"/>
      <c r="DO152" s="392"/>
      <c r="DQ152" s="392"/>
      <c r="DS152" s="394"/>
      <c r="DT152" s="394"/>
      <c r="DW152" s="392"/>
      <c r="DX152" s="394"/>
      <c r="DY152" s="394"/>
      <c r="EC152" s="392"/>
      <c r="ED152" s="394"/>
      <c r="EH152" s="394"/>
      <c r="EI152" s="392"/>
      <c r="EJ152" s="394"/>
      <c r="EN152" s="394"/>
      <c r="EO152" s="392"/>
      <c r="EP152" s="394"/>
      <c r="ET152" s="394"/>
      <c r="EU152" s="392"/>
      <c r="EV152" s="394"/>
      <c r="EZ152" s="394"/>
      <c r="FA152" s="392"/>
      <c r="FB152" s="394"/>
      <c r="FF152" s="394"/>
      <c r="FG152" s="392"/>
      <c r="FH152" s="394"/>
      <c r="FL152" s="394"/>
      <c r="FM152" s="392"/>
      <c r="FN152" s="394"/>
      <c r="FR152" s="394"/>
      <c r="FS152" s="392"/>
      <c r="FT152" s="394"/>
      <c r="FX152" s="394"/>
      <c r="FY152" s="392"/>
      <c r="FZ152" s="394"/>
      <c r="GD152" s="394"/>
      <c r="GE152" s="392"/>
      <c r="GF152" s="392"/>
      <c r="GG152" s="394"/>
      <c r="GJ152" s="394"/>
      <c r="GK152" s="392"/>
      <c r="GL152" s="392"/>
      <c r="GM152" s="394"/>
      <c r="GO152" s="394"/>
      <c r="GP152" s="394"/>
      <c r="GQ152" s="392"/>
      <c r="GR152" s="392"/>
      <c r="GS152" s="394"/>
      <c r="GT152" s="394"/>
    </row>
    <row r="153" spans="3:202" s="390" customFormat="1" x14ac:dyDescent="0.15">
      <c r="H153" s="23"/>
      <c r="I153" s="391"/>
      <c r="J153" s="392"/>
      <c r="K153" s="392"/>
      <c r="L153" s="392"/>
      <c r="M153" s="392"/>
      <c r="N153" s="392"/>
      <c r="O153" s="392"/>
      <c r="P153" s="392"/>
      <c r="Q153" s="392"/>
      <c r="R153" s="393"/>
      <c r="S153" s="394"/>
      <c r="T153" s="393"/>
      <c r="U153" s="393"/>
      <c r="V153" s="394"/>
      <c r="W153" s="394"/>
      <c r="X153" s="394"/>
      <c r="Y153" s="394"/>
      <c r="Z153" s="394"/>
      <c r="AA153" s="394"/>
      <c r="AB153" s="394"/>
      <c r="AC153" s="391"/>
      <c r="AD153" s="392"/>
      <c r="AE153" s="392"/>
      <c r="AF153" s="392"/>
      <c r="AG153" s="392"/>
      <c r="AH153" s="392"/>
      <c r="AI153" s="392"/>
      <c r="AJ153" s="392"/>
      <c r="AK153" s="392"/>
      <c r="AL153" s="392"/>
      <c r="AM153" s="392"/>
      <c r="AN153" s="392"/>
      <c r="AO153" s="392"/>
      <c r="AP153" s="392"/>
      <c r="AQ153" s="392"/>
      <c r="AR153" s="392"/>
      <c r="AS153" s="392"/>
      <c r="AT153" s="392"/>
      <c r="AU153" s="392"/>
      <c r="AV153" s="392"/>
      <c r="AW153" s="392"/>
      <c r="AX153" s="392"/>
      <c r="AY153" s="392"/>
      <c r="AZ153" s="392"/>
      <c r="BA153" s="392"/>
      <c r="BB153" s="392"/>
      <c r="BC153" s="392"/>
      <c r="BD153" s="392"/>
      <c r="BG153" s="393"/>
      <c r="BH153" s="393"/>
      <c r="BI153" s="393"/>
      <c r="BJ153" s="393"/>
      <c r="BK153" s="393"/>
      <c r="BL153" s="393"/>
      <c r="BM153" s="393"/>
      <c r="BN153" s="393"/>
      <c r="BO153" s="394"/>
      <c r="BP153" s="394"/>
      <c r="BQ153" s="394"/>
      <c r="BR153" s="394"/>
      <c r="BS153" s="394"/>
      <c r="BT153" s="394"/>
      <c r="BU153" s="392"/>
      <c r="BV153" s="392"/>
      <c r="BW153" s="392"/>
      <c r="BX153" s="392"/>
      <c r="BY153" s="392"/>
      <c r="BZ153" s="392"/>
      <c r="CA153" s="392"/>
      <c r="CB153" s="392"/>
      <c r="CC153" s="392"/>
      <c r="CD153" s="392"/>
      <c r="CE153" s="392"/>
      <c r="DI153" s="392"/>
      <c r="DJ153" s="392"/>
      <c r="DK153" s="392"/>
      <c r="DL153" s="392"/>
      <c r="DM153" s="392"/>
      <c r="DN153" s="392"/>
      <c r="DO153" s="392"/>
      <c r="DQ153" s="392"/>
      <c r="DS153" s="394"/>
      <c r="DT153" s="394"/>
      <c r="DW153" s="392"/>
      <c r="DX153" s="394"/>
      <c r="DY153" s="394"/>
      <c r="EC153" s="392"/>
      <c r="ED153" s="394"/>
      <c r="EH153" s="394"/>
      <c r="EI153" s="392"/>
      <c r="EJ153" s="394"/>
      <c r="EN153" s="394"/>
      <c r="EO153" s="392"/>
      <c r="EP153" s="394"/>
      <c r="ET153" s="394"/>
      <c r="EU153" s="392"/>
      <c r="EV153" s="394"/>
      <c r="EZ153" s="394"/>
      <c r="FA153" s="392"/>
      <c r="FB153" s="394"/>
      <c r="FF153" s="394"/>
      <c r="FG153" s="392"/>
      <c r="FH153" s="394"/>
      <c r="FL153" s="394"/>
      <c r="FM153" s="392"/>
      <c r="FN153" s="394"/>
      <c r="FR153" s="394"/>
      <c r="FS153" s="392"/>
      <c r="FT153" s="394"/>
      <c r="FX153" s="394"/>
      <c r="FY153" s="392"/>
      <c r="FZ153" s="394"/>
      <c r="GD153" s="394"/>
      <c r="GE153" s="392"/>
      <c r="GF153" s="392"/>
      <c r="GG153" s="394"/>
      <c r="GJ153" s="394"/>
      <c r="GK153" s="392"/>
      <c r="GL153" s="392"/>
      <c r="GM153" s="394"/>
      <c r="GO153" s="394"/>
      <c r="GP153" s="394"/>
      <c r="GQ153" s="392"/>
      <c r="GR153" s="392"/>
      <c r="GS153" s="394"/>
      <c r="GT153" s="394"/>
    </row>
    <row r="154" spans="3:202" s="390" customFormat="1" x14ac:dyDescent="0.15">
      <c r="H154" s="23"/>
      <c r="I154" s="391"/>
      <c r="J154" s="392"/>
      <c r="K154" s="392"/>
      <c r="L154" s="392"/>
      <c r="M154" s="392"/>
      <c r="N154" s="392"/>
      <c r="O154" s="392"/>
      <c r="P154" s="392"/>
      <c r="Q154" s="392"/>
      <c r="R154" s="393"/>
      <c r="S154" s="394"/>
      <c r="T154" s="393"/>
      <c r="U154" s="393"/>
      <c r="V154" s="394"/>
      <c r="W154" s="394"/>
      <c r="X154" s="394"/>
      <c r="Y154" s="394"/>
      <c r="Z154" s="394"/>
      <c r="AA154" s="394"/>
      <c r="AB154" s="394"/>
      <c r="AC154" s="391"/>
      <c r="AD154" s="392"/>
      <c r="AE154" s="392"/>
      <c r="AF154" s="392"/>
      <c r="AG154" s="392"/>
      <c r="AH154" s="392"/>
      <c r="AI154" s="392"/>
      <c r="AJ154" s="392"/>
      <c r="AK154" s="392"/>
      <c r="AL154" s="392"/>
      <c r="AM154" s="392"/>
      <c r="AN154" s="392"/>
      <c r="AO154" s="392"/>
      <c r="AP154" s="392"/>
      <c r="AQ154" s="392"/>
      <c r="AR154" s="392"/>
      <c r="AS154" s="392"/>
      <c r="AT154" s="392"/>
      <c r="AU154" s="392"/>
      <c r="AV154" s="392"/>
      <c r="AW154" s="392"/>
      <c r="AX154" s="392"/>
      <c r="AY154" s="392"/>
      <c r="AZ154" s="392"/>
      <c r="BA154" s="392"/>
      <c r="BB154" s="392"/>
      <c r="BC154" s="392"/>
      <c r="BD154" s="392"/>
      <c r="BG154" s="393"/>
      <c r="BH154" s="393"/>
      <c r="BI154" s="393"/>
      <c r="BJ154" s="393"/>
      <c r="BK154" s="393"/>
      <c r="BL154" s="393"/>
      <c r="BM154" s="393"/>
      <c r="BN154" s="393"/>
      <c r="BO154" s="394"/>
      <c r="BP154" s="394"/>
      <c r="BQ154" s="394"/>
      <c r="BR154" s="394"/>
      <c r="BS154" s="394"/>
      <c r="BT154" s="394"/>
      <c r="BU154" s="392"/>
      <c r="BV154" s="392"/>
      <c r="BW154" s="392"/>
      <c r="BX154" s="392"/>
      <c r="BY154" s="392"/>
      <c r="BZ154" s="392"/>
      <c r="CA154" s="392"/>
      <c r="CB154" s="392"/>
      <c r="CC154" s="392"/>
      <c r="CD154" s="392"/>
      <c r="CE154" s="392"/>
      <c r="DI154" s="392"/>
      <c r="DJ154" s="392"/>
      <c r="DK154" s="392"/>
      <c r="DL154" s="392"/>
      <c r="DM154" s="392"/>
      <c r="DN154" s="392"/>
      <c r="DO154" s="392"/>
      <c r="DQ154" s="392"/>
      <c r="DS154" s="394"/>
      <c r="DT154" s="394"/>
      <c r="DW154" s="392"/>
      <c r="DX154" s="394"/>
      <c r="DY154" s="394"/>
      <c r="EC154" s="392"/>
      <c r="ED154" s="394"/>
      <c r="EH154" s="394"/>
      <c r="EI154" s="392"/>
      <c r="EJ154" s="394"/>
      <c r="EN154" s="394"/>
      <c r="EO154" s="392"/>
      <c r="EP154" s="394"/>
      <c r="ET154" s="394"/>
      <c r="EU154" s="392"/>
      <c r="EV154" s="394"/>
      <c r="EZ154" s="394"/>
      <c r="FA154" s="392"/>
      <c r="FB154" s="394"/>
      <c r="FF154" s="394"/>
      <c r="FG154" s="392"/>
      <c r="FH154" s="394"/>
      <c r="FL154" s="394"/>
      <c r="FM154" s="392"/>
      <c r="FN154" s="394"/>
      <c r="FR154" s="394"/>
      <c r="FS154" s="392"/>
      <c r="FT154" s="394"/>
      <c r="FX154" s="394"/>
      <c r="FY154" s="392"/>
      <c r="FZ154" s="394"/>
      <c r="GD154" s="394"/>
      <c r="GE154" s="392"/>
      <c r="GF154" s="392"/>
      <c r="GG154" s="394"/>
      <c r="GJ154" s="394"/>
      <c r="GK154" s="392"/>
      <c r="GL154" s="392"/>
      <c r="GM154" s="394"/>
      <c r="GO154" s="394"/>
      <c r="GP154" s="394"/>
      <c r="GQ154" s="392"/>
      <c r="GR154" s="392"/>
      <c r="GS154" s="394"/>
      <c r="GT154" s="394"/>
    </row>
    <row r="155" spans="3:202" s="390" customFormat="1" x14ac:dyDescent="0.15">
      <c r="H155" s="23"/>
      <c r="I155" s="391"/>
      <c r="J155" s="392"/>
      <c r="K155" s="392"/>
      <c r="L155" s="392"/>
      <c r="M155" s="392"/>
      <c r="N155" s="392"/>
      <c r="O155" s="392"/>
      <c r="P155" s="392"/>
      <c r="Q155" s="392"/>
      <c r="R155" s="393"/>
      <c r="S155" s="394"/>
      <c r="T155" s="393"/>
      <c r="U155" s="393"/>
      <c r="V155" s="394"/>
      <c r="W155" s="394"/>
      <c r="X155" s="394"/>
      <c r="Y155" s="394"/>
      <c r="Z155" s="394"/>
      <c r="AA155" s="394"/>
      <c r="AB155" s="394"/>
      <c r="AC155" s="391"/>
      <c r="AD155" s="392"/>
      <c r="AE155" s="392"/>
      <c r="AF155" s="392"/>
      <c r="AG155" s="392"/>
      <c r="AH155" s="392"/>
      <c r="AI155" s="392"/>
      <c r="AJ155" s="392"/>
      <c r="AK155" s="392"/>
      <c r="AL155" s="392"/>
      <c r="AM155" s="392"/>
      <c r="AN155" s="392"/>
      <c r="AO155" s="392"/>
      <c r="AP155" s="392"/>
      <c r="AQ155" s="392"/>
      <c r="AR155" s="392"/>
      <c r="AS155" s="392"/>
      <c r="AT155" s="392"/>
      <c r="AU155" s="392"/>
      <c r="AV155" s="392"/>
      <c r="AW155" s="392"/>
      <c r="AX155" s="392"/>
      <c r="AY155" s="392"/>
      <c r="AZ155" s="392"/>
      <c r="BA155" s="392"/>
      <c r="BB155" s="392"/>
      <c r="BC155" s="392"/>
      <c r="BD155" s="392"/>
      <c r="BG155" s="393"/>
      <c r="BH155" s="393"/>
      <c r="BI155" s="393"/>
      <c r="BJ155" s="393"/>
      <c r="BK155" s="393"/>
      <c r="BL155" s="393"/>
      <c r="BM155" s="393"/>
      <c r="BN155" s="393"/>
      <c r="BO155" s="394"/>
      <c r="BP155" s="394"/>
      <c r="BQ155" s="394"/>
      <c r="BR155" s="394"/>
      <c r="BS155" s="394"/>
      <c r="BT155" s="394"/>
      <c r="BU155" s="392"/>
      <c r="BV155" s="392"/>
      <c r="BW155" s="392"/>
      <c r="BX155" s="392"/>
      <c r="BY155" s="392"/>
      <c r="BZ155" s="392"/>
      <c r="CA155" s="392"/>
      <c r="CB155" s="392"/>
      <c r="CC155" s="392"/>
      <c r="CD155" s="392"/>
      <c r="CE155" s="392"/>
      <c r="DI155" s="392"/>
      <c r="DJ155" s="392"/>
      <c r="DK155" s="392"/>
      <c r="DL155" s="392"/>
      <c r="DM155" s="392"/>
      <c r="DN155" s="392"/>
      <c r="DO155" s="392"/>
      <c r="DQ155" s="392"/>
      <c r="DS155" s="394"/>
      <c r="DT155" s="394"/>
      <c r="DW155" s="392"/>
      <c r="DX155" s="394"/>
      <c r="DY155" s="394"/>
      <c r="EC155" s="392"/>
      <c r="ED155" s="394"/>
      <c r="EH155" s="394"/>
      <c r="EI155" s="392"/>
      <c r="EJ155" s="394"/>
      <c r="EN155" s="394"/>
      <c r="EO155" s="392"/>
      <c r="EP155" s="394"/>
      <c r="ET155" s="394"/>
      <c r="EU155" s="392"/>
      <c r="EV155" s="394"/>
      <c r="EZ155" s="394"/>
      <c r="FA155" s="392"/>
      <c r="FB155" s="394"/>
      <c r="FF155" s="394"/>
      <c r="FG155" s="392"/>
      <c r="FH155" s="394"/>
      <c r="FL155" s="394"/>
      <c r="FM155" s="392"/>
      <c r="FN155" s="394"/>
      <c r="FR155" s="394"/>
      <c r="FS155" s="392"/>
      <c r="FT155" s="394"/>
      <c r="FX155" s="394"/>
      <c r="FY155" s="392"/>
      <c r="FZ155" s="394"/>
      <c r="GD155" s="394"/>
      <c r="GE155" s="392"/>
      <c r="GF155" s="392"/>
      <c r="GG155" s="394"/>
      <c r="GJ155" s="394"/>
      <c r="GK155" s="392"/>
      <c r="GL155" s="392"/>
      <c r="GM155" s="394"/>
      <c r="GO155" s="394"/>
      <c r="GP155" s="394"/>
      <c r="GQ155" s="392"/>
      <c r="GR155" s="392"/>
      <c r="GS155" s="394"/>
      <c r="GT155" s="394"/>
    </row>
    <row r="156" spans="3:202" s="390" customFormat="1" x14ac:dyDescent="0.15">
      <c r="H156" s="23"/>
      <c r="I156" s="391"/>
      <c r="J156" s="392"/>
      <c r="K156" s="392"/>
      <c r="L156" s="392"/>
      <c r="M156" s="392"/>
      <c r="N156" s="392"/>
      <c r="O156" s="392"/>
      <c r="P156" s="392"/>
      <c r="Q156" s="392"/>
      <c r="R156" s="393"/>
      <c r="S156" s="394"/>
      <c r="T156" s="393"/>
      <c r="U156" s="393"/>
      <c r="V156" s="394"/>
      <c r="W156" s="394"/>
      <c r="X156" s="394"/>
      <c r="Y156" s="394"/>
      <c r="Z156" s="394"/>
      <c r="AA156" s="394"/>
      <c r="AB156" s="394"/>
      <c r="AC156" s="391"/>
      <c r="AD156" s="392"/>
      <c r="AE156" s="392"/>
      <c r="AF156" s="392"/>
      <c r="AG156" s="392"/>
      <c r="AH156" s="392"/>
      <c r="AI156" s="392"/>
      <c r="AJ156" s="392"/>
      <c r="AK156" s="392"/>
      <c r="AL156" s="392"/>
      <c r="AM156" s="392"/>
      <c r="AN156" s="392"/>
      <c r="AO156" s="392"/>
      <c r="AP156" s="392"/>
      <c r="AQ156" s="392"/>
      <c r="AR156" s="392"/>
      <c r="AS156" s="392"/>
      <c r="AT156" s="392"/>
      <c r="AU156" s="392"/>
      <c r="AV156" s="392"/>
      <c r="AW156" s="392"/>
      <c r="AX156" s="392"/>
      <c r="AY156" s="392"/>
      <c r="AZ156" s="392"/>
      <c r="BA156" s="392"/>
      <c r="BB156" s="392"/>
      <c r="BC156" s="392"/>
      <c r="BD156" s="392"/>
      <c r="BG156" s="393"/>
      <c r="BH156" s="393"/>
      <c r="BI156" s="393"/>
      <c r="BJ156" s="393"/>
      <c r="BK156" s="393"/>
      <c r="BL156" s="393"/>
      <c r="BM156" s="393"/>
      <c r="BN156" s="393"/>
      <c r="BO156" s="394"/>
      <c r="BP156" s="394"/>
      <c r="BQ156" s="394"/>
      <c r="BR156" s="394"/>
      <c r="BS156" s="394"/>
      <c r="BT156" s="394"/>
      <c r="BU156" s="392"/>
      <c r="BV156" s="392"/>
      <c r="BW156" s="392"/>
      <c r="BX156" s="392"/>
      <c r="BY156" s="392"/>
      <c r="BZ156" s="392"/>
      <c r="CA156" s="392"/>
      <c r="CB156" s="392"/>
      <c r="CC156" s="392"/>
      <c r="CD156" s="392"/>
      <c r="CE156" s="392"/>
      <c r="DI156" s="392"/>
      <c r="DJ156" s="392"/>
      <c r="DK156" s="392"/>
      <c r="DL156" s="392"/>
      <c r="DM156" s="392"/>
      <c r="DN156" s="392"/>
      <c r="DO156" s="392"/>
      <c r="DQ156" s="392"/>
      <c r="DS156" s="394"/>
      <c r="DT156" s="394"/>
      <c r="DW156" s="392"/>
      <c r="DX156" s="394"/>
      <c r="DY156" s="394"/>
      <c r="EC156" s="392"/>
      <c r="ED156" s="394"/>
      <c r="EH156" s="394"/>
      <c r="EI156" s="392"/>
      <c r="EJ156" s="394"/>
      <c r="EN156" s="394"/>
      <c r="EO156" s="392"/>
      <c r="EP156" s="394"/>
      <c r="ET156" s="394"/>
      <c r="EU156" s="392"/>
      <c r="EV156" s="394"/>
      <c r="EZ156" s="394"/>
      <c r="FA156" s="392"/>
      <c r="FB156" s="394"/>
      <c r="FF156" s="394"/>
      <c r="FG156" s="392"/>
      <c r="FH156" s="394"/>
      <c r="FL156" s="394"/>
      <c r="FM156" s="392"/>
      <c r="FN156" s="394"/>
      <c r="FR156" s="394"/>
      <c r="FS156" s="392"/>
      <c r="FT156" s="394"/>
      <c r="FX156" s="394"/>
      <c r="FY156" s="392"/>
      <c r="FZ156" s="394"/>
      <c r="GD156" s="394"/>
      <c r="GE156" s="392"/>
      <c r="GF156" s="392"/>
      <c r="GG156" s="394"/>
      <c r="GJ156" s="394"/>
      <c r="GK156" s="392"/>
      <c r="GL156" s="392"/>
      <c r="GM156" s="394"/>
      <c r="GO156" s="394"/>
      <c r="GP156" s="394"/>
      <c r="GQ156" s="392"/>
      <c r="GR156" s="392"/>
      <c r="GS156" s="394"/>
      <c r="GT156" s="394"/>
    </row>
    <row r="157" spans="3:202" s="390" customFormat="1" x14ac:dyDescent="0.15">
      <c r="H157" s="23"/>
      <c r="I157" s="391"/>
      <c r="J157" s="392"/>
      <c r="K157" s="392"/>
      <c r="L157" s="392"/>
      <c r="M157" s="392"/>
      <c r="N157" s="392"/>
      <c r="O157" s="392"/>
      <c r="P157" s="392"/>
      <c r="Q157" s="392"/>
      <c r="R157" s="393"/>
      <c r="S157" s="394"/>
      <c r="T157" s="393"/>
      <c r="U157" s="393"/>
      <c r="V157" s="394"/>
      <c r="W157" s="394"/>
      <c r="X157" s="394"/>
      <c r="Y157" s="394"/>
      <c r="Z157" s="394"/>
      <c r="AA157" s="394"/>
      <c r="AB157" s="394"/>
      <c r="AC157" s="391"/>
      <c r="AD157" s="392"/>
      <c r="AE157" s="392"/>
      <c r="AF157" s="392"/>
      <c r="AG157" s="392"/>
      <c r="AH157" s="392"/>
      <c r="AI157" s="392"/>
      <c r="AJ157" s="392"/>
      <c r="AK157" s="392"/>
      <c r="AL157" s="392"/>
      <c r="AM157" s="392"/>
      <c r="AN157" s="392"/>
      <c r="AO157" s="392"/>
      <c r="AP157" s="392"/>
      <c r="AQ157" s="392"/>
      <c r="AR157" s="392"/>
      <c r="AS157" s="392"/>
      <c r="AT157" s="392"/>
      <c r="AU157" s="392"/>
      <c r="AV157" s="392"/>
      <c r="AW157" s="392"/>
      <c r="AX157" s="392"/>
      <c r="AY157" s="392"/>
      <c r="AZ157" s="392"/>
      <c r="BA157" s="392"/>
      <c r="BB157" s="392"/>
      <c r="BC157" s="392"/>
      <c r="BD157" s="392"/>
      <c r="BG157" s="393"/>
      <c r="BH157" s="393"/>
      <c r="BI157" s="393"/>
      <c r="BJ157" s="393"/>
      <c r="BK157" s="393"/>
      <c r="BL157" s="393"/>
      <c r="BM157" s="393"/>
      <c r="BN157" s="393"/>
      <c r="BO157" s="394"/>
      <c r="BP157" s="394"/>
      <c r="BQ157" s="394"/>
      <c r="BR157" s="394"/>
      <c r="BS157" s="394"/>
      <c r="BT157" s="394"/>
      <c r="BU157" s="392"/>
      <c r="BV157" s="392"/>
      <c r="BW157" s="392"/>
      <c r="BX157" s="392"/>
      <c r="BY157" s="392"/>
      <c r="BZ157" s="392"/>
      <c r="CA157" s="392"/>
      <c r="CB157" s="392"/>
      <c r="CC157" s="392"/>
      <c r="CD157" s="392"/>
      <c r="CE157" s="392"/>
      <c r="DI157" s="392"/>
      <c r="DJ157" s="392"/>
      <c r="DK157" s="392"/>
      <c r="DL157" s="392"/>
      <c r="DM157" s="392"/>
      <c r="DN157" s="392"/>
      <c r="DO157" s="392"/>
      <c r="DQ157" s="392"/>
      <c r="DS157" s="394"/>
      <c r="DT157" s="394"/>
      <c r="DW157" s="392"/>
      <c r="DX157" s="394"/>
      <c r="DY157" s="394"/>
      <c r="EC157" s="392"/>
      <c r="ED157" s="394"/>
      <c r="EH157" s="394"/>
      <c r="EI157" s="392"/>
      <c r="EJ157" s="394"/>
      <c r="EN157" s="394"/>
      <c r="EO157" s="392"/>
      <c r="EP157" s="394"/>
      <c r="ET157" s="394"/>
      <c r="EU157" s="392"/>
      <c r="EV157" s="394"/>
      <c r="EZ157" s="394"/>
      <c r="FA157" s="392"/>
      <c r="FB157" s="394"/>
      <c r="FF157" s="394"/>
      <c r="FG157" s="392"/>
      <c r="FH157" s="394"/>
      <c r="FL157" s="394"/>
      <c r="FM157" s="392"/>
      <c r="FN157" s="394"/>
      <c r="FR157" s="394"/>
      <c r="FS157" s="392"/>
      <c r="FT157" s="394"/>
      <c r="FX157" s="394"/>
      <c r="FY157" s="392"/>
      <c r="FZ157" s="394"/>
      <c r="GD157" s="394"/>
      <c r="GE157" s="392"/>
      <c r="GF157" s="392"/>
      <c r="GG157" s="394"/>
      <c r="GJ157" s="394"/>
      <c r="GK157" s="392"/>
      <c r="GL157" s="392"/>
      <c r="GM157" s="394"/>
      <c r="GO157" s="394"/>
      <c r="GP157" s="394"/>
      <c r="GQ157" s="392"/>
      <c r="GR157" s="392"/>
      <c r="GS157" s="394"/>
      <c r="GT157" s="394"/>
    </row>
    <row r="158" spans="3:202" s="390" customFormat="1" x14ac:dyDescent="0.15">
      <c r="H158" s="23"/>
      <c r="I158" s="391"/>
      <c r="J158" s="392"/>
      <c r="K158" s="392"/>
      <c r="L158" s="392"/>
      <c r="M158" s="392"/>
      <c r="N158" s="392"/>
      <c r="O158" s="392"/>
      <c r="P158" s="392"/>
      <c r="Q158" s="392"/>
      <c r="R158" s="393"/>
      <c r="S158" s="394"/>
      <c r="T158" s="393"/>
      <c r="U158" s="393"/>
      <c r="V158" s="394"/>
      <c r="W158" s="394"/>
      <c r="X158" s="394"/>
      <c r="Y158" s="394"/>
      <c r="Z158" s="394"/>
      <c r="AA158" s="394"/>
      <c r="AB158" s="394"/>
      <c r="AC158" s="391"/>
      <c r="AD158" s="392"/>
      <c r="AE158" s="392"/>
      <c r="AF158" s="392"/>
      <c r="AG158" s="392"/>
      <c r="AH158" s="392"/>
      <c r="AI158" s="392"/>
      <c r="AJ158" s="392"/>
      <c r="AK158" s="392"/>
      <c r="AL158" s="392"/>
      <c r="AM158" s="392"/>
      <c r="AN158" s="392"/>
      <c r="AO158" s="392"/>
      <c r="AP158" s="392"/>
      <c r="AQ158" s="392"/>
      <c r="AR158" s="392"/>
      <c r="AS158" s="392"/>
      <c r="AT158" s="392"/>
      <c r="AU158" s="392"/>
      <c r="AV158" s="392"/>
      <c r="AW158" s="392"/>
      <c r="AX158" s="392"/>
      <c r="AY158" s="392"/>
      <c r="AZ158" s="392"/>
      <c r="BA158" s="392"/>
      <c r="BB158" s="392"/>
      <c r="BC158" s="392"/>
      <c r="BD158" s="392"/>
      <c r="BG158" s="393"/>
      <c r="BH158" s="393"/>
      <c r="BI158" s="393"/>
      <c r="BJ158" s="393"/>
      <c r="BK158" s="393"/>
      <c r="BL158" s="393"/>
      <c r="BM158" s="393"/>
      <c r="BN158" s="393"/>
      <c r="BO158" s="394"/>
      <c r="BP158" s="394"/>
      <c r="BQ158" s="394"/>
      <c r="BR158" s="394"/>
      <c r="BS158" s="394"/>
      <c r="BT158" s="394"/>
      <c r="BU158" s="392"/>
      <c r="BV158" s="392"/>
      <c r="BW158" s="392"/>
      <c r="BX158" s="392"/>
      <c r="BY158" s="392"/>
      <c r="BZ158" s="392"/>
      <c r="CA158" s="392"/>
      <c r="CB158" s="392"/>
      <c r="CC158" s="392"/>
      <c r="CD158" s="392"/>
      <c r="CE158" s="392"/>
      <c r="DI158" s="392"/>
      <c r="DJ158" s="392"/>
      <c r="DK158" s="392"/>
      <c r="DL158" s="392"/>
      <c r="DM158" s="392"/>
      <c r="DN158" s="392"/>
      <c r="DO158" s="392"/>
      <c r="DQ158" s="392"/>
      <c r="DS158" s="394"/>
      <c r="DT158" s="394"/>
      <c r="DW158" s="392"/>
      <c r="DX158" s="394"/>
      <c r="DY158" s="394"/>
      <c r="EC158" s="392"/>
      <c r="ED158" s="394"/>
      <c r="EH158" s="394"/>
      <c r="EI158" s="392"/>
      <c r="EJ158" s="394"/>
      <c r="EN158" s="394"/>
      <c r="EO158" s="392"/>
      <c r="EP158" s="394"/>
      <c r="ET158" s="394"/>
      <c r="EU158" s="392"/>
      <c r="EV158" s="394"/>
      <c r="EZ158" s="394"/>
      <c r="FA158" s="392"/>
      <c r="FB158" s="394"/>
      <c r="FF158" s="394"/>
      <c r="FG158" s="392"/>
      <c r="FH158" s="394"/>
      <c r="FL158" s="394"/>
      <c r="FM158" s="392"/>
      <c r="FN158" s="394"/>
      <c r="FR158" s="394"/>
      <c r="FS158" s="392"/>
      <c r="FT158" s="394"/>
      <c r="FX158" s="394"/>
      <c r="FY158" s="392"/>
      <c r="FZ158" s="394"/>
      <c r="GD158" s="394"/>
      <c r="GE158" s="392"/>
      <c r="GF158" s="392"/>
      <c r="GG158" s="394"/>
      <c r="GJ158" s="394"/>
      <c r="GK158" s="392"/>
      <c r="GL158" s="392"/>
      <c r="GM158" s="394"/>
      <c r="GO158" s="394"/>
      <c r="GP158" s="394"/>
      <c r="GQ158" s="392"/>
      <c r="GR158" s="392"/>
      <c r="GS158" s="394"/>
      <c r="GT158" s="394"/>
    </row>
    <row r="159" spans="3:202" s="390" customFormat="1" x14ac:dyDescent="0.15">
      <c r="H159" s="23"/>
      <c r="I159" s="391"/>
      <c r="J159" s="392"/>
      <c r="K159" s="392"/>
      <c r="L159" s="392"/>
      <c r="M159" s="392"/>
      <c r="N159" s="392"/>
      <c r="O159" s="392"/>
      <c r="P159" s="392"/>
      <c r="Q159" s="392"/>
      <c r="R159" s="393"/>
      <c r="S159" s="394"/>
      <c r="T159" s="393"/>
      <c r="U159" s="393"/>
      <c r="V159" s="394"/>
      <c r="W159" s="394"/>
      <c r="X159" s="394"/>
      <c r="Y159" s="394"/>
      <c r="Z159" s="394"/>
      <c r="AA159" s="394"/>
      <c r="AB159" s="394"/>
      <c r="AC159" s="391"/>
      <c r="AD159" s="392"/>
      <c r="AE159" s="392"/>
      <c r="AF159" s="392"/>
      <c r="AG159" s="392"/>
      <c r="AH159" s="392"/>
      <c r="AI159" s="392"/>
      <c r="AJ159" s="392"/>
      <c r="AK159" s="392"/>
      <c r="AL159" s="392"/>
      <c r="AM159" s="392"/>
      <c r="AN159" s="392"/>
      <c r="AO159" s="392"/>
      <c r="AP159" s="392"/>
      <c r="AQ159" s="392"/>
      <c r="AR159" s="392"/>
      <c r="AS159" s="392"/>
      <c r="AT159" s="392"/>
      <c r="AU159" s="392"/>
      <c r="AV159" s="392"/>
      <c r="AW159" s="392"/>
      <c r="AX159" s="392"/>
      <c r="AY159" s="392"/>
      <c r="AZ159" s="392"/>
      <c r="BA159" s="392"/>
      <c r="BB159" s="392"/>
      <c r="BC159" s="392"/>
      <c r="BD159" s="392"/>
      <c r="BG159" s="393"/>
      <c r="BH159" s="393"/>
      <c r="BI159" s="393"/>
      <c r="BJ159" s="393"/>
      <c r="BK159" s="393"/>
      <c r="BL159" s="393"/>
      <c r="BM159" s="393"/>
      <c r="BN159" s="393"/>
      <c r="BO159" s="394"/>
      <c r="BP159" s="394"/>
      <c r="BQ159" s="394"/>
      <c r="BR159" s="394"/>
      <c r="BS159" s="394"/>
      <c r="BT159" s="394"/>
      <c r="BU159" s="392"/>
      <c r="BV159" s="392"/>
      <c r="BW159" s="392"/>
      <c r="BX159" s="392"/>
      <c r="BY159" s="392"/>
      <c r="BZ159" s="392"/>
      <c r="CA159" s="392"/>
      <c r="CB159" s="392"/>
      <c r="CC159" s="392"/>
      <c r="CD159" s="392"/>
      <c r="CE159" s="392"/>
      <c r="DI159" s="392"/>
      <c r="DJ159" s="392"/>
      <c r="DK159" s="392"/>
      <c r="DL159" s="392"/>
      <c r="DM159" s="392"/>
      <c r="DN159" s="392"/>
      <c r="DO159" s="392"/>
      <c r="DQ159" s="392"/>
      <c r="DS159" s="394"/>
      <c r="DT159" s="394"/>
      <c r="DW159" s="392"/>
      <c r="DX159" s="394"/>
      <c r="DY159" s="394"/>
      <c r="EC159" s="392"/>
      <c r="ED159" s="394"/>
      <c r="EH159" s="394"/>
      <c r="EI159" s="392"/>
      <c r="EJ159" s="394"/>
      <c r="EN159" s="394"/>
      <c r="EO159" s="392"/>
      <c r="EP159" s="394"/>
      <c r="ET159" s="394"/>
      <c r="EU159" s="392"/>
      <c r="EV159" s="394"/>
      <c r="EZ159" s="394"/>
      <c r="FA159" s="392"/>
      <c r="FB159" s="394"/>
      <c r="FF159" s="394"/>
      <c r="FG159" s="392"/>
      <c r="FH159" s="394"/>
      <c r="FL159" s="394"/>
      <c r="FM159" s="392"/>
      <c r="FN159" s="394"/>
      <c r="FR159" s="394"/>
      <c r="FS159" s="392"/>
      <c r="FT159" s="394"/>
      <c r="FX159" s="394"/>
      <c r="FY159" s="392"/>
      <c r="FZ159" s="394"/>
      <c r="GD159" s="394"/>
      <c r="GE159" s="392"/>
      <c r="GF159" s="392"/>
      <c r="GG159" s="394"/>
      <c r="GJ159" s="394"/>
      <c r="GK159" s="392"/>
      <c r="GL159" s="392"/>
      <c r="GM159" s="394"/>
      <c r="GO159" s="394"/>
      <c r="GP159" s="394"/>
      <c r="GQ159" s="392"/>
      <c r="GR159" s="392"/>
      <c r="GS159" s="394"/>
      <c r="GT159" s="394"/>
    </row>
    <row r="160" spans="3:202" s="390" customFormat="1" x14ac:dyDescent="0.15">
      <c r="C160" s="1631"/>
      <c r="H160" s="23"/>
      <c r="I160" s="391"/>
      <c r="J160" s="392"/>
      <c r="K160" s="392"/>
      <c r="L160" s="392"/>
      <c r="M160" s="392"/>
      <c r="N160" s="392"/>
      <c r="O160" s="392"/>
      <c r="P160" s="392"/>
      <c r="Q160" s="392"/>
      <c r="R160" s="393"/>
      <c r="S160" s="394"/>
      <c r="T160" s="393"/>
      <c r="U160" s="393"/>
      <c r="V160" s="394"/>
      <c r="W160" s="394"/>
      <c r="X160" s="394"/>
      <c r="Y160" s="394"/>
      <c r="Z160" s="394"/>
      <c r="AA160" s="394"/>
      <c r="AB160" s="394"/>
      <c r="AC160" s="391"/>
      <c r="AD160" s="392"/>
      <c r="AE160" s="392"/>
      <c r="AF160" s="392"/>
      <c r="AG160" s="392"/>
      <c r="AH160" s="392"/>
      <c r="AI160" s="392"/>
      <c r="AJ160" s="392"/>
      <c r="AK160" s="392"/>
      <c r="AL160" s="392"/>
      <c r="AM160" s="392"/>
      <c r="AN160" s="392"/>
      <c r="AO160" s="392"/>
      <c r="AP160" s="392"/>
      <c r="AQ160" s="392"/>
      <c r="AR160" s="392"/>
      <c r="AS160" s="392"/>
      <c r="AT160" s="392"/>
      <c r="AU160" s="392"/>
      <c r="AV160" s="392"/>
      <c r="AW160" s="392"/>
      <c r="AX160" s="392"/>
      <c r="AY160" s="392"/>
      <c r="AZ160" s="392"/>
      <c r="BA160" s="392"/>
      <c r="BB160" s="392"/>
      <c r="BC160" s="392"/>
      <c r="BD160" s="392"/>
      <c r="BG160" s="393"/>
      <c r="BH160" s="393"/>
      <c r="BI160" s="393"/>
      <c r="BJ160" s="393"/>
      <c r="BK160" s="393"/>
      <c r="BL160" s="393"/>
      <c r="BM160" s="393"/>
      <c r="BN160" s="393"/>
      <c r="BO160" s="394"/>
      <c r="BP160" s="394"/>
      <c r="BQ160" s="394"/>
      <c r="BR160" s="394"/>
      <c r="BS160" s="394"/>
      <c r="BT160" s="394"/>
      <c r="BU160" s="392"/>
      <c r="BV160" s="392"/>
      <c r="BW160" s="392"/>
      <c r="BX160" s="392"/>
      <c r="BY160" s="392"/>
      <c r="BZ160" s="392"/>
      <c r="CA160" s="392"/>
      <c r="CB160" s="392"/>
      <c r="CC160" s="392"/>
      <c r="CD160" s="392"/>
      <c r="CE160" s="392"/>
      <c r="DI160" s="392"/>
      <c r="DJ160" s="392"/>
      <c r="DK160" s="392"/>
      <c r="DL160" s="392"/>
      <c r="DM160" s="392"/>
      <c r="DN160" s="392"/>
      <c r="DO160" s="392"/>
      <c r="DQ160" s="392"/>
      <c r="DS160" s="394"/>
      <c r="DT160" s="394"/>
      <c r="DW160" s="392"/>
      <c r="DX160" s="394"/>
      <c r="DY160" s="394"/>
      <c r="EC160" s="392"/>
      <c r="ED160" s="394"/>
      <c r="EH160" s="394"/>
      <c r="EI160" s="392"/>
      <c r="EJ160" s="394"/>
      <c r="EN160" s="394"/>
      <c r="EO160" s="392"/>
      <c r="EP160" s="394"/>
      <c r="ET160" s="394"/>
      <c r="EU160" s="392"/>
      <c r="EV160" s="394"/>
      <c r="EZ160" s="394"/>
      <c r="FA160" s="392"/>
      <c r="FB160" s="394"/>
      <c r="FF160" s="394"/>
      <c r="FG160" s="392"/>
      <c r="FH160" s="394"/>
      <c r="FL160" s="394"/>
      <c r="FM160" s="392"/>
      <c r="FN160" s="394"/>
      <c r="FR160" s="394"/>
      <c r="FS160" s="392"/>
      <c r="FT160" s="394"/>
      <c r="FX160" s="394"/>
      <c r="FY160" s="392"/>
      <c r="FZ160" s="394"/>
      <c r="GD160" s="394"/>
      <c r="GE160" s="392"/>
      <c r="GF160" s="392"/>
      <c r="GG160" s="394"/>
      <c r="GJ160" s="394"/>
      <c r="GK160" s="392"/>
      <c r="GL160" s="392"/>
      <c r="GM160" s="394"/>
      <c r="GO160" s="394"/>
      <c r="GP160" s="394"/>
      <c r="GQ160" s="392"/>
      <c r="GR160" s="392"/>
      <c r="GS160" s="394"/>
      <c r="GT160" s="394"/>
    </row>
    <row r="161" spans="1:209" s="390" customFormat="1" x14ac:dyDescent="0.15">
      <c r="H161" s="2663"/>
      <c r="I161" s="391"/>
      <c r="J161" s="392"/>
      <c r="K161" s="392"/>
      <c r="L161" s="392"/>
      <c r="M161" s="392"/>
      <c r="N161" s="392"/>
      <c r="O161" s="392"/>
      <c r="P161" s="392"/>
      <c r="Q161" s="392"/>
      <c r="R161" s="393"/>
      <c r="S161" s="394"/>
      <c r="T161" s="393"/>
      <c r="U161" s="393"/>
      <c r="V161" s="394"/>
      <c r="W161" s="394"/>
      <c r="X161" s="394"/>
      <c r="Y161" s="394"/>
      <c r="Z161" s="394"/>
      <c r="AA161" s="394"/>
      <c r="AB161" s="394"/>
      <c r="AC161" s="391"/>
      <c r="AD161" s="392"/>
      <c r="AE161" s="392"/>
      <c r="AF161" s="392"/>
      <c r="AG161" s="392"/>
      <c r="AH161" s="392"/>
      <c r="AI161" s="392"/>
      <c r="AJ161" s="392"/>
      <c r="AK161" s="392"/>
      <c r="AL161" s="392"/>
      <c r="AM161" s="392"/>
      <c r="AN161" s="392"/>
      <c r="AO161" s="392"/>
      <c r="AP161" s="392"/>
      <c r="AQ161" s="392"/>
      <c r="AR161" s="392"/>
      <c r="AS161" s="392"/>
      <c r="AT161" s="392"/>
      <c r="AU161" s="392"/>
      <c r="AV161" s="392"/>
      <c r="AW161" s="392"/>
      <c r="AX161" s="392"/>
      <c r="AY161" s="392"/>
      <c r="AZ161" s="392"/>
      <c r="BA161" s="392"/>
      <c r="BB161" s="392"/>
      <c r="BC161" s="392"/>
      <c r="BD161" s="392"/>
      <c r="BG161" s="393"/>
      <c r="BH161" s="393"/>
      <c r="BI161" s="393"/>
      <c r="BJ161" s="393"/>
      <c r="BK161" s="393"/>
      <c r="BL161" s="393"/>
      <c r="BM161" s="393"/>
      <c r="BN161" s="393"/>
      <c r="BO161" s="394"/>
      <c r="BP161" s="394"/>
      <c r="BQ161" s="394"/>
      <c r="BR161" s="394"/>
      <c r="BS161" s="394"/>
      <c r="BT161" s="394"/>
      <c r="BU161" s="392"/>
      <c r="BV161" s="392"/>
      <c r="BW161" s="392"/>
      <c r="BX161" s="392"/>
      <c r="BY161" s="392"/>
      <c r="BZ161" s="392"/>
      <c r="CA161" s="392"/>
      <c r="CB161" s="392"/>
      <c r="CC161" s="392"/>
      <c r="CD161" s="392"/>
      <c r="CE161" s="392"/>
      <c r="DI161" s="392"/>
      <c r="DJ161" s="392"/>
      <c r="DK161" s="392"/>
      <c r="DL161" s="392"/>
      <c r="DM161" s="392"/>
      <c r="DN161" s="392"/>
      <c r="DO161" s="392"/>
      <c r="DQ161" s="392"/>
      <c r="DS161" s="394"/>
      <c r="DT161" s="394"/>
      <c r="DW161" s="392"/>
      <c r="DX161" s="394"/>
      <c r="DY161" s="394"/>
      <c r="EC161" s="392"/>
      <c r="ED161" s="394"/>
      <c r="EH161" s="394"/>
      <c r="EI161" s="392"/>
      <c r="EJ161" s="394"/>
      <c r="EN161" s="394"/>
      <c r="EO161" s="392"/>
      <c r="EP161" s="394"/>
      <c r="ET161" s="394"/>
      <c r="EU161" s="392"/>
      <c r="EV161" s="394"/>
      <c r="EZ161" s="394"/>
      <c r="FA161" s="392"/>
      <c r="FB161" s="394"/>
      <c r="FF161" s="394"/>
      <c r="FG161" s="392"/>
      <c r="FH161" s="394"/>
      <c r="FL161" s="394"/>
      <c r="FM161" s="392"/>
      <c r="FN161" s="394"/>
      <c r="FR161" s="394"/>
      <c r="FS161" s="392"/>
      <c r="FT161" s="394"/>
      <c r="FX161" s="394"/>
      <c r="FY161" s="392"/>
      <c r="FZ161" s="394"/>
      <c r="GD161" s="394"/>
      <c r="GE161" s="392"/>
      <c r="GF161" s="392"/>
      <c r="GG161" s="394"/>
      <c r="GJ161" s="394"/>
      <c r="GK161" s="392"/>
      <c r="GL161" s="392"/>
      <c r="GM161" s="394"/>
      <c r="GO161" s="394"/>
      <c r="GP161" s="394"/>
      <c r="GQ161" s="392"/>
      <c r="GR161" s="392"/>
      <c r="GS161" s="394"/>
      <c r="GT161" s="394"/>
    </row>
    <row r="162" spans="1:209" s="390" customFormat="1" ht="12.75" hidden="1" customHeight="1" x14ac:dyDescent="0.15">
      <c r="A162" s="565" t="s">
        <v>121</v>
      </c>
      <c r="B162" s="1632" t="s">
        <v>120</v>
      </c>
      <c r="C162" s="2162" t="s">
        <v>314</v>
      </c>
      <c r="D162" s="2162" t="s">
        <v>132</v>
      </c>
      <c r="E162" s="2162" t="s">
        <v>313</v>
      </c>
      <c r="F162" s="2162" t="s">
        <v>273</v>
      </c>
      <c r="G162" s="2162" t="s">
        <v>1560</v>
      </c>
      <c r="H162" s="1633" t="s">
        <v>118</v>
      </c>
      <c r="I162" s="1634" t="s">
        <v>239</v>
      </c>
      <c r="J162" s="1848" t="s">
        <v>584</v>
      </c>
      <c r="K162" s="1844" t="s">
        <v>744</v>
      </c>
      <c r="L162" s="1844" t="s">
        <v>741</v>
      </c>
      <c r="M162" s="1840" t="s">
        <v>738</v>
      </c>
      <c r="N162" s="1840" t="s">
        <v>742</v>
      </c>
      <c r="O162" s="1840" t="s">
        <v>743</v>
      </c>
      <c r="P162" s="1703" t="s">
        <v>776</v>
      </c>
      <c r="Q162" s="1978" t="s">
        <v>305</v>
      </c>
      <c r="R162" s="1978" t="s">
        <v>1562</v>
      </c>
      <c r="S162" s="1683"/>
      <c r="T162" s="1683"/>
      <c r="U162" s="1683"/>
      <c r="V162" s="1683"/>
      <c r="W162" s="1683"/>
      <c r="X162" s="1683"/>
      <c r="Y162" s="1683"/>
      <c r="Z162" s="1683"/>
      <c r="AA162" s="1683"/>
      <c r="AB162" s="1683"/>
      <c r="AC162" s="1683"/>
      <c r="AD162" s="1683"/>
      <c r="AE162" s="1638"/>
      <c r="AF162" s="1639"/>
      <c r="AG162" s="1638"/>
      <c r="AH162" s="1638"/>
      <c r="AI162" s="1638"/>
      <c r="AJ162" s="1635"/>
      <c r="AK162" s="1638"/>
      <c r="AL162" s="1635"/>
      <c r="AM162" s="1638"/>
      <c r="AN162" s="1635"/>
      <c r="AO162" s="1638"/>
      <c r="AP162" s="1635"/>
      <c r="AQ162" s="1638"/>
      <c r="AR162" s="1635"/>
      <c r="AS162" s="1638"/>
      <c r="AT162" s="1635"/>
      <c r="AU162" s="1635"/>
      <c r="AV162" s="1635"/>
      <c r="AW162" s="1635"/>
      <c r="AX162" s="1635"/>
      <c r="AY162" s="1635"/>
      <c r="AZ162" s="1635"/>
      <c r="BA162" s="1635"/>
      <c r="BB162" s="1635"/>
      <c r="BC162" s="1635"/>
      <c r="BD162" s="1635"/>
      <c r="BE162" s="1635"/>
      <c r="BF162" s="1639"/>
      <c r="BG162" s="1636"/>
      <c r="BH162" s="1636"/>
      <c r="BI162" s="1636"/>
      <c r="BJ162" s="1636"/>
      <c r="BK162" s="1636"/>
      <c r="BL162" s="1636"/>
      <c r="BM162" s="1636"/>
      <c r="BN162" s="1636"/>
      <c r="BO162" s="1636"/>
      <c r="BP162" s="1683"/>
      <c r="BQ162" s="1703"/>
      <c r="BR162" s="1704"/>
      <c r="BS162" s="1683">
        <v>0</v>
      </c>
      <c r="BT162" s="1683"/>
      <c r="BU162" s="1703"/>
      <c r="BV162" s="1704"/>
      <c r="BW162" s="1683"/>
      <c r="BX162" s="1683"/>
      <c r="BY162" s="1683"/>
      <c r="BZ162" s="1683"/>
      <c r="CA162" s="1683"/>
      <c r="CB162" s="1683"/>
      <c r="CC162" s="1683"/>
      <c r="CD162" s="1703"/>
      <c r="CE162" s="1704"/>
      <c r="CF162" s="1635"/>
      <c r="CI162" s="1639"/>
      <c r="CJ162" s="1639"/>
      <c r="CK162" s="1639"/>
      <c r="CL162" s="1639"/>
      <c r="CM162" s="1639"/>
      <c r="CN162" s="1639"/>
      <c r="CO162" s="1639"/>
      <c r="CP162" s="1639"/>
      <c r="CQ162" s="1639"/>
      <c r="CR162" s="1639"/>
      <c r="CS162" s="1639"/>
      <c r="CT162" s="1639"/>
      <c r="CU162" s="1639"/>
      <c r="CV162" s="1639"/>
      <c r="CW162" s="1639"/>
      <c r="CX162" s="1639"/>
      <c r="CY162" s="1639"/>
      <c r="CZ162" s="1639"/>
      <c r="DA162" s="1639"/>
      <c r="DB162" s="1639"/>
      <c r="DC162" s="1639"/>
      <c r="DD162" s="1639"/>
      <c r="DE162" s="1639"/>
      <c r="DF162" s="1639"/>
      <c r="DG162" s="1639"/>
      <c r="DH162" s="1639"/>
      <c r="DI162" s="1640"/>
      <c r="DJ162" s="1635"/>
      <c r="DK162" s="1635"/>
      <c r="DL162" s="1635"/>
      <c r="DM162" s="1635"/>
      <c r="DN162" s="1635"/>
      <c r="DO162" s="1635"/>
      <c r="DP162" s="1635"/>
      <c r="DQ162" s="1635"/>
      <c r="DR162" s="1639"/>
      <c r="DS162" s="1639"/>
      <c r="DT162" s="1638"/>
      <c r="DU162" s="1638"/>
      <c r="DV162" s="1639"/>
      <c r="DW162" s="1635"/>
      <c r="DX162" s="1639"/>
      <c r="DY162" s="1638"/>
      <c r="DZ162" s="1638"/>
      <c r="EA162" s="1639"/>
      <c r="EB162" s="1639"/>
      <c r="EC162" s="1635"/>
      <c r="ED162" s="1638"/>
      <c r="EE162" s="1638"/>
      <c r="EF162" s="1639"/>
      <c r="EG162" s="1639"/>
      <c r="EH162" s="1639"/>
      <c r="EI162" s="1635"/>
      <c r="EJ162" s="1638"/>
      <c r="EK162" s="1638"/>
      <c r="EL162" s="1639"/>
      <c r="EM162" s="1639"/>
      <c r="EN162" s="1639"/>
      <c r="EO162" s="1635"/>
      <c r="EP162" s="1638"/>
      <c r="EQ162" s="1638"/>
      <c r="ER162" s="1639"/>
      <c r="ES162" s="1639"/>
      <c r="ET162" s="1639"/>
      <c r="EU162" s="1635"/>
      <c r="EV162" s="1638"/>
      <c r="EW162" s="1638"/>
      <c r="EX162" s="1639"/>
      <c r="EY162" s="1639"/>
      <c r="EZ162" s="1639"/>
      <c r="FA162" s="1635"/>
      <c r="FB162" s="1638"/>
      <c r="FC162" s="1638"/>
      <c r="FD162" s="1639"/>
      <c r="FE162" s="1639"/>
      <c r="FF162" s="1639"/>
      <c r="FG162" s="1635"/>
      <c r="FH162" s="1638"/>
      <c r="FI162" s="1638"/>
      <c r="FJ162" s="1639"/>
      <c r="FK162" s="1639"/>
      <c r="FL162" s="1639"/>
      <c r="FM162" s="1635"/>
      <c r="FN162" s="1638"/>
      <c r="FO162" s="1638"/>
      <c r="FP162" s="1639"/>
      <c r="FQ162" s="1639"/>
      <c r="FR162" s="1639"/>
      <c r="FS162" s="1635"/>
      <c r="FT162" s="1638"/>
      <c r="FU162" s="1638"/>
      <c r="FV162" s="1639"/>
      <c r="FW162" s="1639"/>
      <c r="FX162" s="1639"/>
      <c r="FY162" s="1635"/>
      <c r="FZ162" s="1638"/>
      <c r="GA162" s="1638"/>
      <c r="GB162" s="1639"/>
      <c r="GC162" s="1639"/>
      <c r="GD162" s="1639"/>
      <c r="GE162" s="1635"/>
      <c r="GF162" s="1638"/>
      <c r="GG162" s="1635"/>
      <c r="GH162" s="1638"/>
      <c r="GI162" s="1639"/>
      <c r="GJ162" s="1639"/>
      <c r="GK162" s="1635"/>
      <c r="GL162" s="1638"/>
      <c r="GM162" s="1635"/>
      <c r="GN162" s="1638"/>
      <c r="GO162" s="1639"/>
      <c r="GP162" s="1638"/>
      <c r="GQ162" s="1635"/>
      <c r="GR162" s="1638"/>
      <c r="GS162" s="1635"/>
      <c r="GT162" s="1635"/>
      <c r="GU162" s="1638"/>
      <c r="HA162" s="1640"/>
    </row>
    <row r="163" spans="1:209" s="1640" customFormat="1" ht="15" hidden="1" customHeight="1" x14ac:dyDescent="0.15">
      <c r="A163" s="2727" t="s">
        <v>382</v>
      </c>
      <c r="B163" s="2728" t="s">
        <v>381</v>
      </c>
      <c r="C163" s="2162" t="s">
        <v>1015</v>
      </c>
      <c r="D163" s="2162" t="s">
        <v>216</v>
      </c>
      <c r="E163" s="2162" t="s">
        <v>737</v>
      </c>
      <c r="F163" s="2162" t="s">
        <v>325</v>
      </c>
      <c r="G163" s="2162" t="s">
        <v>1561</v>
      </c>
      <c r="H163" s="1641" t="s">
        <v>389</v>
      </c>
      <c r="I163" s="1837" t="str">
        <f>H3</f>
        <v>Mbps</v>
      </c>
      <c r="J163" s="1642" t="s">
        <v>408</v>
      </c>
      <c r="K163" s="1769" t="s">
        <v>408</v>
      </c>
      <c r="L163" s="1769" t="s">
        <v>740</v>
      </c>
      <c r="M163" s="1769" t="s">
        <v>718</v>
      </c>
      <c r="N163" s="1769" t="s">
        <v>718</v>
      </c>
      <c r="O163" s="1769" t="s">
        <v>718</v>
      </c>
      <c r="P163" s="1874" t="s">
        <v>727</v>
      </c>
      <c r="Q163" s="1874" t="s">
        <v>727</v>
      </c>
      <c r="R163" s="1874" t="s">
        <v>1560</v>
      </c>
      <c r="S163" s="1186"/>
      <c r="W163" s="2064" t="s">
        <v>948</v>
      </c>
      <c r="AE163" s="390"/>
      <c r="AF163" s="390"/>
      <c r="AG163" s="390"/>
      <c r="AH163" s="390"/>
      <c r="AJ163" s="392"/>
      <c r="AL163" s="392"/>
      <c r="AN163" s="392"/>
      <c r="AP163" s="392"/>
      <c r="AR163" s="392"/>
      <c r="AT163" s="392"/>
      <c r="AU163" s="392"/>
      <c r="AV163" s="392"/>
      <c r="AW163" s="392"/>
      <c r="AX163" s="392"/>
      <c r="AY163" s="392"/>
      <c r="AZ163" s="392"/>
      <c r="BA163" s="392"/>
      <c r="BB163" s="392"/>
      <c r="BC163" s="392"/>
      <c r="BD163" s="392"/>
      <c r="BE163" s="392"/>
      <c r="BF163" s="390"/>
      <c r="BG163" s="392"/>
      <c r="BH163" s="392"/>
      <c r="BI163" s="392"/>
      <c r="BJ163" s="392"/>
      <c r="BK163" s="392"/>
      <c r="BL163" s="392"/>
      <c r="BM163" s="392"/>
      <c r="BN163" s="392"/>
      <c r="BO163" s="392"/>
      <c r="BP163" s="1186"/>
      <c r="BQ163" s="1186"/>
      <c r="BR163" s="1186"/>
      <c r="BS163" s="1186"/>
      <c r="BT163" s="1186"/>
      <c r="BU163" s="1186"/>
      <c r="BV163" s="1186"/>
      <c r="BW163" s="1186"/>
      <c r="BX163" s="1186"/>
      <c r="BY163" s="1186"/>
      <c r="BZ163" s="1186"/>
      <c r="CA163" s="1186"/>
      <c r="CB163" s="1186"/>
      <c r="CC163" s="1186"/>
      <c r="CD163" s="1186"/>
      <c r="CE163" s="1186"/>
      <c r="CF163" s="392"/>
      <c r="CI163" s="390"/>
      <c r="CJ163" s="390"/>
      <c r="CK163" s="390"/>
      <c r="CL163" s="390"/>
      <c r="CM163" s="390"/>
      <c r="CN163" s="390"/>
      <c r="CO163" s="390"/>
      <c r="CP163" s="390"/>
      <c r="CQ163" s="390"/>
      <c r="CR163" s="390"/>
      <c r="CS163" s="390"/>
      <c r="CT163" s="390"/>
      <c r="CU163" s="390"/>
      <c r="CV163" s="390"/>
      <c r="CW163" s="390"/>
      <c r="CX163" s="390"/>
      <c r="CY163" s="1643"/>
      <c r="CZ163" s="1644"/>
      <c r="DA163" s="1644"/>
      <c r="DB163" s="1644"/>
      <c r="DC163" s="1644"/>
      <c r="DD163" s="1644"/>
      <c r="DE163" s="1644"/>
      <c r="DF163" s="1644"/>
      <c r="DG163" s="1644"/>
      <c r="DH163" s="1644"/>
      <c r="DI163" s="390"/>
      <c r="DJ163" s="392"/>
      <c r="DK163" s="392"/>
      <c r="DL163" s="392"/>
      <c r="DM163" s="392"/>
      <c r="DN163" s="392"/>
      <c r="DO163" s="392"/>
      <c r="DP163" s="392"/>
      <c r="DQ163" s="392"/>
      <c r="DR163" s="390"/>
      <c r="DS163" s="390"/>
      <c r="DT163" s="394"/>
      <c r="DU163" s="394"/>
      <c r="DV163" s="390"/>
      <c r="DW163" s="392"/>
      <c r="DX163" s="390"/>
      <c r="DY163" s="394"/>
      <c r="DZ163" s="394"/>
      <c r="EA163" s="390"/>
      <c r="EB163" s="390"/>
      <c r="EC163" s="392"/>
      <c r="ED163" s="394"/>
      <c r="EE163" s="394"/>
      <c r="EF163" s="390"/>
      <c r="EG163" s="390"/>
      <c r="EH163" s="390"/>
      <c r="EI163" s="392"/>
      <c r="EJ163" s="394"/>
      <c r="EK163" s="394"/>
      <c r="EL163" s="390"/>
      <c r="EM163" s="390"/>
      <c r="EN163" s="390"/>
      <c r="EO163" s="392"/>
      <c r="EP163" s="394"/>
      <c r="EQ163" s="394"/>
      <c r="ER163" s="390"/>
      <c r="ES163" s="390"/>
      <c r="ET163" s="390"/>
      <c r="EU163" s="392"/>
      <c r="EV163" s="394"/>
      <c r="EW163" s="394"/>
      <c r="EX163" s="390"/>
      <c r="EY163" s="390"/>
      <c r="EZ163" s="390"/>
      <c r="FA163" s="392"/>
      <c r="FB163" s="394"/>
      <c r="FC163" s="394"/>
      <c r="FD163" s="390"/>
      <c r="FE163" s="390"/>
      <c r="FF163" s="390"/>
      <c r="FG163" s="392"/>
      <c r="FH163" s="394"/>
      <c r="FI163" s="394"/>
      <c r="FJ163" s="390"/>
      <c r="FK163" s="390"/>
      <c r="FL163" s="390"/>
      <c r="FM163" s="392"/>
      <c r="FN163" s="394"/>
      <c r="FO163" s="394"/>
      <c r="FP163" s="390"/>
      <c r="FQ163" s="390"/>
      <c r="FR163" s="390"/>
      <c r="FS163" s="392"/>
      <c r="FT163" s="394"/>
      <c r="FU163" s="394"/>
      <c r="FV163" s="390"/>
      <c r="FW163" s="390"/>
      <c r="FX163" s="390"/>
      <c r="FY163" s="392"/>
      <c r="FZ163" s="394"/>
      <c r="GA163" s="394"/>
      <c r="GB163" s="390"/>
      <c r="GC163" s="390"/>
      <c r="GD163" s="390"/>
      <c r="GE163" s="392"/>
      <c r="GF163" s="394"/>
      <c r="GG163" s="392"/>
      <c r="GH163" s="394"/>
      <c r="GI163" s="390"/>
      <c r="GJ163" s="390"/>
      <c r="GK163" s="392"/>
      <c r="GL163" s="394"/>
      <c r="GM163" s="392"/>
      <c r="GN163" s="394"/>
      <c r="GO163" s="390"/>
      <c r="GP163" s="394"/>
      <c r="GQ163" s="392"/>
      <c r="GR163" s="394"/>
      <c r="GS163" s="392"/>
      <c r="GT163" s="392"/>
      <c r="GU163" s="394"/>
      <c r="HA163" s="390"/>
    </row>
    <row r="164" spans="1:209" s="390" customFormat="1" ht="15" hidden="1" customHeight="1" x14ac:dyDescent="0.15">
      <c r="A164" s="775" t="str">
        <f>IF(ISERROR(FIND(":",B164)),B164,LEFT(B164,FIND(":",B164)-1))</f>
        <v>Client</v>
      </c>
      <c r="B164" s="1645" t="str">
        <f>A18</f>
        <v>Client</v>
      </c>
      <c r="C164" s="2163"/>
      <c r="D164" s="2163"/>
      <c r="E164" s="2166"/>
      <c r="F164" s="2166"/>
      <c r="G164" s="2166"/>
      <c r="H164" s="1646" t="s">
        <v>388</v>
      </c>
      <c r="I164" s="1834">
        <v>10000</v>
      </c>
      <c r="J164" s="1762" t="s">
        <v>737</v>
      </c>
      <c r="K164" s="1771" t="s">
        <v>526</v>
      </c>
      <c r="L164" s="1771" t="s">
        <v>739</v>
      </c>
      <c r="M164" s="1771" t="s">
        <v>1243</v>
      </c>
      <c r="N164" s="1771" t="s">
        <v>25</v>
      </c>
      <c r="O164" s="1771" t="s">
        <v>313</v>
      </c>
      <c r="P164" s="1771" t="s">
        <v>776</v>
      </c>
      <c r="Q164" s="1771" t="s">
        <v>305</v>
      </c>
      <c r="R164" s="1770" t="s">
        <v>776</v>
      </c>
      <c r="S164" s="1186"/>
      <c r="W164" s="2065" t="s">
        <v>949</v>
      </c>
      <c r="BG164" s="392"/>
      <c r="BH164" s="392"/>
      <c r="BI164" s="392"/>
      <c r="BJ164" s="392"/>
      <c r="BK164" s="392"/>
      <c r="BL164" s="392"/>
      <c r="BM164" s="392"/>
      <c r="BN164" s="392"/>
      <c r="BO164" s="392"/>
      <c r="BP164" s="1186"/>
      <c r="BQ164" s="1186"/>
      <c r="BR164" s="1186"/>
      <c r="BS164" s="1186"/>
      <c r="BT164" s="1186"/>
      <c r="BU164" s="1186"/>
      <c r="BV164" s="1186"/>
      <c r="BW164" s="1186"/>
      <c r="BX164" s="1186"/>
      <c r="BY164" s="1186"/>
      <c r="BZ164" s="1186"/>
      <c r="CA164" s="1186"/>
      <c r="CB164" s="1186"/>
      <c r="CC164" s="1186"/>
      <c r="CD164" s="1186"/>
      <c r="CE164" s="1186"/>
      <c r="CF164" s="392"/>
      <c r="CL164" s="394"/>
      <c r="CM164" s="391"/>
      <c r="CO164" s="392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J164" s="392"/>
      <c r="DK164" s="392"/>
      <c r="DL164" s="392"/>
      <c r="DM164" s="392"/>
      <c r="DN164" s="392"/>
      <c r="DO164" s="392"/>
      <c r="DP164" s="392"/>
      <c r="DQ164" s="392"/>
      <c r="DT164" s="394"/>
      <c r="DU164" s="394"/>
      <c r="DW164" s="392"/>
      <c r="DY164" s="394"/>
      <c r="DZ164" s="394"/>
      <c r="EC164" s="392"/>
      <c r="ED164" s="394"/>
      <c r="EE164" s="394"/>
      <c r="EI164" s="392"/>
      <c r="EJ164" s="394"/>
      <c r="EK164" s="394"/>
      <c r="EO164" s="392"/>
      <c r="EP164" s="394"/>
      <c r="EQ164" s="394"/>
      <c r="EU164" s="392"/>
      <c r="EV164" s="394"/>
      <c r="EW164" s="394"/>
      <c r="FA164" s="392"/>
      <c r="FB164" s="394"/>
      <c r="FC164" s="394"/>
      <c r="FG164" s="392"/>
      <c r="FH164" s="394"/>
      <c r="FI164" s="394"/>
      <c r="FM164" s="392"/>
      <c r="FN164" s="394"/>
      <c r="FO164" s="394"/>
      <c r="FS164" s="392"/>
      <c r="FT164" s="394"/>
      <c r="FU164" s="394"/>
      <c r="FY164" s="392"/>
      <c r="FZ164" s="394"/>
      <c r="GA164" s="394"/>
      <c r="GE164" s="392"/>
      <c r="GF164" s="394"/>
      <c r="GG164" s="392"/>
      <c r="GH164" s="394"/>
      <c r="GK164" s="392"/>
      <c r="GL164" s="394"/>
      <c r="GM164" s="392"/>
      <c r="GN164" s="394"/>
      <c r="GP164" s="394"/>
      <c r="GQ164" s="392"/>
      <c r="GR164" s="394"/>
      <c r="GS164" s="392"/>
      <c r="GT164" s="392"/>
      <c r="GU164" s="394"/>
    </row>
    <row r="165" spans="1:209" s="390" customFormat="1" ht="15" hidden="1" customHeight="1" thickBot="1" x14ac:dyDescent="0.2">
      <c r="A165" s="775" t="str">
        <f t="shared" ref="A165:A179" si="89">IF(ISERROR(FIND(":",B165)),B165,LEFT(B165,FIND(":",B165)-1))</f>
        <v>Tier01</v>
      </c>
      <c r="B165" s="1645" t="str">
        <f>B20</f>
        <v>Tier01: Platform Tier 01</v>
      </c>
      <c r="C165" s="2165" t="str">
        <f>B21</f>
        <v>Xeon E5-2637v4 4 core (1 chip) 3500 MHz</v>
      </c>
      <c r="D165" s="2161">
        <f>C21</f>
        <v>0</v>
      </c>
      <c r="E165" s="2167">
        <f>D21</f>
        <v>0</v>
      </c>
      <c r="F165" s="2168">
        <f>IF(I22=$H$185,L23,0)</f>
        <v>0</v>
      </c>
      <c r="G165" s="2999">
        <f>IF(AF20="",0,AF21)</f>
        <v>0</v>
      </c>
      <c r="H165" s="1647" t="s">
        <v>95</v>
      </c>
      <c r="I165" s="1835">
        <v>1000</v>
      </c>
      <c r="J165" s="1763" t="str">
        <f t="shared" ref="J165:J179" si="90">A165</f>
        <v>Tier01</v>
      </c>
      <c r="K165" s="1845" t="str">
        <f>$I$22</f>
        <v>Physical</v>
      </c>
      <c r="L165" s="1770">
        <f>IF(K165=$J$163,0,$I$20)</f>
        <v>0</v>
      </c>
      <c r="M165" s="1841">
        <f>IF($K165=$J$163,0,$J$20*$DQ$18)+J23*A22</f>
        <v>0</v>
      </c>
      <c r="N165" s="1843">
        <f>IF($K165=$J$163,0,$C$21*$F$22*IF($W$21=$W$163,2,1))</f>
        <v>0</v>
      </c>
      <c r="O165" s="1843">
        <f>IF($K165=$J$163,0,$D$21)</f>
        <v>0</v>
      </c>
      <c r="P165" s="1875">
        <f>IF(K165=$J$163,0,IF(B21=VLOOKUP(L165,HostArray,3,FALSE),1,0))</f>
        <v>0</v>
      </c>
      <c r="Q165" s="3000">
        <f>A20</f>
        <v>0</v>
      </c>
      <c r="R165" s="1875">
        <f t="shared" ref="R165:R179" si="91">IF(G165=0,0,IF(G165=VLOOKUP(L165,HostArray,9,FALSE),0,1))</f>
        <v>0</v>
      </c>
      <c r="S165" s="1186"/>
      <c r="BG165" s="392"/>
      <c r="BH165" s="392"/>
      <c r="BI165" s="392"/>
      <c r="BJ165" s="392"/>
      <c r="BK165" s="392"/>
      <c r="BL165" s="392"/>
      <c r="BM165" s="392"/>
      <c r="BN165" s="392"/>
      <c r="BO165" s="392"/>
      <c r="BP165" s="1186"/>
      <c r="BQ165" s="1186"/>
      <c r="BR165" s="1186"/>
      <c r="BS165" s="1186"/>
      <c r="BT165" s="1186"/>
      <c r="BU165" s="1186"/>
      <c r="BV165" s="1186"/>
      <c r="BW165" s="1186"/>
      <c r="BX165" s="1186"/>
      <c r="BY165" s="1186"/>
      <c r="BZ165" s="1186"/>
      <c r="CA165" s="1186"/>
      <c r="CB165" s="1186"/>
      <c r="CC165" s="1186"/>
      <c r="CD165" s="1186"/>
      <c r="CE165" s="1186"/>
      <c r="CF165" s="392"/>
      <c r="CL165" s="394"/>
      <c r="CM165" s="391"/>
      <c r="CO165" s="392"/>
      <c r="CY165" s="1635" t="s">
        <v>344</v>
      </c>
      <c r="CZ165" s="1635"/>
      <c r="DA165" s="1635"/>
      <c r="DB165" s="1635"/>
      <c r="DC165" s="1635"/>
      <c r="DD165" s="1635"/>
      <c r="DE165" s="1635"/>
      <c r="DF165" s="1635"/>
      <c r="DG165" s="1635"/>
      <c r="DH165" s="1635"/>
      <c r="DJ165" s="392"/>
      <c r="DK165" s="392"/>
      <c r="DL165" s="392"/>
      <c r="DM165" s="392"/>
      <c r="DN165" s="392"/>
      <c r="DO165" s="392"/>
      <c r="DP165" s="392"/>
      <c r="DQ165" s="392"/>
      <c r="DT165" s="394"/>
      <c r="DU165" s="394"/>
      <c r="DW165" s="392"/>
      <c r="DY165" s="394"/>
      <c r="DZ165" s="394"/>
      <c r="EC165" s="392"/>
      <c r="ED165" s="394"/>
      <c r="EE165" s="394"/>
      <c r="EI165" s="392"/>
      <c r="EJ165" s="394"/>
      <c r="EK165" s="394"/>
      <c r="EO165" s="392"/>
      <c r="EP165" s="394"/>
      <c r="EQ165" s="394"/>
      <c r="EU165" s="392"/>
      <c r="EV165" s="394"/>
      <c r="EW165" s="394"/>
      <c r="FA165" s="392"/>
      <c r="FB165" s="394"/>
      <c r="FC165" s="394"/>
      <c r="FG165" s="392"/>
      <c r="FH165" s="394"/>
      <c r="FI165" s="394"/>
      <c r="FM165" s="392"/>
      <c r="FN165" s="394"/>
      <c r="FO165" s="394"/>
      <c r="FS165" s="392"/>
      <c r="FT165" s="394"/>
      <c r="FU165" s="394"/>
      <c r="FY165" s="392"/>
      <c r="FZ165" s="394"/>
      <c r="GA165" s="394"/>
      <c r="GE165" s="392"/>
      <c r="GF165" s="394"/>
      <c r="GG165" s="392"/>
      <c r="GH165" s="394"/>
      <c r="GK165" s="392"/>
      <c r="GL165" s="394"/>
      <c r="GM165" s="392"/>
      <c r="GN165" s="394"/>
      <c r="GP165" s="394"/>
      <c r="GQ165" s="392"/>
      <c r="GR165" s="394"/>
      <c r="GS165" s="392"/>
      <c r="GT165" s="392"/>
      <c r="GU165" s="394"/>
    </row>
    <row r="166" spans="1:209" s="390" customFormat="1" ht="15" hidden="1" customHeight="1" x14ac:dyDescent="0.15">
      <c r="A166" s="775" t="str">
        <f t="shared" si="89"/>
        <v>Tier02</v>
      </c>
      <c r="B166" s="1645" t="str">
        <f>B24</f>
        <v>Tier02: Platform Tier 02</v>
      </c>
      <c r="C166" s="2165" t="str">
        <f>B25</f>
        <v>Xeon E5-2637v4 4 core (1 chip) 3500 MHz</v>
      </c>
      <c r="D166" s="2161">
        <f>C25</f>
        <v>0</v>
      </c>
      <c r="E166" s="2167">
        <f>D25</f>
        <v>0</v>
      </c>
      <c r="F166" s="2168">
        <f>IF(I26=$H$185,L27,0)</f>
        <v>0</v>
      </c>
      <c r="G166" s="2999">
        <f>IF(AF24="",0,AF25)</f>
        <v>0</v>
      </c>
      <c r="H166" s="1705" t="s">
        <v>397</v>
      </c>
      <c r="I166" s="1835">
        <v>100</v>
      </c>
      <c r="J166" s="1763" t="str">
        <f t="shared" si="90"/>
        <v>Tier02</v>
      </c>
      <c r="K166" s="1845" t="str">
        <f>$I$26</f>
        <v>Physical</v>
      </c>
      <c r="L166" s="1770">
        <f>IF(K166=$J$163,0,$I$24)</f>
        <v>0</v>
      </c>
      <c r="M166" s="1841">
        <f>IF($K166=$J$163,0,$J$24*$DW$18)+J27*A26</f>
        <v>0</v>
      </c>
      <c r="N166" s="1843">
        <f>IF($K166=$J$163,0,$C$25*$F$26*IF($W$25=$W$163,2,1))</f>
        <v>0</v>
      </c>
      <c r="O166" s="1843">
        <f>IF($K166=$J$163,0,$D$25)</f>
        <v>0</v>
      </c>
      <c r="P166" s="1843">
        <f>IF(K166=$J$163,0,IF(B25=VLOOKUP(L166,HostArray,3,0),1,0))</f>
        <v>0</v>
      </c>
      <c r="Q166" s="3001">
        <f>A24</f>
        <v>0</v>
      </c>
      <c r="R166" s="1843">
        <f t="shared" si="91"/>
        <v>0</v>
      </c>
      <c r="S166" s="1186"/>
      <c r="BG166" s="392"/>
      <c r="BH166" s="392"/>
      <c r="BI166" s="392"/>
      <c r="BJ166" s="392"/>
      <c r="BK166" s="392"/>
      <c r="BL166" s="392"/>
      <c r="BM166" s="392"/>
      <c r="BN166" s="392"/>
      <c r="BO166" s="392"/>
      <c r="BP166" s="1186"/>
      <c r="BQ166" s="1186"/>
      <c r="BR166" s="1186"/>
      <c r="BS166" s="1186"/>
      <c r="BT166" s="1186"/>
      <c r="BU166" s="1186"/>
      <c r="BV166" s="1186"/>
      <c r="BW166" s="1186"/>
      <c r="BX166" s="1186"/>
      <c r="BY166" s="1186"/>
      <c r="BZ166" s="1186"/>
      <c r="CA166" s="1186"/>
      <c r="CB166" s="1186"/>
      <c r="CC166" s="1186"/>
      <c r="CD166" s="1186"/>
      <c r="CE166" s="1186"/>
      <c r="CF166" s="392"/>
      <c r="CL166" s="394"/>
      <c r="CM166" s="391"/>
      <c r="CO166" s="392"/>
      <c r="CY166" s="1648">
        <f>A21</f>
        <v>0</v>
      </c>
      <c r="CZ166" s="1649"/>
      <c r="DA166" s="1649"/>
      <c r="DB166" s="1649"/>
      <c r="DC166" s="1649"/>
      <c r="DD166" s="1650"/>
      <c r="DE166" s="1650"/>
      <c r="DF166" s="1650"/>
      <c r="DG166" s="1650"/>
      <c r="DH166" s="1651"/>
      <c r="DJ166" s="392"/>
      <c r="DK166" s="392"/>
      <c r="DL166" s="392"/>
      <c r="DM166" s="392"/>
      <c r="DN166" s="392"/>
      <c r="DO166" s="392"/>
      <c r="DP166" s="392"/>
      <c r="DQ166" s="392"/>
      <c r="DT166" s="394"/>
      <c r="DU166" s="394"/>
      <c r="DW166" s="392"/>
      <c r="DY166" s="394"/>
      <c r="DZ166" s="394"/>
      <c r="EC166" s="392"/>
      <c r="ED166" s="394"/>
      <c r="EE166" s="394"/>
      <c r="EI166" s="392"/>
      <c r="EJ166" s="394"/>
      <c r="EK166" s="394"/>
      <c r="EO166" s="392"/>
      <c r="EP166" s="394"/>
      <c r="EQ166" s="394"/>
      <c r="EU166" s="392"/>
      <c r="EV166" s="394"/>
      <c r="EW166" s="394"/>
      <c r="FA166" s="392"/>
      <c r="FB166" s="394"/>
      <c r="FC166" s="394"/>
      <c r="FG166" s="392"/>
      <c r="FH166" s="394"/>
      <c r="FI166" s="394"/>
      <c r="FM166" s="392"/>
      <c r="FN166" s="394"/>
      <c r="FO166" s="394"/>
      <c r="FS166" s="392"/>
      <c r="FT166" s="394"/>
      <c r="FU166" s="394"/>
      <c r="FY166" s="392"/>
      <c r="FZ166" s="394"/>
      <c r="GA166" s="394"/>
      <c r="GE166" s="392"/>
      <c r="GF166" s="394"/>
      <c r="GG166" s="392"/>
      <c r="GH166" s="394"/>
      <c r="GK166" s="392"/>
      <c r="GL166" s="394"/>
      <c r="GM166" s="392"/>
      <c r="GN166" s="394"/>
      <c r="GP166" s="394"/>
      <c r="GQ166" s="392"/>
      <c r="GR166" s="394"/>
      <c r="GS166" s="392"/>
      <c r="GT166" s="392"/>
      <c r="GU166" s="394"/>
    </row>
    <row r="167" spans="1:209" s="390" customFormat="1" ht="15" hidden="1" customHeight="1" x14ac:dyDescent="0.15">
      <c r="A167" s="775" t="str">
        <f t="shared" si="89"/>
        <v>Tier03</v>
      </c>
      <c r="B167" s="1645" t="str">
        <f>B28</f>
        <v>Tier03: Platform Tier 03</v>
      </c>
      <c r="C167" s="2165" t="str">
        <f>B29</f>
        <v>Xeon E5-2637v4 4 core (1 chip) 3500 MHz</v>
      </c>
      <c r="D167" s="2161">
        <f>C29</f>
        <v>0</v>
      </c>
      <c r="E167" s="2167">
        <f>D29</f>
        <v>0</v>
      </c>
      <c r="F167" s="2168">
        <f>IF(I30=$H$185,L31,0)</f>
        <v>0</v>
      </c>
      <c r="G167" s="2999">
        <f>IF(AF28="",0,AF29)</f>
        <v>0</v>
      </c>
      <c r="H167" s="429" t="s">
        <v>409</v>
      </c>
      <c r="I167" s="1836">
        <v>10</v>
      </c>
      <c r="J167" s="1763" t="str">
        <f t="shared" si="90"/>
        <v>Tier03</v>
      </c>
      <c r="K167" s="1845" t="str">
        <f>$I$30</f>
        <v>Physical</v>
      </c>
      <c r="L167" s="1770">
        <f>IF(K167=$J$163,0,$I$28)</f>
        <v>0</v>
      </c>
      <c r="M167" s="1841">
        <f>IF($K167=$J$163,0,$J28*$EC$18)+J31*A30</f>
        <v>0</v>
      </c>
      <c r="N167" s="1843">
        <f>IF($K167=$J$163,0,$C$29*$F$30*IF($W$29=$W$163,2,1))</f>
        <v>0</v>
      </c>
      <c r="O167" s="1843">
        <f>IF($K167=$J$163,0,$D$29)</f>
        <v>0</v>
      </c>
      <c r="P167" s="1843">
        <f>IF(K167=$J$163,0,IF(B29=VLOOKUP(L167,HostArray,3,0),1,0))</f>
        <v>0</v>
      </c>
      <c r="Q167" s="3001">
        <f>A28</f>
        <v>0</v>
      </c>
      <c r="R167" s="1843">
        <f t="shared" si="91"/>
        <v>0</v>
      </c>
      <c r="S167" s="1186"/>
      <c r="BG167" s="393"/>
      <c r="BH167" s="393"/>
      <c r="BI167" s="393"/>
      <c r="BJ167" s="393"/>
      <c r="BK167" s="393"/>
      <c r="BL167" s="393"/>
      <c r="BM167" s="393"/>
      <c r="BN167" s="393"/>
      <c r="BO167" s="393"/>
      <c r="BP167" s="1186"/>
      <c r="BQ167" s="1186"/>
      <c r="BR167" s="1186"/>
      <c r="BS167" s="1186"/>
      <c r="BT167" s="1186"/>
      <c r="BU167" s="1186"/>
      <c r="BV167" s="1186"/>
      <c r="BW167" s="1186"/>
      <c r="BX167" s="1186"/>
      <c r="BY167" s="1186"/>
      <c r="BZ167" s="1186"/>
      <c r="CA167" s="1186"/>
      <c r="CB167" s="1186"/>
      <c r="CC167" s="1186"/>
      <c r="CD167" s="1186"/>
      <c r="CE167" s="1186"/>
      <c r="CL167" s="394"/>
      <c r="CM167" s="391"/>
      <c r="CO167" s="392"/>
      <c r="CY167" s="1652"/>
      <c r="CZ167" s="1653">
        <f>A25</f>
        <v>0</v>
      </c>
      <c r="DA167" s="1425"/>
      <c r="DB167" s="1425"/>
      <c r="DC167" s="1425"/>
      <c r="DD167" s="1654"/>
      <c r="DE167" s="1654"/>
      <c r="DF167" s="1654"/>
      <c r="DG167" s="1654"/>
      <c r="DH167" s="1655"/>
      <c r="DJ167" s="392"/>
      <c r="DK167" s="392"/>
      <c r="DL167" s="392"/>
      <c r="DM167" s="392"/>
      <c r="DN167" s="392"/>
      <c r="DO167" s="392"/>
      <c r="DP167" s="392"/>
      <c r="DQ167" s="392"/>
      <c r="DT167" s="394"/>
      <c r="DU167" s="394"/>
      <c r="DW167" s="392"/>
      <c r="DY167" s="394"/>
      <c r="DZ167" s="394"/>
      <c r="EC167" s="392"/>
      <c r="ED167" s="394"/>
      <c r="EE167" s="394"/>
      <c r="EI167" s="392"/>
      <c r="EJ167" s="394"/>
      <c r="EK167" s="394"/>
      <c r="EO167" s="392"/>
      <c r="EP167" s="394"/>
      <c r="EQ167" s="394"/>
      <c r="EU167" s="392"/>
      <c r="EV167" s="394"/>
      <c r="EW167" s="394"/>
      <c r="FA167" s="392"/>
      <c r="FB167" s="394"/>
      <c r="FC167" s="394"/>
      <c r="FG167" s="392"/>
      <c r="FH167" s="394"/>
      <c r="FI167" s="394"/>
      <c r="FM167" s="392"/>
      <c r="FN167" s="394"/>
      <c r="FO167" s="394"/>
      <c r="FS167" s="392"/>
      <c r="FT167" s="394"/>
      <c r="FU167" s="394"/>
      <c r="FY167" s="392"/>
      <c r="FZ167" s="394"/>
      <c r="GA167" s="394"/>
      <c r="GE167" s="392"/>
      <c r="GF167" s="394"/>
      <c r="GG167" s="392"/>
      <c r="GH167" s="394"/>
      <c r="GK167" s="392"/>
      <c r="GL167" s="394"/>
      <c r="GM167" s="392"/>
      <c r="GN167" s="394"/>
      <c r="GP167" s="394"/>
      <c r="GQ167" s="392"/>
      <c r="GR167" s="394"/>
      <c r="GS167" s="392"/>
      <c r="GT167" s="392"/>
      <c r="GU167" s="394"/>
    </row>
    <row r="168" spans="1:209" s="390" customFormat="1" ht="15" hidden="1" customHeight="1" x14ac:dyDescent="0.2">
      <c r="A168" s="775" t="str">
        <f t="shared" si="89"/>
        <v>Tier04</v>
      </c>
      <c r="B168" s="1645" t="str">
        <f>B32</f>
        <v>Tier04: Platform Tier 04</v>
      </c>
      <c r="C168" s="2165" t="str">
        <f>B33</f>
        <v>Xeon E5-2637v4 4 core (1 chip) 3500 MHz</v>
      </c>
      <c r="D168" s="2161">
        <f>C33</f>
        <v>0</v>
      </c>
      <c r="E168" s="2167">
        <f>D33</f>
        <v>0</v>
      </c>
      <c r="F168" s="2168">
        <f>IF(I34=$H$185,L35,0)</f>
        <v>0</v>
      </c>
      <c r="G168" s="2999">
        <f>IF(AF32="",0,AF33)</f>
        <v>0</v>
      </c>
      <c r="H168" s="1656" t="s">
        <v>119</v>
      </c>
      <c r="I168" s="1835">
        <v>9600</v>
      </c>
      <c r="J168" s="1763" t="str">
        <f t="shared" si="90"/>
        <v>Tier04</v>
      </c>
      <c r="K168" s="1845" t="str">
        <f>$I$34</f>
        <v>Physical</v>
      </c>
      <c r="L168" s="1770">
        <f>IF(K168=$J$163,0,$I$32)</f>
        <v>0</v>
      </c>
      <c r="M168" s="1841">
        <f>IF($K168=$J$163,0,$J32*$EI$18)+J35*A34</f>
        <v>0</v>
      </c>
      <c r="N168" s="1843">
        <f>IF($K168=$J$163,0,$C$33*$F$34*IF($W$33=$W$163,2,1))</f>
        <v>0</v>
      </c>
      <c r="O168" s="1843">
        <f>IF($K168=$J$163,0,$D$33)</f>
        <v>0</v>
      </c>
      <c r="P168" s="1843">
        <f>IF(K168=$J$163,0,IF(B33=VLOOKUP(L168,HostArray,3,0),1,0))</f>
        <v>0</v>
      </c>
      <c r="Q168" s="3001">
        <f>A32</f>
        <v>0</v>
      </c>
      <c r="R168" s="1843">
        <f t="shared" si="91"/>
        <v>0</v>
      </c>
      <c r="S168" s="1186" t="s">
        <v>1188</v>
      </c>
      <c r="T168" s="88" t="s">
        <v>1189</v>
      </c>
      <c r="AJ168" s="392"/>
      <c r="AL168" s="392"/>
      <c r="AN168" s="392"/>
      <c r="AP168" s="392"/>
      <c r="AR168" s="392"/>
      <c r="AT168" s="392"/>
      <c r="AU168" s="392"/>
      <c r="AV168" s="392"/>
      <c r="AW168" s="392"/>
      <c r="AX168" s="392"/>
      <c r="AY168" s="392"/>
      <c r="AZ168" s="392"/>
      <c r="BA168" s="392"/>
      <c r="BB168" s="392"/>
      <c r="BC168" s="392"/>
      <c r="BD168" s="392"/>
      <c r="BE168" s="392"/>
      <c r="BG168" s="393"/>
      <c r="BH168" s="393"/>
      <c r="BI168" s="393"/>
      <c r="BJ168" s="393"/>
      <c r="BK168" s="393"/>
      <c r="BL168" s="393"/>
      <c r="BM168" s="393"/>
      <c r="BN168" s="393"/>
      <c r="BO168" s="393"/>
      <c r="BP168" s="1186"/>
      <c r="BQ168" s="1186"/>
      <c r="BR168" s="1186"/>
      <c r="BS168" s="1186"/>
      <c r="BT168" s="1186"/>
      <c r="BU168" s="1186"/>
      <c r="BV168" s="1186"/>
      <c r="BW168" s="1186"/>
      <c r="BX168" s="1186"/>
      <c r="BY168" s="1186"/>
      <c r="BZ168" s="1186"/>
      <c r="CA168" s="1186"/>
      <c r="CB168" s="1186"/>
      <c r="CC168" s="1186"/>
      <c r="CD168" s="1186"/>
      <c r="CE168" s="1186"/>
      <c r="CF168" s="392"/>
      <c r="CY168" s="1652"/>
      <c r="CZ168" s="1425"/>
      <c r="DA168" s="1653">
        <f>A29</f>
        <v>0</v>
      </c>
      <c r="DB168" s="1425"/>
      <c r="DC168" s="1425"/>
      <c r="DD168" s="1654"/>
      <c r="DE168" s="1654"/>
      <c r="DF168" s="1654"/>
      <c r="DG168" s="1654"/>
      <c r="DH168" s="1655"/>
      <c r="DJ168" s="392"/>
      <c r="DK168" s="392"/>
      <c r="DL168" s="392"/>
      <c r="DM168" s="392"/>
      <c r="DN168" s="392"/>
      <c r="DO168" s="392"/>
      <c r="DP168" s="392"/>
      <c r="DQ168" s="392"/>
      <c r="DT168" s="394"/>
      <c r="DU168" s="394"/>
      <c r="DW168" s="392"/>
      <c r="DY168" s="394"/>
      <c r="DZ168" s="394"/>
      <c r="EC168" s="392"/>
      <c r="ED168" s="394"/>
      <c r="EE168" s="394"/>
      <c r="EI168" s="392"/>
      <c r="EJ168" s="394"/>
      <c r="EK168" s="394"/>
      <c r="EO168" s="392"/>
      <c r="EP168" s="394"/>
      <c r="EQ168" s="394"/>
      <c r="EU168" s="392"/>
      <c r="EV168" s="394"/>
      <c r="EW168" s="394"/>
      <c r="FA168" s="392"/>
      <c r="FB168" s="394"/>
      <c r="FC168" s="394"/>
      <c r="FG168" s="392"/>
      <c r="FH168" s="394"/>
      <c r="FI168" s="394"/>
      <c r="FM168" s="392"/>
      <c r="FN168" s="394"/>
      <c r="FO168" s="394"/>
      <c r="FS168" s="392"/>
      <c r="FT168" s="394"/>
      <c r="FU168" s="394"/>
      <c r="FY168" s="392"/>
      <c r="FZ168" s="394"/>
      <c r="GA168" s="394"/>
      <c r="GE168" s="392"/>
      <c r="GF168" s="394"/>
      <c r="GG168" s="392"/>
      <c r="GH168" s="394"/>
      <c r="GK168" s="392"/>
      <c r="GL168" s="394"/>
      <c r="GM168" s="392"/>
      <c r="GN168" s="394"/>
      <c r="GP168" s="394"/>
      <c r="GQ168" s="392"/>
      <c r="GR168" s="394"/>
      <c r="GS168" s="392"/>
      <c r="GT168" s="392"/>
      <c r="GU168" s="394"/>
    </row>
    <row r="169" spans="1:209" s="390" customFormat="1" ht="15" hidden="1" customHeight="1" x14ac:dyDescent="0.2">
      <c r="A169" s="775" t="str">
        <f t="shared" si="89"/>
        <v>Tier05</v>
      </c>
      <c r="B169" s="1645" t="str">
        <f>B36</f>
        <v>Tier05: Platform Tier 05</v>
      </c>
      <c r="C169" s="2165" t="str">
        <f>B37</f>
        <v>Xeon E5-2637v4 4 core (1 chip) 3500 MHz</v>
      </c>
      <c r="D169" s="2161">
        <f>C37</f>
        <v>0</v>
      </c>
      <c r="E169" s="2167">
        <f>D37</f>
        <v>0</v>
      </c>
      <c r="F169" s="2168">
        <f>IF(I38=$H$185,L39,0)</f>
        <v>0</v>
      </c>
      <c r="G169" s="2999">
        <f>IF(AF36="",0,AF37)</f>
        <v>0</v>
      </c>
      <c r="H169" s="1657" t="s">
        <v>1304</v>
      </c>
      <c r="I169" s="1835">
        <v>2500</v>
      </c>
      <c r="J169" s="1763" t="str">
        <f t="shared" si="90"/>
        <v>Tier05</v>
      </c>
      <c r="K169" s="1845" t="str">
        <f>$I$38</f>
        <v>Physical</v>
      </c>
      <c r="L169" s="1770">
        <f>IF(K169=$J$163,0,$I$36)</f>
        <v>0</v>
      </c>
      <c r="M169" s="1841">
        <f>IF($K169=$J$163,0,$J36*$EO$18)+J39*A38</f>
        <v>0</v>
      </c>
      <c r="N169" s="1843">
        <f>IF($K169=$J$163,0,$C$37*$F$38*IF($W$37=$W$163,2,1))</f>
        <v>0</v>
      </c>
      <c r="O169" s="1843">
        <f>IF($K169=$J$163,0,$D$37)</f>
        <v>0</v>
      </c>
      <c r="P169" s="1843">
        <f>IF(K169=$J$163,0,IF(B37=VLOOKUP(L169,HostArray,3,0),1,0))</f>
        <v>0</v>
      </c>
      <c r="Q169" s="3001">
        <f>A36</f>
        <v>0</v>
      </c>
      <c r="R169" s="1843">
        <f t="shared" si="91"/>
        <v>0</v>
      </c>
      <c r="S169" s="1186" t="s">
        <v>1190</v>
      </c>
      <c r="T169" s="88" t="s">
        <v>1191</v>
      </c>
      <c r="U169" s="390" t="s">
        <v>117</v>
      </c>
      <c r="AE169" s="394"/>
      <c r="AG169" s="394"/>
      <c r="AH169" s="394"/>
      <c r="BP169" s="1186"/>
      <c r="BQ169" s="1186"/>
      <c r="BR169" s="1186"/>
      <c r="BS169" s="1186"/>
      <c r="BT169" s="1186"/>
      <c r="BU169" s="1186"/>
      <c r="BV169" s="1186"/>
      <c r="BW169" s="1186"/>
      <c r="BX169" s="1186"/>
      <c r="BY169" s="1186"/>
      <c r="BZ169" s="1186"/>
      <c r="CA169" s="1186"/>
      <c r="CB169" s="1186"/>
      <c r="CC169" s="1186"/>
      <c r="CD169" s="1186"/>
      <c r="CE169" s="1186"/>
      <c r="CY169" s="1652"/>
      <c r="CZ169" s="1425"/>
      <c r="DA169" s="1425"/>
      <c r="DB169" s="1653">
        <f>A33</f>
        <v>0</v>
      </c>
      <c r="DC169" s="1425"/>
      <c r="DD169" s="1654"/>
      <c r="DE169" s="1654"/>
      <c r="DF169" s="1654"/>
      <c r="DG169" s="1654"/>
      <c r="DH169" s="1655"/>
      <c r="DT169" s="394"/>
      <c r="DU169" s="394"/>
      <c r="DY169" s="394"/>
      <c r="DZ169" s="394"/>
      <c r="ED169" s="394"/>
      <c r="EE169" s="394"/>
      <c r="EJ169" s="394"/>
      <c r="EK169" s="394"/>
      <c r="EP169" s="394"/>
      <c r="EQ169" s="394"/>
      <c r="EV169" s="394"/>
      <c r="EW169" s="394"/>
      <c r="FB169" s="394"/>
      <c r="FC169" s="394"/>
      <c r="FH169" s="394"/>
      <c r="FI169" s="394"/>
      <c r="FN169" s="394"/>
      <c r="FO169" s="394"/>
      <c r="FT169" s="394"/>
      <c r="FU169" s="394"/>
      <c r="FZ169" s="394"/>
      <c r="GA169" s="394"/>
      <c r="GF169" s="394"/>
      <c r="GH169" s="394"/>
      <c r="GL169" s="394"/>
      <c r="GN169" s="394"/>
      <c r="GP169" s="394"/>
      <c r="GR169" s="394"/>
      <c r="GU169" s="394"/>
    </row>
    <row r="170" spans="1:209" s="390" customFormat="1" ht="15" hidden="1" customHeight="1" x14ac:dyDescent="0.15">
      <c r="A170" s="775" t="str">
        <f t="shared" si="89"/>
        <v>Tier06</v>
      </c>
      <c r="B170" s="1645" t="str">
        <f>B41</f>
        <v>Tier06: Platform Tier 06</v>
      </c>
      <c r="C170" s="2165" t="str">
        <f>B42</f>
        <v>Xeon E5-2637v4 4 core (1 chip) 3500 MHz</v>
      </c>
      <c r="D170" s="2161">
        <f>C42</f>
        <v>0</v>
      </c>
      <c r="E170" s="2167">
        <f>D42</f>
        <v>0</v>
      </c>
      <c r="F170" s="2168">
        <f>IF(I43=$H$185,L44,0)</f>
        <v>0</v>
      </c>
      <c r="G170" s="2999">
        <f>IF(AF41="",0,AF42)</f>
        <v>0</v>
      </c>
      <c r="H170" s="1657" t="s">
        <v>387</v>
      </c>
      <c r="I170" s="1835">
        <v>622</v>
      </c>
      <c r="J170" s="1763" t="str">
        <f t="shared" si="90"/>
        <v>Tier06</v>
      </c>
      <c r="K170" s="1845" t="str">
        <f>$I$43</f>
        <v>Physical</v>
      </c>
      <c r="L170" s="1770">
        <f>IF(K170=$J$163,0,$I$41)</f>
        <v>0</v>
      </c>
      <c r="M170" s="1841">
        <f>IF($K170=$J$163,0,$J41*$EU$18)+J44*A43</f>
        <v>0</v>
      </c>
      <c r="N170" s="1843">
        <f>IF($K170=$J$163,0,$C$42*$F$43*IF($W$42=$W$163,2,1))</f>
        <v>0</v>
      </c>
      <c r="O170" s="1843">
        <f>IF($K170=$J$163,0,$D$42)</f>
        <v>0</v>
      </c>
      <c r="P170" s="1843">
        <f>IF(K170=$J$163,0,IF(B42=VLOOKUP(L170,HostArray,3,0),1,0))</f>
        <v>0</v>
      </c>
      <c r="Q170" s="3001">
        <f>A41</f>
        <v>0</v>
      </c>
      <c r="R170" s="1843">
        <f t="shared" si="91"/>
        <v>0</v>
      </c>
      <c r="S170" s="1186" t="s">
        <v>1203</v>
      </c>
      <c r="T170" s="3227" t="s">
        <v>1192</v>
      </c>
      <c r="AE170" s="394"/>
      <c r="AG170" s="394"/>
      <c r="AH170" s="394"/>
      <c r="AJ170" s="3227"/>
      <c r="AL170" s="3227"/>
      <c r="AN170" s="3227"/>
      <c r="AP170" s="3227"/>
      <c r="AR170" s="3227"/>
      <c r="AT170" s="3227"/>
      <c r="AU170" s="3227"/>
      <c r="AV170" s="3227"/>
      <c r="AW170" s="3227"/>
      <c r="AX170" s="3227"/>
      <c r="AY170" s="3227"/>
      <c r="AZ170" s="3227"/>
      <c r="BA170" s="3227"/>
      <c r="BB170" s="3227"/>
      <c r="BC170" s="3227"/>
      <c r="BD170" s="3227"/>
      <c r="BE170" s="3227"/>
      <c r="BP170" s="1186"/>
      <c r="BQ170" s="1186"/>
      <c r="BR170" s="1186"/>
      <c r="BS170" s="1186"/>
      <c r="BT170" s="1186"/>
      <c r="BU170" s="1186"/>
      <c r="BV170" s="1186"/>
      <c r="BW170" s="1186"/>
      <c r="BX170" s="1186"/>
      <c r="BY170" s="1186"/>
      <c r="BZ170" s="1186"/>
      <c r="CA170" s="1186"/>
      <c r="CB170" s="1186"/>
      <c r="CC170" s="1186"/>
      <c r="CD170" s="1186"/>
      <c r="CE170" s="1186"/>
      <c r="CF170" s="3227"/>
      <c r="CY170" s="1652"/>
      <c r="CZ170" s="1659"/>
      <c r="DA170" s="1659"/>
      <c r="DB170" s="1659"/>
      <c r="DC170" s="1653">
        <f>A37</f>
        <v>0</v>
      </c>
      <c r="DD170" s="1660"/>
      <c r="DE170" s="1425"/>
      <c r="DF170" s="1425"/>
      <c r="DG170" s="1425"/>
      <c r="DH170" s="1539"/>
      <c r="DJ170" s="3399"/>
      <c r="DK170" s="3399"/>
      <c r="DL170" s="3399"/>
      <c r="DM170" s="3399"/>
      <c r="DN170" s="3399"/>
      <c r="DO170" s="3399"/>
      <c r="DP170" s="3227"/>
      <c r="DT170" s="394"/>
      <c r="DU170" s="394"/>
      <c r="DY170" s="394"/>
      <c r="DZ170" s="394"/>
      <c r="ED170" s="394"/>
      <c r="EE170" s="394"/>
      <c r="EJ170" s="394"/>
      <c r="EK170" s="394"/>
      <c r="EP170" s="394"/>
      <c r="EQ170" s="394"/>
      <c r="EV170" s="394"/>
      <c r="EW170" s="394"/>
      <c r="FB170" s="394"/>
      <c r="FC170" s="394"/>
      <c r="FH170" s="394"/>
      <c r="FI170" s="394"/>
      <c r="FN170" s="394"/>
      <c r="FO170" s="394"/>
      <c r="FT170" s="394"/>
      <c r="FU170" s="394"/>
      <c r="FZ170" s="394"/>
      <c r="GA170" s="394"/>
      <c r="GF170" s="394"/>
      <c r="GG170" s="3227"/>
      <c r="GH170" s="394"/>
      <c r="GL170" s="394"/>
      <c r="GM170" s="3227"/>
      <c r="GN170" s="394"/>
      <c r="GP170" s="394"/>
      <c r="GR170" s="394"/>
      <c r="GS170" s="3227"/>
      <c r="GT170" s="3227"/>
      <c r="GU170" s="394"/>
    </row>
    <row r="171" spans="1:209" s="390" customFormat="1" ht="15" hidden="1" customHeight="1" x14ac:dyDescent="0.15">
      <c r="A171" s="775" t="str">
        <f t="shared" si="89"/>
        <v>Tier07</v>
      </c>
      <c r="B171" s="1645" t="str">
        <f>B45</f>
        <v>Tier07: Platform Tier 07</v>
      </c>
      <c r="C171" s="2165" t="str">
        <f>B46</f>
        <v>Xeon E5-2637v4 4 core (1 chip) 3500 MHz</v>
      </c>
      <c r="D171" s="2161">
        <f>C46</f>
        <v>0</v>
      </c>
      <c r="E171" s="2161">
        <f>D46</f>
        <v>0</v>
      </c>
      <c r="F171" s="2168">
        <f>IF(I47=$H$185,L48,0)</f>
        <v>0</v>
      </c>
      <c r="G171" s="2999">
        <f>IF(AF45="",0,AF46)</f>
        <v>0</v>
      </c>
      <c r="H171" s="1658" t="s">
        <v>356</v>
      </c>
      <c r="I171" s="1835">
        <v>310</v>
      </c>
      <c r="J171" s="1763" t="str">
        <f t="shared" si="90"/>
        <v>Tier07</v>
      </c>
      <c r="K171" s="1845" t="str">
        <f>$I$47</f>
        <v>Physical</v>
      </c>
      <c r="L171" s="1770">
        <f>IF(K171=$J$163,0,$I$45)</f>
        <v>0</v>
      </c>
      <c r="M171" s="1841">
        <f>IF($K171=$J$163,0,$J45*$FA$18)+J48*A47</f>
        <v>0</v>
      </c>
      <c r="N171" s="1843">
        <f>IF($K171=$J$163,0,$C$46*$F$47*IF($W$46=$W$163,2,1))</f>
        <v>0</v>
      </c>
      <c r="O171" s="1843">
        <f>IF($K171=$J$163,0,$D$46)</f>
        <v>0</v>
      </c>
      <c r="P171" s="1843">
        <f>IF(K171=$J$163,0,IF(B46=VLOOKUP(L171,HostArray,3,0),1,0))</f>
        <v>0</v>
      </c>
      <c r="Q171" s="3001">
        <f>A45</f>
        <v>0</v>
      </c>
      <c r="R171" s="1843">
        <f t="shared" si="91"/>
        <v>0</v>
      </c>
      <c r="S171" s="1186" t="s">
        <v>1203</v>
      </c>
      <c r="T171" s="3227" t="s">
        <v>1192</v>
      </c>
      <c r="AE171" s="394"/>
      <c r="AG171" s="394"/>
      <c r="AH171" s="394"/>
      <c r="AJ171" s="3227"/>
      <c r="AL171" s="3227"/>
      <c r="AN171" s="3227"/>
      <c r="AP171" s="3227"/>
      <c r="AR171" s="3227"/>
      <c r="AT171" s="3227"/>
      <c r="AU171" s="3227"/>
      <c r="AV171" s="3227"/>
      <c r="AW171" s="3227"/>
      <c r="AX171" s="3227"/>
      <c r="AY171" s="3227"/>
      <c r="AZ171" s="3227"/>
      <c r="BA171" s="3227"/>
      <c r="BB171" s="3227"/>
      <c r="BC171" s="3227"/>
      <c r="BD171" s="3227"/>
      <c r="BE171" s="3227"/>
      <c r="BP171" s="1186"/>
      <c r="BQ171" s="1186"/>
      <c r="BR171" s="1186"/>
      <c r="BS171" s="1186"/>
      <c r="BT171" s="1186"/>
      <c r="BU171" s="1186"/>
      <c r="BV171" s="1186"/>
      <c r="BW171" s="1186"/>
      <c r="BX171" s="1186"/>
      <c r="BY171" s="1186"/>
      <c r="BZ171" s="1186"/>
      <c r="CA171" s="1186"/>
      <c r="CB171" s="1186"/>
      <c r="CC171" s="1186"/>
      <c r="CD171" s="1186"/>
      <c r="CE171" s="1186"/>
      <c r="CF171" s="3227"/>
      <c r="CY171" s="1652"/>
      <c r="CZ171" s="1659"/>
      <c r="DA171" s="1659"/>
      <c r="DB171" s="1659"/>
      <c r="DC171" s="1653">
        <f>A37</f>
        <v>0</v>
      </c>
      <c r="DD171" s="1660"/>
      <c r="DE171" s="1425"/>
      <c r="DF171" s="1425"/>
      <c r="DG171" s="1425"/>
      <c r="DH171" s="1539"/>
      <c r="DJ171" s="3399"/>
      <c r="DK171" s="3399"/>
      <c r="DL171" s="3399"/>
      <c r="DM171" s="3399"/>
      <c r="DN171" s="3399"/>
      <c r="DO171" s="3399"/>
      <c r="DP171" s="3227"/>
      <c r="DT171" s="394"/>
      <c r="DU171" s="394"/>
      <c r="DY171" s="394"/>
      <c r="DZ171" s="394"/>
      <c r="ED171" s="394"/>
      <c r="EE171" s="394"/>
      <c r="EJ171" s="394"/>
      <c r="EK171" s="394"/>
      <c r="EP171" s="394"/>
      <c r="EQ171" s="394"/>
      <c r="EV171" s="394"/>
      <c r="EW171" s="394"/>
      <c r="FB171" s="394"/>
      <c r="FC171" s="394"/>
      <c r="FH171" s="394"/>
      <c r="FI171" s="394"/>
      <c r="FN171" s="394"/>
      <c r="FO171" s="394"/>
      <c r="FT171" s="394"/>
      <c r="FU171" s="394"/>
      <c r="FZ171" s="394"/>
      <c r="GA171" s="394"/>
      <c r="GF171" s="394"/>
      <c r="GG171" s="3227"/>
      <c r="GH171" s="394"/>
      <c r="GL171" s="394"/>
      <c r="GM171" s="3227"/>
      <c r="GN171" s="394"/>
      <c r="GP171" s="394"/>
      <c r="GR171" s="394"/>
      <c r="GS171" s="3227"/>
      <c r="GT171" s="3227"/>
      <c r="GU171" s="394"/>
    </row>
    <row r="172" spans="1:209" s="390" customFormat="1" ht="15" hidden="1" customHeight="1" thickBot="1" x14ac:dyDescent="0.2">
      <c r="A172" s="775" t="str">
        <f t="shared" si="89"/>
        <v>Tier08</v>
      </c>
      <c r="B172" s="1645" t="str">
        <f>B49</f>
        <v>Tier08: Platform Tier 08</v>
      </c>
      <c r="C172" s="2165" t="str">
        <f>B50</f>
        <v>Xeon E5-2637v4 4 core (1 chip) 3500 MHz</v>
      </c>
      <c r="D172" s="2161">
        <f>C50</f>
        <v>0</v>
      </c>
      <c r="E172" s="2161">
        <f>D50</f>
        <v>0</v>
      </c>
      <c r="F172" s="2168">
        <f>IF(I51=$H$185,L52,0)</f>
        <v>0</v>
      </c>
      <c r="G172" s="2999">
        <f>IF(AF49="",0,AF50)</f>
        <v>0</v>
      </c>
      <c r="H172" s="1637" t="s">
        <v>296</v>
      </c>
      <c r="I172" s="1835">
        <v>155</v>
      </c>
      <c r="J172" s="1763" t="str">
        <f t="shared" si="90"/>
        <v>Tier08</v>
      </c>
      <c r="K172" s="1845" t="str">
        <f>$I$51</f>
        <v>Physical</v>
      </c>
      <c r="L172" s="1770">
        <f>IF(K172=$J$163,0,$I$49)</f>
        <v>0</v>
      </c>
      <c r="M172" s="1841">
        <f>IF($K172=$J$163,0,$J49*$FG$18)+J52*A51</f>
        <v>0</v>
      </c>
      <c r="N172" s="1843">
        <f>IF($K172=$J$163,0,$C$50*$F$51*IF($W$50=$W$163,2,1))</f>
        <v>0</v>
      </c>
      <c r="O172" s="1843">
        <f>IF($K172=$J$163,0,$D$50)</f>
        <v>0</v>
      </c>
      <c r="P172" s="1843">
        <f>IF(K172=$J$163,0,IF(B50=VLOOKUP(L172,HostArray,3,0),1,0))</f>
        <v>0</v>
      </c>
      <c r="Q172" s="3001">
        <f>A49</f>
        <v>0</v>
      </c>
      <c r="R172" s="1843">
        <f t="shared" si="91"/>
        <v>0</v>
      </c>
      <c r="S172" s="1186" t="s">
        <v>1203</v>
      </c>
      <c r="T172" s="3227" t="s">
        <v>1192</v>
      </c>
      <c r="AE172" s="394"/>
      <c r="AG172" s="394"/>
      <c r="AH172" s="394"/>
      <c r="AJ172" s="3227"/>
      <c r="AL172" s="3227"/>
      <c r="AN172" s="3227"/>
      <c r="AP172" s="3227"/>
      <c r="AR172" s="3227"/>
      <c r="AT172" s="3227"/>
      <c r="AU172" s="3227"/>
      <c r="AV172" s="3227"/>
      <c r="AW172" s="3227"/>
      <c r="AX172" s="3227"/>
      <c r="AY172" s="3227"/>
      <c r="AZ172" s="3227"/>
      <c r="BA172" s="3227"/>
      <c r="BB172" s="3227"/>
      <c r="BC172" s="3227"/>
      <c r="BD172" s="3227"/>
      <c r="BE172" s="3227"/>
      <c r="BP172" s="1186"/>
      <c r="BQ172" s="1186"/>
      <c r="BR172" s="1186"/>
      <c r="BS172" s="1186"/>
      <c r="BT172" s="1186"/>
      <c r="BU172" s="1186"/>
      <c r="BV172" s="1186"/>
      <c r="BW172" s="1186"/>
      <c r="BX172" s="1186"/>
      <c r="BY172" s="1186"/>
      <c r="BZ172" s="1186"/>
      <c r="CA172" s="1186"/>
      <c r="CB172" s="1186"/>
      <c r="CC172" s="1186"/>
      <c r="CD172" s="1186"/>
      <c r="CE172" s="1186"/>
      <c r="CF172" s="3227"/>
      <c r="CY172" s="1652"/>
      <c r="CZ172" s="1659"/>
      <c r="DA172" s="1659"/>
      <c r="DB172" s="1659"/>
      <c r="DC172" s="1653">
        <f>A37</f>
        <v>0</v>
      </c>
      <c r="DD172" s="1660"/>
      <c r="DE172" s="1425"/>
      <c r="DF172" s="1425"/>
      <c r="DG172" s="1425"/>
      <c r="DH172" s="1539"/>
      <c r="DJ172" s="3399"/>
      <c r="DK172" s="3399"/>
      <c r="DL172" s="3399"/>
      <c r="DM172" s="3399"/>
      <c r="DN172" s="3399"/>
      <c r="DO172" s="3399"/>
      <c r="DP172" s="3227"/>
      <c r="DT172" s="394"/>
      <c r="DU172" s="394"/>
      <c r="DY172" s="394"/>
      <c r="DZ172" s="394"/>
      <c r="ED172" s="394"/>
      <c r="EE172" s="394"/>
      <c r="EJ172" s="394"/>
      <c r="EK172" s="394"/>
      <c r="EP172" s="394"/>
      <c r="EQ172" s="394"/>
      <c r="EV172" s="394"/>
      <c r="EW172" s="394"/>
      <c r="FB172" s="394"/>
      <c r="FC172" s="394"/>
      <c r="FH172" s="394"/>
      <c r="FI172" s="394"/>
      <c r="FN172" s="394"/>
      <c r="FO172" s="394"/>
      <c r="FT172" s="394"/>
      <c r="FU172" s="394"/>
      <c r="FZ172" s="394"/>
      <c r="GA172" s="394"/>
      <c r="GF172" s="394"/>
      <c r="GG172" s="3227"/>
      <c r="GH172" s="394"/>
      <c r="GL172" s="394"/>
      <c r="GM172" s="3227"/>
      <c r="GN172" s="394"/>
      <c r="GP172" s="394"/>
      <c r="GR172" s="394"/>
      <c r="GS172" s="3227"/>
      <c r="GT172" s="3227"/>
      <c r="GU172" s="394"/>
    </row>
    <row r="173" spans="1:209" s="390" customFormat="1" ht="15" hidden="1" customHeight="1" thickBot="1" x14ac:dyDescent="0.2">
      <c r="A173" s="775" t="str">
        <f t="shared" si="89"/>
        <v>Tier09</v>
      </c>
      <c r="B173" s="1645" t="str">
        <f>B53</f>
        <v>Tier09: Platform Tier 09</v>
      </c>
      <c r="C173" s="2165" t="str">
        <f>B54</f>
        <v>Xeon E5-2637v4 4 core (1 chip) 3500 MHz</v>
      </c>
      <c r="D173" s="2161">
        <f>C54</f>
        <v>0</v>
      </c>
      <c r="E173" s="2161">
        <f>D54</f>
        <v>0</v>
      </c>
      <c r="F173" s="2168">
        <f>IF(I55=$H$185,L56,0)</f>
        <v>0</v>
      </c>
      <c r="G173" s="2999">
        <f>IF(AF53="",0,AF54)</f>
        <v>0</v>
      </c>
      <c r="H173" s="558" t="s">
        <v>359</v>
      </c>
      <c r="I173" s="1835">
        <v>135</v>
      </c>
      <c r="J173" s="1763" t="str">
        <f t="shared" si="90"/>
        <v>Tier09</v>
      </c>
      <c r="K173" s="1845" t="str">
        <f>$I$55</f>
        <v>Physical</v>
      </c>
      <c r="L173" s="1770">
        <f>IF(K173=$J$163,0,$I$53)</f>
        <v>0</v>
      </c>
      <c r="M173" s="1841">
        <f>IF($K173=$J$163,0,$J53*$FM$18)+J56*A55</f>
        <v>0</v>
      </c>
      <c r="N173" s="1843">
        <f>IF($K173=$J$163,0,$C$54*$F$55*IF($W$54=$W$163,2,1))</f>
        <v>0</v>
      </c>
      <c r="O173" s="1843">
        <f>IF($K173=$J$163,0,$D$54)</f>
        <v>0</v>
      </c>
      <c r="P173" s="1843">
        <f>IF(K173=$J$163,0,IF(B54=VLOOKUP(L173,HostArray,3,0),1,0))</f>
        <v>0</v>
      </c>
      <c r="Q173" s="3001">
        <f>A53</f>
        <v>0</v>
      </c>
      <c r="R173" s="1843">
        <f t="shared" si="91"/>
        <v>0</v>
      </c>
      <c r="S173" s="1186" t="s">
        <v>1203</v>
      </c>
      <c r="T173" s="3227" t="s">
        <v>1192</v>
      </c>
      <c r="U173" s="390" t="s">
        <v>117</v>
      </c>
      <c r="AE173" s="394"/>
      <c r="AG173" s="394"/>
      <c r="AH173" s="394"/>
      <c r="AJ173" s="3227"/>
      <c r="AL173" s="3227"/>
      <c r="AN173" s="3227"/>
      <c r="AP173" s="3227"/>
      <c r="AR173" s="3227"/>
      <c r="AT173" s="3227"/>
      <c r="AU173" s="3227"/>
      <c r="AV173" s="3227"/>
      <c r="AW173" s="3227"/>
      <c r="AX173" s="3227"/>
      <c r="AY173" s="3227"/>
      <c r="AZ173" s="3227"/>
      <c r="BA173" s="3227"/>
      <c r="BB173" s="3227"/>
      <c r="BC173" s="3227"/>
      <c r="BD173" s="3227"/>
      <c r="BE173" s="3227"/>
      <c r="BP173" s="1186"/>
      <c r="BQ173" s="1186"/>
      <c r="BR173" s="1186"/>
      <c r="BS173" s="1186"/>
      <c r="BT173" s="1186"/>
      <c r="BU173" s="1186"/>
      <c r="BV173" s="1186"/>
      <c r="BW173" s="1186"/>
      <c r="BX173" s="1186"/>
      <c r="BY173" s="1186"/>
      <c r="BZ173" s="1186"/>
      <c r="CA173" s="1186"/>
      <c r="CB173" s="1186"/>
      <c r="CC173" s="1186"/>
      <c r="CD173" s="1186"/>
      <c r="CE173" s="1186"/>
      <c r="CF173" s="3227"/>
      <c r="CY173" s="1652"/>
      <c r="CZ173" s="1659"/>
      <c r="DA173" s="1659"/>
      <c r="DB173" s="1659"/>
      <c r="DC173" s="1653">
        <f>A38</f>
        <v>0</v>
      </c>
      <c r="DD173" s="1660"/>
      <c r="DE173" s="1425"/>
      <c r="DF173" s="1425"/>
      <c r="DG173" s="1425"/>
      <c r="DH173" s="1539"/>
      <c r="DJ173" s="3399"/>
      <c r="DK173" s="3399"/>
      <c r="DL173" s="3399"/>
      <c r="DM173" s="3399"/>
      <c r="DN173" s="3399"/>
      <c r="DO173" s="3399"/>
      <c r="DP173" s="3227"/>
      <c r="DT173" s="394"/>
      <c r="DU173" s="394"/>
      <c r="DY173" s="394"/>
      <c r="DZ173" s="394"/>
      <c r="ED173" s="394"/>
      <c r="EE173" s="394"/>
      <c r="EJ173" s="394"/>
      <c r="EK173" s="394"/>
      <c r="EP173" s="394"/>
      <c r="EQ173" s="394"/>
      <c r="EV173" s="394"/>
      <c r="EW173" s="394"/>
      <c r="FB173" s="394"/>
      <c r="FC173" s="394"/>
      <c r="FH173" s="394"/>
      <c r="FI173" s="394"/>
      <c r="FN173" s="394"/>
      <c r="FO173" s="394"/>
      <c r="FT173" s="394"/>
      <c r="FU173" s="394"/>
      <c r="FZ173" s="394"/>
      <c r="GA173" s="394"/>
      <c r="GF173" s="394"/>
      <c r="GG173" s="3227"/>
      <c r="GH173" s="394"/>
      <c r="GL173" s="394"/>
      <c r="GM173" s="3227"/>
      <c r="GN173" s="394"/>
      <c r="GP173" s="394"/>
      <c r="GR173" s="394"/>
      <c r="GS173" s="3227"/>
      <c r="GT173" s="3227"/>
      <c r="GU173" s="394"/>
    </row>
    <row r="174" spans="1:209" s="390" customFormat="1" ht="15" hidden="1" customHeight="1" x14ac:dyDescent="0.15">
      <c r="A174" s="775" t="str">
        <f t="shared" si="89"/>
        <v>Tier10</v>
      </c>
      <c r="B174" s="1645" t="str">
        <f>B57</f>
        <v>Tier10: Platform Tier 10</v>
      </c>
      <c r="C174" s="2165" t="str">
        <f>B58</f>
        <v>Xeon E5-2637v4 4 core (1 chip) 3500 MHz</v>
      </c>
      <c r="D174" s="2161">
        <f>C58</f>
        <v>0</v>
      </c>
      <c r="E174" s="2161">
        <f>D58</f>
        <v>0</v>
      </c>
      <c r="F174" s="2168">
        <f>IF(I59=$H$185,L60,0)</f>
        <v>0</v>
      </c>
      <c r="G174" s="2999">
        <f>IF(AF57="",0,AF58)</f>
        <v>0</v>
      </c>
      <c r="H174" s="558" t="s">
        <v>352</v>
      </c>
      <c r="I174" s="1835">
        <v>90</v>
      </c>
      <c r="J174" s="1763" t="str">
        <f t="shared" si="90"/>
        <v>Tier10</v>
      </c>
      <c r="K174" s="1845" t="str">
        <f>$I$59</f>
        <v>Physical</v>
      </c>
      <c r="L174" s="1770">
        <f>IF(K174=$J$163,0,$I$57)</f>
        <v>0</v>
      </c>
      <c r="M174" s="1841">
        <f>IF($K174=$J$163,0,$J57*$FS$18)+J60*A59</f>
        <v>0</v>
      </c>
      <c r="N174" s="1843">
        <f>IF($K174=$J$163,0,$C$58*$F$59*IF($W$58=$W$163,2,1))</f>
        <v>0</v>
      </c>
      <c r="O174" s="1843">
        <f>IF($K174=$J$163,0,$D$58)</f>
        <v>0</v>
      </c>
      <c r="P174" s="1843">
        <f>IF(K174=$J$163,0,IF(B58=VLOOKUP(L174,HostArray,3,0),1,0))</f>
        <v>0</v>
      </c>
      <c r="Q174" s="3001">
        <f>A57</f>
        <v>0</v>
      </c>
      <c r="R174" s="1843">
        <f t="shared" si="91"/>
        <v>0</v>
      </c>
      <c r="S174" s="1186" t="s">
        <v>1203</v>
      </c>
      <c r="T174" s="3227" t="s">
        <v>1192</v>
      </c>
      <c r="AE174" s="394"/>
      <c r="AG174" s="394"/>
      <c r="AH174" s="394"/>
      <c r="AJ174" s="3227"/>
      <c r="AL174" s="3227"/>
      <c r="AN174" s="3227"/>
      <c r="AP174" s="3227"/>
      <c r="AR174" s="3227"/>
      <c r="AT174" s="3227"/>
      <c r="AU174" s="3227"/>
      <c r="AV174" s="3227"/>
      <c r="AW174" s="3227"/>
      <c r="AX174" s="3227"/>
      <c r="AY174" s="3227"/>
      <c r="AZ174" s="3227"/>
      <c r="BA174" s="3227"/>
      <c r="BB174" s="3227"/>
      <c r="BC174" s="3227"/>
      <c r="BD174" s="3227"/>
      <c r="BE174" s="3227"/>
      <c r="BP174" s="1186"/>
      <c r="BQ174" s="1186"/>
      <c r="BR174" s="1186"/>
      <c r="BS174" s="1186"/>
      <c r="BT174" s="1186"/>
      <c r="BU174" s="1186"/>
      <c r="BV174" s="1186"/>
      <c r="BW174" s="1186"/>
      <c r="BX174" s="1186"/>
      <c r="BY174" s="1186"/>
      <c r="BZ174" s="1186"/>
      <c r="CA174" s="1186"/>
      <c r="CB174" s="1186"/>
      <c r="CC174" s="1186"/>
      <c r="CD174" s="1186"/>
      <c r="CE174" s="1186"/>
      <c r="CF174" s="3227"/>
      <c r="CY174" s="1652"/>
      <c r="CZ174" s="1659"/>
      <c r="DA174" s="1659"/>
      <c r="DB174" s="1659"/>
      <c r="DC174" s="1653">
        <f>A38</f>
        <v>0</v>
      </c>
      <c r="DD174" s="1660"/>
      <c r="DE174" s="1425"/>
      <c r="DF174" s="1425"/>
      <c r="DG174" s="1425"/>
      <c r="DH174" s="1539"/>
      <c r="DJ174" s="3399"/>
      <c r="DK174" s="3399"/>
      <c r="DL174" s="3399"/>
      <c r="DM174" s="3399"/>
      <c r="DN174" s="3399"/>
      <c r="DO174" s="3399"/>
      <c r="DP174" s="3227"/>
      <c r="DT174" s="394"/>
      <c r="DU174" s="394"/>
      <c r="DY174" s="394"/>
      <c r="DZ174" s="394"/>
      <c r="ED174" s="394"/>
      <c r="EE174" s="394"/>
      <c r="EJ174" s="394"/>
      <c r="EK174" s="394"/>
      <c r="EP174" s="394"/>
      <c r="EQ174" s="394"/>
      <c r="EV174" s="394"/>
      <c r="EW174" s="394"/>
      <c r="FB174" s="394"/>
      <c r="FC174" s="394"/>
      <c r="FH174" s="394"/>
      <c r="FI174" s="394"/>
      <c r="FN174" s="394"/>
      <c r="FO174" s="394"/>
      <c r="FT174" s="394"/>
      <c r="FU174" s="394"/>
      <c r="FZ174" s="394"/>
      <c r="GA174" s="394"/>
      <c r="GF174" s="394"/>
      <c r="GG174" s="3227"/>
      <c r="GH174" s="394"/>
      <c r="GL174" s="394"/>
      <c r="GM174" s="3227"/>
      <c r="GN174" s="394"/>
      <c r="GP174" s="394"/>
      <c r="GR174" s="394"/>
      <c r="GS174" s="3227"/>
      <c r="GT174" s="3227"/>
      <c r="GU174" s="394"/>
    </row>
    <row r="175" spans="1:209" s="390" customFormat="1" ht="15" hidden="1" customHeight="1" x14ac:dyDescent="0.15">
      <c r="A175" s="775" t="str">
        <f t="shared" si="89"/>
        <v>WTS</v>
      </c>
      <c r="B175" s="1645" t="str">
        <f>B62</f>
        <v>WTS: Platform Tier 11</v>
      </c>
      <c r="C175" s="2165" t="str">
        <f>B63</f>
        <v>Xeon Gold 5122 4 core (1 chip) 3600 MHz</v>
      </c>
      <c r="D175" s="2161">
        <f>C63</f>
        <v>67</v>
      </c>
      <c r="E175" s="2161">
        <f>D63</f>
        <v>4</v>
      </c>
      <c r="F175" s="2168">
        <f>IF(I64=$H$185,L65,0)</f>
        <v>1</v>
      </c>
      <c r="G175" s="2999">
        <f>IF(AF62="",0,AF63)</f>
        <v>0</v>
      </c>
      <c r="H175" s="559" t="s">
        <v>354</v>
      </c>
      <c r="I175" s="1835">
        <v>45</v>
      </c>
      <c r="J175" s="1763" t="str">
        <f t="shared" si="90"/>
        <v>WTS</v>
      </c>
      <c r="K175" s="1845" t="str">
        <f>$I$64</f>
        <v>Physical</v>
      </c>
      <c r="L175" s="1770">
        <f>IF(K175=$J$163,0,$I$62)</f>
        <v>0</v>
      </c>
      <c r="M175" s="1841">
        <f>IF($K175=$J$163,0,$J62*$FY$18)+J65*A64</f>
        <v>0</v>
      </c>
      <c r="N175" s="1843">
        <f>IF($K175=$J$163,0,$C$63*$F$64*IF($W$63=$W$163,2,1))</f>
        <v>0</v>
      </c>
      <c r="O175" s="1843">
        <f>IF($K175=$J$163,0,$D$63)</f>
        <v>0</v>
      </c>
      <c r="P175" s="1843">
        <f>IF(K175=$J$163,0,IF(B63=VLOOKUP(L175,HostArray,3,0),1,0))</f>
        <v>0</v>
      </c>
      <c r="Q175" s="3001">
        <f>A62</f>
        <v>63</v>
      </c>
      <c r="R175" s="1843">
        <f t="shared" si="91"/>
        <v>0</v>
      </c>
      <c r="S175" s="1186" t="s">
        <v>1203</v>
      </c>
      <c r="T175" s="3227" t="s">
        <v>1192</v>
      </c>
      <c r="AE175" s="394"/>
      <c r="AG175" s="394"/>
      <c r="AH175" s="394"/>
      <c r="AJ175" s="3227"/>
      <c r="AL175" s="3227"/>
      <c r="AN175" s="3227"/>
      <c r="AP175" s="3227"/>
      <c r="AR175" s="3227"/>
      <c r="AT175" s="3227"/>
      <c r="AU175" s="3227"/>
      <c r="AV175" s="3227"/>
      <c r="AW175" s="3227"/>
      <c r="AX175" s="3227"/>
      <c r="AY175" s="3227"/>
      <c r="AZ175" s="3227"/>
      <c r="BA175" s="3227"/>
      <c r="BB175" s="3227"/>
      <c r="BC175" s="3227"/>
      <c r="BD175" s="3227"/>
      <c r="BE175" s="3227"/>
      <c r="BP175" s="1186"/>
      <c r="BQ175" s="1186"/>
      <c r="BR175" s="1186"/>
      <c r="BS175" s="1186"/>
      <c r="BT175" s="1186"/>
      <c r="BU175" s="1186"/>
      <c r="BV175" s="1186"/>
      <c r="BW175" s="1186"/>
      <c r="BX175" s="1186"/>
      <c r="BY175" s="1186"/>
      <c r="BZ175" s="1186"/>
      <c r="CA175" s="1186"/>
      <c r="CB175" s="1186"/>
      <c r="CC175" s="1186"/>
      <c r="CD175" s="1186"/>
      <c r="CE175" s="1186"/>
      <c r="CF175" s="3227"/>
      <c r="CY175" s="1652"/>
      <c r="CZ175" s="1659"/>
      <c r="DA175" s="1659"/>
      <c r="DB175" s="1659"/>
      <c r="DC175" s="1653">
        <f>A39</f>
        <v>0</v>
      </c>
      <c r="DD175" s="1660"/>
      <c r="DE175" s="1425"/>
      <c r="DF175" s="1425"/>
      <c r="DG175" s="1425"/>
      <c r="DH175" s="1539"/>
      <c r="DJ175" s="3399"/>
      <c r="DK175" s="3399"/>
      <c r="DL175" s="3399"/>
      <c r="DM175" s="3399"/>
      <c r="DN175" s="3399"/>
      <c r="DO175" s="3399"/>
      <c r="DP175" s="3227"/>
      <c r="DT175" s="394"/>
      <c r="DU175" s="394"/>
      <c r="DY175" s="394"/>
      <c r="DZ175" s="394"/>
      <c r="ED175" s="394"/>
      <c r="EE175" s="394"/>
      <c r="EJ175" s="394"/>
      <c r="EK175" s="394"/>
      <c r="EP175" s="394"/>
      <c r="EQ175" s="394"/>
      <c r="EV175" s="394"/>
      <c r="EW175" s="394"/>
      <c r="FB175" s="394"/>
      <c r="FC175" s="394"/>
      <c r="FH175" s="394"/>
      <c r="FI175" s="394"/>
      <c r="FN175" s="394"/>
      <c r="FO175" s="394"/>
      <c r="FT175" s="394"/>
      <c r="FU175" s="394"/>
      <c r="FZ175" s="394"/>
      <c r="GA175" s="394"/>
      <c r="GF175" s="394"/>
      <c r="GG175" s="3227"/>
      <c r="GH175" s="394"/>
      <c r="GL175" s="394"/>
      <c r="GM175" s="3227"/>
      <c r="GN175" s="394"/>
      <c r="GP175" s="394"/>
      <c r="GR175" s="394"/>
      <c r="GS175" s="3227"/>
      <c r="GT175" s="3227"/>
      <c r="GU175" s="394"/>
    </row>
    <row r="176" spans="1:209" s="390" customFormat="1" ht="15" hidden="1" customHeight="1" x14ac:dyDescent="0.15">
      <c r="A176" s="775" t="str">
        <f t="shared" si="89"/>
        <v>Tier12</v>
      </c>
      <c r="B176" s="1645" t="str">
        <f>B66</f>
        <v>Tier12: Platform Tier 12</v>
      </c>
      <c r="C176" s="2165" t="str">
        <f>B67</f>
        <v>Xeon Gold 5122 4 core (1 chip) 3600 MHz</v>
      </c>
      <c r="D176" s="2161">
        <f>C67</f>
        <v>0</v>
      </c>
      <c r="E176" s="2167">
        <f>D67</f>
        <v>0</v>
      </c>
      <c r="F176" s="2168">
        <f>IF(I68=$H$185,L69,0)</f>
        <v>0</v>
      </c>
      <c r="G176" s="2999">
        <f>IF(AF66="",0,AF67)</f>
        <v>0</v>
      </c>
      <c r="H176" s="560" t="s">
        <v>353</v>
      </c>
      <c r="I176" s="1835">
        <v>24</v>
      </c>
      <c r="J176" s="1763" t="str">
        <f t="shared" si="90"/>
        <v>Tier12</v>
      </c>
      <c r="K176" s="1845" t="str">
        <f>$I$68</f>
        <v>Physical</v>
      </c>
      <c r="L176" s="1770">
        <f>IF(K176=J163,0,$I$66)</f>
        <v>0</v>
      </c>
      <c r="M176" s="1841">
        <f>IF($K176=$J$163,0,$J66*$GE$18)+J69*A68</f>
        <v>0</v>
      </c>
      <c r="N176" s="1843">
        <f>IF($K176=$J$163,0,$C$67*$F$68*IF($W$67=$W$163,2,1))</f>
        <v>0</v>
      </c>
      <c r="O176" s="1843">
        <f>IF($K176=$J$163,0,$D$67)</f>
        <v>0</v>
      </c>
      <c r="P176" s="1843">
        <f>IF(K176=$J$163,0,IF(B67=VLOOKUP(L176,HostArray,3,0),1,0))</f>
        <v>0</v>
      </c>
      <c r="Q176" s="3001">
        <f>A66</f>
        <v>0</v>
      </c>
      <c r="R176" s="1843">
        <f t="shared" si="91"/>
        <v>0</v>
      </c>
      <c r="S176" s="1186" t="s">
        <v>1204</v>
      </c>
      <c r="T176" s="3227"/>
      <c r="AE176" s="394"/>
      <c r="AG176" s="394"/>
      <c r="AH176" s="394"/>
      <c r="AJ176" s="3227"/>
      <c r="AL176" s="3227"/>
      <c r="AN176" s="3227"/>
      <c r="AP176" s="3227"/>
      <c r="AR176" s="3227"/>
      <c r="AT176" s="3227"/>
      <c r="AU176" s="3227"/>
      <c r="AV176" s="3227"/>
      <c r="AW176" s="3227"/>
      <c r="AX176" s="3227"/>
      <c r="AY176" s="3227"/>
      <c r="AZ176" s="3227"/>
      <c r="BA176" s="3227"/>
      <c r="BB176" s="3227"/>
      <c r="BC176" s="3227"/>
      <c r="BD176" s="3227"/>
      <c r="BE176" s="3227"/>
      <c r="BP176" s="1186"/>
      <c r="BQ176" s="1186"/>
      <c r="BR176" s="1186"/>
      <c r="BS176" s="1186"/>
      <c r="BT176" s="1186"/>
      <c r="BU176" s="1186"/>
      <c r="BV176" s="1186"/>
      <c r="BW176" s="1186"/>
      <c r="BX176" s="1186"/>
      <c r="BY176" s="1186"/>
      <c r="BZ176" s="1186"/>
      <c r="CA176" s="1186"/>
      <c r="CB176" s="1186"/>
      <c r="CC176" s="1186"/>
      <c r="CD176" s="1186"/>
      <c r="CE176" s="1186"/>
      <c r="CF176" s="3227"/>
      <c r="CY176" s="1652"/>
      <c r="CZ176" s="1425"/>
      <c r="DA176" s="1425"/>
      <c r="DB176" s="1425"/>
      <c r="DC176" s="1425"/>
      <c r="DD176" s="1661">
        <f>A42</f>
        <v>0</v>
      </c>
      <c r="DE176" s="1425"/>
      <c r="DF176" s="1425"/>
      <c r="DG176" s="1425"/>
      <c r="DH176" s="1539"/>
      <c r="DJ176" s="3227"/>
      <c r="DK176" s="3227"/>
      <c r="DL176" s="3227"/>
      <c r="DM176" s="3227"/>
      <c r="DN176" s="3227"/>
      <c r="DO176" s="3227"/>
      <c r="DP176" s="777"/>
      <c r="DQ176" s="3227"/>
      <c r="DT176" s="394"/>
      <c r="DU176" s="394"/>
      <c r="DW176" s="3227"/>
      <c r="DY176" s="394"/>
      <c r="DZ176" s="394"/>
      <c r="EC176" s="3227"/>
      <c r="ED176" s="394"/>
      <c r="EE176" s="394"/>
      <c r="EI176" s="3227"/>
      <c r="EJ176" s="394"/>
      <c r="EK176" s="394"/>
      <c r="EO176" s="3227"/>
      <c r="EP176" s="394"/>
      <c r="EQ176" s="394"/>
      <c r="EU176" s="3227"/>
      <c r="EV176" s="394"/>
      <c r="EW176" s="394"/>
      <c r="FA176" s="3227"/>
      <c r="FB176" s="394"/>
      <c r="FC176" s="394"/>
      <c r="FG176" s="3227"/>
      <c r="FH176" s="394"/>
      <c r="FI176" s="394"/>
      <c r="FM176" s="3227"/>
      <c r="FN176" s="394"/>
      <c r="FO176" s="394"/>
      <c r="FS176" s="3227"/>
      <c r="FT176" s="394"/>
      <c r="FU176" s="394"/>
      <c r="FY176" s="3227"/>
      <c r="FZ176" s="394"/>
      <c r="GA176" s="394"/>
      <c r="GE176" s="3227"/>
      <c r="GF176" s="394"/>
      <c r="GG176" s="3227"/>
      <c r="GH176" s="394"/>
      <c r="GK176" s="3227"/>
      <c r="GL176" s="394"/>
      <c r="GM176" s="3227"/>
      <c r="GN176" s="394"/>
      <c r="GP176" s="394"/>
      <c r="GQ176" s="3227"/>
      <c r="GR176" s="394"/>
      <c r="GS176" s="3227"/>
      <c r="GT176" s="3227"/>
      <c r="GU176" s="394"/>
    </row>
    <row r="177" spans="1:209" s="390" customFormat="1" ht="15" hidden="1" customHeight="1" thickBot="1" x14ac:dyDescent="0.2">
      <c r="A177" s="775" t="str">
        <f t="shared" si="89"/>
        <v>Web</v>
      </c>
      <c r="B177" s="1645" t="str">
        <f>B70</f>
        <v>Web: Platform Tier 13</v>
      </c>
      <c r="C177" s="2165" t="str">
        <f>B71</f>
        <v>Xeon Gold 5122 4 core (1 chip) 3600 MHz</v>
      </c>
      <c r="D177" s="2161">
        <f>C71</f>
        <v>16</v>
      </c>
      <c r="E177" s="2167">
        <f>D71</f>
        <v>4</v>
      </c>
      <c r="F177" s="2168">
        <f>IF(I72=$H$185,L73,0)</f>
        <v>1</v>
      </c>
      <c r="G177" s="2999">
        <f>IF(AF70="",0,AF71)</f>
        <v>0</v>
      </c>
      <c r="H177" s="561" t="s">
        <v>296</v>
      </c>
      <c r="I177" s="1835">
        <v>18</v>
      </c>
      <c r="J177" s="1763" t="str">
        <f t="shared" si="90"/>
        <v>Web</v>
      </c>
      <c r="K177" s="1845" t="str">
        <f>$I$72</f>
        <v>Physical</v>
      </c>
      <c r="L177" s="1770">
        <f>IF(K177=J163,0,$I$70)</f>
        <v>0</v>
      </c>
      <c r="M177" s="1841">
        <f>IF($K177=$J$163,0,$J$70*$GK$18)+J73*A72</f>
        <v>0</v>
      </c>
      <c r="N177" s="1843">
        <f>IF($K177=$J$163,0,$C$71*$F$72*IF($W$71=$W$163,2,1))</f>
        <v>0</v>
      </c>
      <c r="O177" s="1843">
        <f>IF($K177=$J$163,0,$D$71)</f>
        <v>0</v>
      </c>
      <c r="P177" s="1843">
        <f>IF(K177=$J$163,0,IF(B71=VLOOKUP(L177,HostArray,3,FALSE),1,0))</f>
        <v>0</v>
      </c>
      <c r="Q177" s="3001">
        <f>A70</f>
        <v>277.77777777777777</v>
      </c>
      <c r="R177" s="1843">
        <f t="shared" si="91"/>
        <v>0</v>
      </c>
      <c r="S177" s="1186" t="s">
        <v>1193</v>
      </c>
      <c r="AE177" s="394"/>
      <c r="AG177" s="394"/>
      <c r="AH177" s="394"/>
      <c r="AJ177" s="3227"/>
      <c r="AL177" s="3227"/>
      <c r="AN177" s="3227"/>
      <c r="AP177" s="3227"/>
      <c r="AR177" s="3227"/>
      <c r="AT177" s="3227"/>
      <c r="AU177" s="3227"/>
      <c r="AV177" s="3227"/>
      <c r="AW177" s="3227"/>
      <c r="AX177" s="3227"/>
      <c r="AY177" s="3227"/>
      <c r="AZ177" s="3227"/>
      <c r="BA177" s="3227"/>
      <c r="BB177" s="3227"/>
      <c r="BC177" s="3227"/>
      <c r="BD177" s="3227"/>
      <c r="BE177" s="3227"/>
      <c r="BP177" s="1186"/>
      <c r="BQ177" s="1186"/>
      <c r="BR177" s="1186"/>
      <c r="BS177" s="1186"/>
      <c r="BT177" s="1186"/>
      <c r="BU177" s="1186"/>
      <c r="BV177" s="1186"/>
      <c r="BW177" s="1186"/>
      <c r="BX177" s="1186"/>
      <c r="BY177" s="1186"/>
      <c r="BZ177" s="1186"/>
      <c r="CA177" s="1186"/>
      <c r="CB177" s="1186"/>
      <c r="CC177" s="1186"/>
      <c r="CD177" s="1186"/>
      <c r="CE177" s="1186"/>
      <c r="CF177" s="3227"/>
      <c r="CY177" s="1538">
        <v>0</v>
      </c>
      <c r="CZ177" s="1425"/>
      <c r="DA177" s="1425"/>
      <c r="DB177" s="1425"/>
      <c r="DC177" s="1425"/>
      <c r="DD177" s="1425"/>
      <c r="DE177" s="1661">
        <f>A67</f>
        <v>0</v>
      </c>
      <c r="DF177" s="1425"/>
      <c r="DG177" s="1425"/>
      <c r="DH177" s="1539"/>
      <c r="DJ177" s="1662"/>
      <c r="DK177" s="1662"/>
      <c r="DL177" s="1662"/>
      <c r="DM177" s="1662"/>
      <c r="DN177" s="1662"/>
      <c r="DO177" s="1662"/>
      <c r="DP177" s="1662"/>
      <c r="DQ177" s="1662"/>
      <c r="DT177" s="394"/>
      <c r="DU177" s="394"/>
      <c r="DW177" s="1662"/>
      <c r="DY177" s="394"/>
      <c r="DZ177" s="394"/>
      <c r="EC177" s="1662"/>
      <c r="ED177" s="394"/>
      <c r="EE177" s="394"/>
      <c r="EI177" s="1662"/>
      <c r="EJ177" s="394"/>
      <c r="EK177" s="394"/>
      <c r="EO177" s="1662"/>
      <c r="EP177" s="394"/>
      <c r="EQ177" s="394"/>
      <c r="EU177" s="1662"/>
      <c r="EV177" s="394"/>
      <c r="EW177" s="394"/>
      <c r="FA177" s="1662"/>
      <c r="FB177" s="394"/>
      <c r="FC177" s="394"/>
      <c r="FG177" s="1662"/>
      <c r="FH177" s="394"/>
      <c r="FI177" s="394"/>
      <c r="FM177" s="1662"/>
      <c r="FN177" s="394"/>
      <c r="FO177" s="394"/>
      <c r="FS177" s="1662"/>
      <c r="FT177" s="394"/>
      <c r="FU177" s="394"/>
      <c r="FY177" s="1662"/>
      <c r="FZ177" s="394"/>
      <c r="GA177" s="394"/>
      <c r="GE177" s="1662"/>
      <c r="GF177" s="394"/>
      <c r="GG177" s="1662"/>
      <c r="GH177" s="394"/>
      <c r="GK177" s="1662"/>
      <c r="GL177" s="394"/>
      <c r="GM177" s="1662"/>
      <c r="GN177" s="394"/>
      <c r="GP177" s="394"/>
      <c r="GQ177" s="1662"/>
      <c r="GR177" s="394"/>
      <c r="GS177" s="1662"/>
      <c r="GT177" s="1662"/>
      <c r="GU177" s="394"/>
    </row>
    <row r="178" spans="1:209" s="390" customFormat="1" ht="15" hidden="1" customHeight="1" x14ac:dyDescent="0.15">
      <c r="A178" s="775" t="str">
        <f t="shared" si="89"/>
        <v>GIS</v>
      </c>
      <c r="B178" s="1645" t="str">
        <f>B74</f>
        <v>GIS: Platform Tier 14</v>
      </c>
      <c r="C178" s="2165" t="str">
        <f>B75</f>
        <v>Xeon Gold 5122 4 core (1 chip) 3600 MHz</v>
      </c>
      <c r="D178" s="2161">
        <f>C75</f>
        <v>16</v>
      </c>
      <c r="E178" s="2167">
        <f>D75</f>
        <v>8</v>
      </c>
      <c r="F178" s="2168">
        <f>IF(I76=$H$185,L77,0)</f>
        <v>2</v>
      </c>
      <c r="G178" s="2999">
        <f>IF(AF74="",0,AF75)</f>
        <v>0</v>
      </c>
      <c r="H178" s="562">
        <v>10</v>
      </c>
      <c r="I178" s="1835">
        <v>12</v>
      </c>
      <c r="J178" s="1763" t="str">
        <f t="shared" si="90"/>
        <v>GIS</v>
      </c>
      <c r="K178" s="1845" t="str">
        <f>$I$76</f>
        <v>Physical</v>
      </c>
      <c r="L178" s="1770">
        <f>IF(K178=J163,0,$I$74)</f>
        <v>0</v>
      </c>
      <c r="M178" s="1841">
        <f>IF($K178=$J$163,0,$J$74*$GQ$18)+J77*A76</f>
        <v>0</v>
      </c>
      <c r="N178" s="1843">
        <f>IF($K178=$J$163,0,$C$75*$F$76*IF($W$75=$W$163,2,1))</f>
        <v>0</v>
      </c>
      <c r="O178" s="1843">
        <f>IF($K178=$J$163,0,$D$75)</f>
        <v>0</v>
      </c>
      <c r="P178" s="1843">
        <f>IF(K178=$J$163,0,IF(B75=VLOOKUP(L178,HostArray,3,0),1,0))</f>
        <v>0</v>
      </c>
      <c r="Q178" s="3001">
        <f>A74</f>
        <v>277.77777777777777</v>
      </c>
      <c r="R178" s="1843">
        <f t="shared" si="91"/>
        <v>0</v>
      </c>
      <c r="S178" s="1186" t="s">
        <v>1194</v>
      </c>
      <c r="AE178" s="394"/>
      <c r="AG178" s="394"/>
      <c r="AH178" s="394"/>
      <c r="AI178" s="394"/>
      <c r="AJ178" s="3227"/>
      <c r="AK178" s="394"/>
      <c r="AL178" s="3227"/>
      <c r="AM178" s="394"/>
      <c r="AN178" s="3227"/>
      <c r="AO178" s="394"/>
      <c r="AP178" s="3227"/>
      <c r="AQ178" s="394"/>
      <c r="AR178" s="3227"/>
      <c r="AS178" s="394"/>
      <c r="AT178" s="3227"/>
      <c r="AU178" s="3227"/>
      <c r="AV178" s="3227"/>
      <c r="AW178" s="3227"/>
      <c r="AX178" s="3227"/>
      <c r="AY178" s="3227"/>
      <c r="BP178" s="1186"/>
      <c r="BQ178" s="1186"/>
      <c r="BR178" s="1186"/>
      <c r="BS178" s="1186"/>
      <c r="BT178" s="1186"/>
      <c r="BU178" s="1186"/>
      <c r="BV178" s="1186"/>
      <c r="BW178" s="1186"/>
      <c r="BX178" s="1186"/>
      <c r="BY178" s="1186"/>
      <c r="BZ178" s="1186"/>
      <c r="CA178" s="1186"/>
      <c r="CB178" s="1186"/>
      <c r="CC178" s="1186"/>
      <c r="CD178" s="1186"/>
      <c r="CE178" s="1186"/>
      <c r="CF178" s="3227"/>
      <c r="CP178" s="1662"/>
      <c r="CQ178" s="1662"/>
      <c r="CR178" s="1662"/>
      <c r="CS178" s="1662"/>
      <c r="CT178" s="1662"/>
      <c r="CU178" s="1662"/>
      <c r="CV178" s="1662"/>
      <c r="CW178" s="1662"/>
      <c r="CX178" s="1662"/>
      <c r="CY178" s="1538">
        <v>0</v>
      </c>
      <c r="CZ178" s="1425"/>
      <c r="DA178" s="1425"/>
      <c r="DB178" s="1425"/>
      <c r="DC178" s="1425"/>
      <c r="DD178" s="1425"/>
      <c r="DE178" s="1425"/>
      <c r="DF178" s="1661">
        <f>A71</f>
        <v>6.0555624218953857E-2</v>
      </c>
      <c r="DG178" s="1425"/>
      <c r="DH178" s="1539"/>
      <c r="DI178" s="1662"/>
      <c r="DM178" s="394"/>
      <c r="DN178" s="394"/>
      <c r="DR178" s="394"/>
      <c r="DS178" s="394"/>
      <c r="DV178" s="394"/>
      <c r="DX178" s="1662"/>
      <c r="EA178" s="394"/>
      <c r="EB178" s="394"/>
      <c r="EF178" s="394"/>
      <c r="EG178" s="394"/>
      <c r="EH178" s="1662"/>
      <c r="EL178" s="394"/>
      <c r="EM178" s="394"/>
      <c r="EN178" s="1662"/>
      <c r="ER178" s="394"/>
      <c r="ES178" s="394"/>
      <c r="ET178" s="1662"/>
      <c r="EV178" s="394"/>
      <c r="EX178" s="394"/>
      <c r="EY178" s="394"/>
      <c r="EZ178" s="1662"/>
      <c r="FB178" s="394"/>
      <c r="FD178" s="394"/>
      <c r="FE178" s="394"/>
      <c r="FF178" s="1662"/>
      <c r="FH178" s="394"/>
      <c r="FJ178" s="394"/>
      <c r="FK178" s="394"/>
      <c r="FL178" s="1662"/>
      <c r="FN178" s="394"/>
      <c r="FP178" s="394"/>
      <c r="FQ178" s="394"/>
      <c r="FR178" s="1662"/>
      <c r="FT178" s="394"/>
      <c r="FV178" s="394"/>
      <c r="FW178" s="394"/>
      <c r="FX178" s="1662"/>
      <c r="FZ178" s="394"/>
      <c r="GB178" s="394"/>
      <c r="GC178" s="394"/>
      <c r="GD178" s="1662"/>
      <c r="GF178" s="394"/>
      <c r="GG178" s="394"/>
      <c r="GH178" s="394"/>
      <c r="GI178" s="394"/>
      <c r="GJ178" s="1662"/>
      <c r="GL178" s="394"/>
      <c r="GO178" s="394"/>
    </row>
    <row r="179" spans="1:209" s="390" customFormat="1" ht="15" hidden="1" customHeight="1" x14ac:dyDescent="0.15">
      <c r="A179" s="775" t="str">
        <f t="shared" si="89"/>
        <v>DBMS</v>
      </c>
      <c r="B179" s="1664" t="str">
        <f>B78</f>
        <v>DBMS: Platform Tier 15</v>
      </c>
      <c r="C179" s="2165" t="str">
        <f>B79</f>
        <v>Xeon Gold 5122 4 core (1 chip) 3600 MHz</v>
      </c>
      <c r="D179" s="2161">
        <f>C79</f>
        <v>67</v>
      </c>
      <c r="E179" s="2167">
        <f>D79</f>
        <v>4</v>
      </c>
      <c r="F179" s="2168">
        <f>IF(I80=$H$185,L81,0)</f>
        <v>1</v>
      </c>
      <c r="G179" s="2999">
        <f>IF(AF78="",0,AF79)</f>
        <v>0</v>
      </c>
      <c r="H179" s="563">
        <v>1</v>
      </c>
      <c r="I179" s="1835">
        <v>6</v>
      </c>
      <c r="J179" s="1763" t="str">
        <f t="shared" si="90"/>
        <v>DBMS</v>
      </c>
      <c r="K179" s="1845" t="str">
        <f>$I$80</f>
        <v>Physical</v>
      </c>
      <c r="L179" s="1771">
        <f>IF(K179=J163,0,$I$78)</f>
        <v>0</v>
      </c>
      <c r="M179" s="1842">
        <f>IF($K179=$J$163,0,$J$78*$GW$18)+J81*A80</f>
        <v>0</v>
      </c>
      <c r="N179" s="1843">
        <f>IF($K179=$J$163,0,$C$79*$F$80*IF($W$79=$W$163,2,1))</f>
        <v>0</v>
      </c>
      <c r="O179" s="1843">
        <f>IF($K179=$J$163,0,$D$79)</f>
        <v>0</v>
      </c>
      <c r="P179" s="1876">
        <f>IF(K179=$J$163,0,IF(B79=VLOOKUP(L179,HostArray,3,0),1,0))</f>
        <v>0</v>
      </c>
      <c r="Q179" s="3002">
        <f>A78</f>
        <v>370.77777777777777</v>
      </c>
      <c r="R179" s="1876">
        <f t="shared" si="91"/>
        <v>0</v>
      </c>
      <c r="S179" s="1186" t="s">
        <v>1195</v>
      </c>
      <c r="AE179" s="394"/>
      <c r="AG179" s="394"/>
      <c r="AH179" s="394"/>
      <c r="AI179" s="394"/>
      <c r="AJ179" s="3227"/>
      <c r="AK179" s="394"/>
      <c r="AL179" s="3227"/>
      <c r="AM179" s="394"/>
      <c r="AN179" s="3227"/>
      <c r="AO179" s="394"/>
      <c r="AP179" s="3227"/>
      <c r="AQ179" s="394"/>
      <c r="AR179" s="3227"/>
      <c r="AS179" s="394"/>
      <c r="AT179" s="3227"/>
      <c r="AU179" s="3227"/>
      <c r="AV179" s="3227"/>
      <c r="AW179" s="3227"/>
      <c r="AX179" s="3227"/>
      <c r="AY179" s="3227"/>
      <c r="AZ179" s="3227"/>
      <c r="BA179" s="3227"/>
      <c r="BB179" s="3227"/>
      <c r="BC179" s="3227"/>
      <c r="BD179" s="3227"/>
      <c r="BE179" s="3227"/>
      <c r="BP179" s="1186"/>
      <c r="BQ179" s="1186"/>
      <c r="BR179" s="1186"/>
      <c r="BS179" s="1186"/>
      <c r="BT179" s="1186"/>
      <c r="BU179" s="1186"/>
      <c r="BV179" s="1186"/>
      <c r="BW179" s="1186"/>
      <c r="BX179" s="1186"/>
      <c r="BY179" s="1186"/>
      <c r="BZ179" s="1186"/>
      <c r="CA179" s="1186"/>
      <c r="CB179" s="1186"/>
      <c r="CC179" s="1186"/>
      <c r="CD179" s="1186"/>
      <c r="CE179" s="1186"/>
      <c r="CF179" s="3227"/>
      <c r="CY179" s="1538"/>
      <c r="CZ179" s="1425"/>
      <c r="DA179" s="1425"/>
      <c r="DB179" s="1425"/>
      <c r="DC179" s="1425"/>
      <c r="DD179" s="1425"/>
      <c r="DE179" s="1425"/>
      <c r="DF179" s="1425"/>
      <c r="DG179" s="1661">
        <f>A75</f>
        <v>0.68125077246323085</v>
      </c>
      <c r="DH179" s="1539"/>
      <c r="DJ179" s="1662"/>
      <c r="DK179" s="1662"/>
      <c r="DL179" s="1662"/>
      <c r="DM179" s="1662"/>
      <c r="DN179" s="1662"/>
      <c r="DO179" s="1662"/>
      <c r="DP179" s="1662"/>
      <c r="DQ179" s="1662"/>
      <c r="DT179" s="394"/>
      <c r="DU179" s="394"/>
      <c r="DW179" s="1662"/>
      <c r="DY179" s="394"/>
      <c r="DZ179" s="394"/>
      <c r="EC179" s="1662"/>
      <c r="ED179" s="394"/>
      <c r="EE179" s="394"/>
      <c r="EI179" s="1662"/>
      <c r="EJ179" s="394"/>
      <c r="EK179" s="394"/>
      <c r="EO179" s="1662"/>
      <c r="EP179" s="394"/>
      <c r="EQ179" s="394"/>
      <c r="EU179" s="1662"/>
      <c r="EV179" s="394"/>
      <c r="EW179" s="394"/>
      <c r="FA179" s="1662"/>
      <c r="FB179" s="394"/>
      <c r="FC179" s="394"/>
      <c r="FG179" s="1662"/>
      <c r="FH179" s="394"/>
      <c r="FI179" s="394"/>
      <c r="FM179" s="1662"/>
      <c r="FN179" s="394"/>
      <c r="FO179" s="394"/>
      <c r="FS179" s="1662"/>
      <c r="FT179" s="394"/>
      <c r="FU179" s="394"/>
      <c r="FY179" s="1662"/>
      <c r="FZ179" s="394"/>
      <c r="GA179" s="394"/>
      <c r="GE179" s="1662"/>
      <c r="GF179" s="394"/>
      <c r="GG179" s="1662"/>
      <c r="GH179" s="394"/>
      <c r="GK179" s="1662"/>
      <c r="GL179" s="394"/>
      <c r="GM179" s="1662"/>
      <c r="GN179" s="394"/>
      <c r="GP179" s="394"/>
      <c r="GQ179" s="1662"/>
      <c r="GR179" s="394"/>
      <c r="GS179" s="1662"/>
      <c r="GT179" s="1662"/>
      <c r="GU179" s="394"/>
    </row>
    <row r="180" spans="1:209" s="390" customFormat="1" ht="15" hidden="1" customHeight="1" thickBot="1" x14ac:dyDescent="0.2">
      <c r="A180" s="2729" t="s">
        <v>1049</v>
      </c>
      <c r="B180" s="1664"/>
      <c r="C180" s="2164"/>
      <c r="D180" s="2163"/>
      <c r="E180" s="2166"/>
      <c r="F180" s="2169"/>
      <c r="H180" s="563">
        <v>0.1</v>
      </c>
      <c r="I180" s="1835">
        <v>3</v>
      </c>
      <c r="J180" s="1684" t="s">
        <v>720</v>
      </c>
      <c r="K180" s="1833" t="s">
        <v>26</v>
      </c>
      <c r="L180" s="1768" t="s">
        <v>314</v>
      </c>
      <c r="M180" s="1833" t="s">
        <v>1242</v>
      </c>
      <c r="N180" s="1833" t="s">
        <v>745</v>
      </c>
      <c r="O180" s="1849" t="str">
        <f>O162</f>
        <v>vCore</v>
      </c>
      <c r="P180" s="1849" t="s">
        <v>777</v>
      </c>
      <c r="Q180" s="1979" t="str">
        <f>Q162</f>
        <v>Users</v>
      </c>
      <c r="R180" s="1979" t="s">
        <v>1562</v>
      </c>
      <c r="S180" s="1186" t="s">
        <v>1196</v>
      </c>
      <c r="W180" s="394"/>
      <c r="X180" s="394"/>
      <c r="Y180" s="394"/>
      <c r="Z180" s="394"/>
      <c r="AA180" s="394"/>
      <c r="AB180" s="394"/>
      <c r="AC180" s="394"/>
      <c r="AD180" s="3398"/>
      <c r="AE180" s="3227"/>
      <c r="AF180" s="3227"/>
      <c r="AG180" s="3227"/>
      <c r="AH180" s="3227"/>
      <c r="AI180" s="3227"/>
      <c r="AJ180" s="3227"/>
      <c r="AK180" s="3227"/>
      <c r="AL180" s="3227"/>
      <c r="AM180" s="3227"/>
      <c r="AN180" s="3227"/>
      <c r="AO180" s="3227"/>
      <c r="AP180" s="3227"/>
      <c r="AQ180" s="3227"/>
      <c r="AR180" s="3227"/>
      <c r="AS180" s="3227"/>
      <c r="AT180" s="3227"/>
      <c r="AU180" s="3227"/>
      <c r="AV180" s="3227"/>
      <c r="AW180" s="3227"/>
      <c r="AX180" s="3227"/>
      <c r="AY180" s="3227"/>
      <c r="AZ180" s="3227"/>
      <c r="BA180" s="3227"/>
      <c r="BB180" s="3227"/>
      <c r="BC180" s="3227"/>
      <c r="BD180" s="3227"/>
      <c r="BE180" s="3227"/>
      <c r="BP180" s="1594"/>
      <c r="BQ180" s="1594"/>
      <c r="BR180" s="1594"/>
      <c r="BS180" s="394"/>
      <c r="BT180" s="394"/>
      <c r="BU180" s="394"/>
      <c r="BV180" s="1663"/>
      <c r="BW180" s="3227"/>
      <c r="BX180" s="3227"/>
      <c r="BY180" s="3227"/>
      <c r="BZ180" s="3227"/>
      <c r="CA180" s="3227"/>
      <c r="CB180" s="3227"/>
      <c r="CC180" s="3227"/>
      <c r="CD180" s="3227"/>
      <c r="CE180" s="3227"/>
      <c r="CF180" s="3227"/>
      <c r="CG180" s="394"/>
      <c r="CH180" s="394"/>
      <c r="CY180" s="1538"/>
      <c r="CZ180" s="1425"/>
      <c r="DA180" s="1425"/>
      <c r="DB180" s="1425"/>
      <c r="DC180" s="1425"/>
      <c r="DD180" s="1425"/>
      <c r="DE180" s="1425"/>
      <c r="DF180" s="1425"/>
      <c r="DG180" s="1660"/>
      <c r="DH180" s="1666">
        <f>A79</f>
        <v>0.27485266207995168</v>
      </c>
      <c r="DJ180" s="1662"/>
      <c r="DK180" s="1662"/>
      <c r="DL180" s="1662"/>
      <c r="DM180" s="1662"/>
      <c r="DN180" s="1662"/>
      <c r="DO180" s="1662"/>
      <c r="DP180" s="1662"/>
      <c r="DQ180" s="1662"/>
      <c r="DT180" s="394"/>
      <c r="DU180" s="394"/>
      <c r="DW180" s="1662"/>
      <c r="DY180" s="394"/>
      <c r="DZ180" s="394"/>
      <c r="EC180" s="1662"/>
      <c r="ED180" s="394"/>
      <c r="EE180" s="394"/>
      <c r="EI180" s="1662"/>
      <c r="EJ180" s="394"/>
      <c r="EK180" s="394"/>
      <c r="EO180" s="1662"/>
      <c r="EP180" s="394"/>
      <c r="EQ180" s="394"/>
      <c r="EU180" s="1662"/>
      <c r="EV180" s="394"/>
      <c r="EW180" s="394"/>
      <c r="FA180" s="1662"/>
      <c r="FB180" s="394"/>
      <c r="FC180" s="394"/>
      <c r="FG180" s="1662"/>
      <c r="FH180" s="394"/>
      <c r="FI180" s="394"/>
      <c r="FM180" s="1662"/>
      <c r="FN180" s="394"/>
      <c r="FO180" s="394"/>
      <c r="FS180" s="1662"/>
      <c r="FT180" s="394"/>
      <c r="FU180" s="394"/>
      <c r="FY180" s="1662"/>
      <c r="FZ180" s="394"/>
      <c r="GA180" s="394"/>
      <c r="GE180" s="1662"/>
      <c r="GF180" s="394"/>
      <c r="GG180" s="1662"/>
      <c r="GH180" s="394"/>
      <c r="GK180" s="1662"/>
      <c r="GL180" s="394"/>
      <c r="GM180" s="1662"/>
      <c r="GN180" s="394"/>
      <c r="GP180" s="394"/>
      <c r="GQ180" s="1662"/>
      <c r="GR180" s="394"/>
      <c r="GS180" s="1662"/>
      <c r="GT180" s="1662"/>
      <c r="GU180" s="394"/>
    </row>
    <row r="181" spans="1:209" s="390" customFormat="1" ht="15" hidden="1" customHeight="1" x14ac:dyDescent="0.15">
      <c r="A181" s="776" t="str">
        <f>A180</f>
        <v>AGOL</v>
      </c>
      <c r="B181" s="1665"/>
      <c r="C181" s="2164"/>
      <c r="D181" s="2163"/>
      <c r="E181" s="2166"/>
      <c r="F181" s="2169"/>
      <c r="G181" s="1647" t="s">
        <v>314</v>
      </c>
      <c r="H181" s="563">
        <v>0.01</v>
      </c>
      <c r="I181" s="1835">
        <v>1.5</v>
      </c>
      <c r="J181" s="1764" t="str">
        <f t="shared" ref="J181:J186" si="92">A184</f>
        <v>Host01</v>
      </c>
      <c r="K181" s="1766">
        <f>Q84</f>
        <v>0</v>
      </c>
      <c r="L181" s="2769" t="str">
        <f>B85</f>
        <v>Xeon Gold 5122 4 core (1 chip) 3600 MHz</v>
      </c>
      <c r="M181" s="2772">
        <f t="shared" ref="M181:O185" si="93">IF($J181=$L$165,M$165,0)+ IF($J181=$L$166,M$166,0)+ IF($J181=$L$167,M$167,0)+ IF($J181=$L$168,M$168,0)+ IF($J181=$L$169,M$169,0)+ IF($J181=$L$170,M$170,0)+ IF($J181=$L$171,M$171,0)+ IF($J181=$L$172,M$172,0)+ IF($J181=$L$173,M$173,0)+ IF($J181=$L$174,M$174,0)+ IF($J181=$L$175,M$175,0)+ IF($J181=$L$176,M$176,0)+ IF($J181=$L$177,M$177,0)+ IF($J181=$L$178,M$178,0)+ IF($J181=$L$179,M$179,0)</f>
        <v>0</v>
      </c>
      <c r="N181" s="2773">
        <f t="shared" si="93"/>
        <v>0</v>
      </c>
      <c r="O181" s="2773">
        <f t="shared" si="93"/>
        <v>0</v>
      </c>
      <c r="P181" s="2774">
        <f>IF(COUNTIF($L$165:$L$179,J181)=IF(J181=$L$165,$P$165,0)+IF(J181=$L$166,$P$166,0)+IF(J181=$L$167,$P$167,0)+IF(J181=$L$168,$P$168,0)+IF(J181=$L$169,$P$169,0)+IF(J181=$L$170,$P$170,0)+IF(J181=$L$171,$P$171,0)+IF(J181=$L$172,$P$172,0)+IF(J181=$L$173,$P$173,0)+IF(J181=$L$174,$P$174,0)+IF(J181=$L$175,$P$175,0)+IF(J181=$L$176,$P$176,0)+IF(J181=$L$177,$P$177,0)+IF(J181=$L$178,$P$178,0)+IF(J181=$L$179,$P$179,0),0,1)</f>
        <v>0</v>
      </c>
      <c r="Q181" s="2772" t="str">
        <f>IF(K181&gt;0,(IF($J181=$L$165,Q$165,0)+ IF($J181=$L$166,Q$166,0)+ IF($J181=$L$167,Q$167,0)+ IF($J181=$L$168,Q$168,0)+IF(J181=$L$169,$Q$169,0)+IF(J181=$L$170,$Q$170,0)+IF(J181=$L$171,$Q$171,0)+IF(J181=$L$172,$Q$172,0)+IF(J181=$L$173,$Q$173,0)+ IF($J181=$L$174,Q$174,0)+ IF($J181=$L$175,Q$175,0)+ IF($J181=$L$176,Q$176,0)+ IF($J181=$L$177,Q$177,0)+ IF($J181=$L$178,Q$178,0)+ IF($J181=$L$179,Q$179,0))/COUNTIF($L$165:$L$179,J181),"")</f>
        <v/>
      </c>
      <c r="R181" s="2998">
        <f>AF85</f>
        <v>24</v>
      </c>
      <c r="S181" s="1186" t="s">
        <v>1197</v>
      </c>
      <c r="W181" s="394"/>
      <c r="X181" s="394"/>
      <c r="Y181" s="394"/>
      <c r="Z181" s="394"/>
      <c r="AA181" s="394"/>
      <c r="AB181" s="394"/>
      <c r="AC181" s="394"/>
      <c r="AD181" s="3398"/>
      <c r="AE181" s="3227"/>
      <c r="AF181" s="3227"/>
      <c r="AG181" s="3227"/>
      <c r="AH181" s="3227"/>
      <c r="AI181" s="3227"/>
      <c r="AJ181" s="3227"/>
      <c r="AK181" s="3227"/>
      <c r="AL181" s="3227"/>
      <c r="AM181" s="3227"/>
      <c r="AN181" s="3227"/>
      <c r="AO181" s="3227"/>
      <c r="AP181" s="3227"/>
      <c r="AQ181" s="3227"/>
      <c r="AR181" s="3227"/>
      <c r="AS181" s="3227"/>
      <c r="AT181" s="3227"/>
      <c r="AU181" s="3227"/>
      <c r="AV181" s="3227"/>
      <c r="AW181" s="3227"/>
      <c r="AX181" s="3227"/>
      <c r="AY181" s="3227"/>
      <c r="AZ181" s="3227"/>
      <c r="BA181" s="3227"/>
      <c r="BB181" s="3227"/>
      <c r="BC181" s="3227"/>
      <c r="BD181" s="3227"/>
      <c r="BE181" s="3227"/>
      <c r="BP181" s="1594"/>
      <c r="BQ181" s="1594"/>
      <c r="BR181" s="1594"/>
      <c r="BS181" s="394"/>
      <c r="BT181" s="394"/>
      <c r="BU181" s="394"/>
      <c r="BV181" s="1663"/>
      <c r="BW181" s="3227"/>
      <c r="BX181" s="3227"/>
      <c r="BY181" s="3227"/>
      <c r="BZ181" s="3227"/>
      <c r="CA181" s="3227"/>
      <c r="CB181" s="3227"/>
      <c r="CC181" s="3227"/>
      <c r="CD181" s="3227"/>
      <c r="CE181" s="3227"/>
      <c r="CF181" s="3227"/>
      <c r="CG181" s="394"/>
      <c r="CH181" s="394"/>
      <c r="CY181" s="95" t="str">
        <f t="shared" ref="CY181:DD181" si="94">BR4</f>
        <v>Tier01</v>
      </c>
      <c r="CZ181" s="96" t="str">
        <f t="shared" si="94"/>
        <v>Tier02</v>
      </c>
      <c r="DA181" s="96" t="str">
        <f t="shared" si="94"/>
        <v>Tier03</v>
      </c>
      <c r="DB181" s="96" t="str">
        <f t="shared" si="94"/>
        <v>Tier04</v>
      </c>
      <c r="DC181" s="96" t="str">
        <f t="shared" si="94"/>
        <v>Tier05</v>
      </c>
      <c r="DD181" s="96" t="str">
        <f t="shared" si="94"/>
        <v>Tier06</v>
      </c>
      <c r="DE181" s="96" t="str">
        <f>CC4</f>
        <v>Tier12</v>
      </c>
      <c r="DF181" s="96" t="str">
        <f>CD4</f>
        <v>Web</v>
      </c>
      <c r="DG181" s="96" t="str">
        <f>CE4</f>
        <v>GIS</v>
      </c>
      <c r="DH181" s="97" t="str">
        <f>CF4</f>
        <v>DBMS</v>
      </c>
      <c r="DJ181" s="1662"/>
      <c r="DK181" s="1662"/>
      <c r="DL181" s="1662"/>
      <c r="DM181" s="1662"/>
      <c r="DN181" s="1662"/>
      <c r="DO181" s="1662"/>
      <c r="DP181" s="1662"/>
      <c r="DQ181" s="1662"/>
      <c r="DT181" s="394"/>
      <c r="DU181" s="394"/>
      <c r="DW181" s="1662"/>
      <c r="DY181" s="394"/>
      <c r="DZ181" s="394"/>
      <c r="EC181" s="1662"/>
      <c r="ED181" s="394"/>
      <c r="EE181" s="394"/>
      <c r="EI181" s="1662"/>
      <c r="EJ181" s="394"/>
      <c r="EK181" s="394"/>
      <c r="EO181" s="1662"/>
      <c r="EP181" s="394"/>
      <c r="EQ181" s="394"/>
      <c r="EU181" s="1662"/>
      <c r="EV181" s="394"/>
      <c r="EW181" s="394"/>
      <c r="FA181" s="1662"/>
      <c r="FB181" s="394"/>
      <c r="FC181" s="394"/>
      <c r="FG181" s="1662"/>
      <c r="FH181" s="394"/>
      <c r="FI181" s="394"/>
      <c r="FM181" s="1662"/>
      <c r="FN181" s="394"/>
      <c r="FO181" s="394"/>
      <c r="FS181" s="1662"/>
      <c r="FT181" s="394"/>
      <c r="FU181" s="394"/>
      <c r="FY181" s="1662"/>
      <c r="FZ181" s="394"/>
      <c r="GA181" s="394"/>
      <c r="GE181" s="1662"/>
      <c r="GF181" s="394"/>
      <c r="GG181" s="1662"/>
      <c r="GH181" s="394"/>
      <c r="GK181" s="1662"/>
      <c r="GL181" s="394"/>
      <c r="GM181" s="1662"/>
      <c r="GN181" s="394"/>
      <c r="GP181" s="394"/>
      <c r="GQ181" s="1662"/>
      <c r="GR181" s="394"/>
      <c r="GS181" s="1662"/>
      <c r="GT181" s="1662"/>
      <c r="GU181" s="394"/>
    </row>
    <row r="182" spans="1:209" s="390" customFormat="1" ht="15" hidden="1" customHeight="1" thickBot="1" x14ac:dyDescent="0.2">
      <c r="A182" s="776" t="s">
        <v>543</v>
      </c>
      <c r="B182" s="1665"/>
      <c r="C182" s="2164"/>
      <c r="D182" s="2163"/>
      <c r="E182" s="2166"/>
      <c r="F182" s="2169"/>
      <c r="G182" s="390" t="s">
        <v>1735</v>
      </c>
      <c r="H182" s="563">
        <v>1E-3</v>
      </c>
      <c r="I182" s="1835">
        <v>0.75</v>
      </c>
      <c r="J182" s="1765" t="str">
        <f t="shared" si="92"/>
        <v>Host02</v>
      </c>
      <c r="K182" s="1767">
        <f>Q87</f>
        <v>0</v>
      </c>
      <c r="L182" s="2770" t="str">
        <f>B88</f>
        <v>Xeon Gold 5122 4 core (1 chip) 3600 MHz</v>
      </c>
      <c r="M182" s="2772">
        <f t="shared" si="93"/>
        <v>0</v>
      </c>
      <c r="N182" s="2773">
        <f t="shared" si="93"/>
        <v>0</v>
      </c>
      <c r="O182" s="2773">
        <f t="shared" si="93"/>
        <v>0</v>
      </c>
      <c r="P182" s="2774">
        <f>IF(COUNTIF($L$165:$L$179,J182)=IF(J182=$L$165,$P$165,0)+IF(J182=$L$166,$P$166,0)+IF(J182=$L$167,$P$167,0)+IF(J182=$L$168,$P$168,0)+IF(J182=$L$169,$P$169,0)+IF(J182=$L$170,$P$170,0)+IF(J182=$L$171,$P$171,0)+IF(J182=$L$172,$P$172,0)+IF(J182=$L$173,$P$173,0)+IF(J182=$L$174,$P$174,0)+IF(J182=$L$175,$P$175,0)+IF(J182=$L$176,$P$176,0)+IF(J182=$L$177,$P$177,0)+IF(J182=$L$178,$P$178,0)+IF(J182=$L$179,$P$179,0),0,1)</f>
        <v>0</v>
      </c>
      <c r="Q182" s="2772" t="str">
        <f>IF(K182&gt;0,(IF($J182=$L$165,Q$165,0)+ IF($J182=$L$166,Q$166,0)+ IF($J182=$L$167,Q$167,0)+ IF($J182=$L$168,Q$168,0)+IF(J182=$L$169,$Q$169,0)+IF(J182=$L$170,$Q$170,0)+IF(J182=$L$171,$Q$171,0)+IF(J182=$L$172,$Q$172,0)+IF(J182=$L$173,$Q$173,0)+ IF($J182=$L$174,Q$174,0)+ IF($J182=$L$175,Q$175,0)+ IF($J182=$L$176,Q$176,0)+ IF($J182=$L$177,Q$177,0)+ IF($J182=$L$178,Q$178,0)+ IF($J182=$L$179,Q$179,0))/COUNTIF($L$165:$L$179,J182),"")</f>
        <v/>
      </c>
      <c r="R182" s="2998">
        <f>AF88</f>
        <v>24</v>
      </c>
      <c r="S182" s="1186" t="s">
        <v>1198</v>
      </c>
      <c r="W182" s="394"/>
      <c r="X182" s="394"/>
      <c r="Y182" s="394"/>
      <c r="Z182" s="394"/>
      <c r="AA182" s="394"/>
      <c r="AB182" s="394"/>
      <c r="AC182" s="394"/>
      <c r="AD182" s="1667"/>
      <c r="AE182" s="1663"/>
      <c r="AF182" s="3227"/>
      <c r="AG182" s="3227"/>
      <c r="AH182" s="3227"/>
      <c r="AI182" s="3227"/>
      <c r="AJ182" s="3227"/>
      <c r="AK182" s="3227"/>
      <c r="AL182" s="3227"/>
      <c r="AM182" s="3227"/>
      <c r="AN182" s="3227"/>
      <c r="AO182" s="3227"/>
      <c r="AP182" s="3227"/>
      <c r="AQ182" s="3227"/>
      <c r="AR182" s="3227"/>
      <c r="AS182" s="3227"/>
      <c r="AT182" s="3227"/>
      <c r="AU182" s="3227"/>
      <c r="AV182" s="3227"/>
      <c r="AW182" s="3227"/>
      <c r="AX182" s="3227"/>
      <c r="AY182" s="3227"/>
      <c r="AZ182" s="3227"/>
      <c r="BA182" s="3227"/>
      <c r="BB182" s="3227"/>
      <c r="BC182" s="3227"/>
      <c r="BD182" s="3227"/>
      <c r="BE182" s="3227"/>
      <c r="BP182" s="1594"/>
      <c r="BQ182" s="1594"/>
      <c r="BR182" s="1594"/>
      <c r="BS182" s="394"/>
      <c r="BT182" s="394"/>
      <c r="BU182" s="394"/>
      <c r="BV182" s="1663"/>
      <c r="BW182" s="3227"/>
      <c r="BX182" s="3227"/>
      <c r="BY182" s="3227"/>
      <c r="BZ182" s="3227"/>
      <c r="CA182" s="3227"/>
      <c r="CB182" s="3227"/>
      <c r="CC182" s="3227"/>
      <c r="CD182" s="3227"/>
      <c r="CE182" s="3227"/>
      <c r="CF182" s="3227"/>
      <c r="CG182" s="394"/>
      <c r="CH182" s="394"/>
      <c r="CY182" s="1668">
        <f>F22</f>
        <v>0</v>
      </c>
      <c r="CZ182" s="1669">
        <f>F26</f>
        <v>0</v>
      </c>
      <c r="DA182" s="1669">
        <f>F30</f>
        <v>0</v>
      </c>
      <c r="DB182" s="1669">
        <f>F34</f>
        <v>0</v>
      </c>
      <c r="DC182" s="1669">
        <f>F38</f>
        <v>0</v>
      </c>
      <c r="DD182" s="1669">
        <f>F43</f>
        <v>0</v>
      </c>
      <c r="DE182" s="1669">
        <f>F68</f>
        <v>0</v>
      </c>
      <c r="DF182" s="1669">
        <f>F72</f>
        <v>1</v>
      </c>
      <c r="DG182" s="1669">
        <f>F76</f>
        <v>2</v>
      </c>
      <c r="DH182" s="1670">
        <f>F80</f>
        <v>1</v>
      </c>
      <c r="DJ182" s="1662"/>
      <c r="DK182" s="1662"/>
      <c r="DL182" s="1662"/>
      <c r="DM182" s="1662"/>
      <c r="DN182" s="1662"/>
      <c r="DO182" s="1662"/>
      <c r="DP182" s="1662"/>
      <c r="DQ182" s="1662"/>
      <c r="DT182" s="394"/>
      <c r="DU182" s="394"/>
      <c r="DW182" s="1662"/>
      <c r="DY182" s="394"/>
      <c r="DZ182" s="394"/>
      <c r="EC182" s="1662"/>
      <c r="ED182" s="394"/>
      <c r="EE182" s="394"/>
      <c r="EI182" s="1662"/>
      <c r="EJ182" s="394"/>
      <c r="EK182" s="394"/>
      <c r="EO182" s="1662"/>
      <c r="EP182" s="394"/>
      <c r="EQ182" s="394"/>
      <c r="EU182" s="1662"/>
      <c r="EV182" s="394"/>
      <c r="EW182" s="394"/>
      <c r="FA182" s="1662"/>
      <c r="FB182" s="394"/>
      <c r="FC182" s="394"/>
      <c r="FG182" s="1662"/>
      <c r="FH182" s="394"/>
      <c r="FI182" s="394"/>
      <c r="FM182" s="1662"/>
      <c r="FN182" s="394"/>
      <c r="FO182" s="394"/>
      <c r="FS182" s="1662"/>
      <c r="FT182" s="394"/>
      <c r="FU182" s="394"/>
      <c r="FY182" s="1662"/>
      <c r="FZ182" s="394"/>
      <c r="GA182" s="394"/>
      <c r="GE182" s="1662"/>
      <c r="GF182" s="394"/>
      <c r="GG182" s="1662"/>
      <c r="GH182" s="394"/>
      <c r="GK182" s="1662"/>
      <c r="GL182" s="394"/>
      <c r="GM182" s="1662"/>
      <c r="GN182" s="394"/>
      <c r="GP182" s="394"/>
      <c r="GQ182" s="1662"/>
      <c r="GR182" s="394"/>
      <c r="GS182" s="1662"/>
      <c r="GT182" s="1662"/>
      <c r="GU182" s="394"/>
    </row>
    <row r="183" spans="1:209" s="390" customFormat="1" ht="15" hidden="1" customHeight="1" x14ac:dyDescent="0.15">
      <c r="A183" s="3224" t="s">
        <v>835</v>
      </c>
      <c r="B183" s="1665"/>
      <c r="C183" s="2164"/>
      <c r="D183" s="2163"/>
      <c r="E183" s="2166"/>
      <c r="F183" s="2169"/>
      <c r="G183" s="390" t="s">
        <v>412</v>
      </c>
      <c r="H183" s="563">
        <v>1E-4</v>
      </c>
      <c r="I183" s="1835">
        <v>5.6000000000000001E-2</v>
      </c>
      <c r="J183" s="1765" t="str">
        <f t="shared" si="92"/>
        <v>Host03</v>
      </c>
      <c r="K183" s="1767">
        <f>Q90</f>
        <v>0</v>
      </c>
      <c r="L183" s="2770" t="str">
        <f>B91</f>
        <v>Xeon Gold 5122 4 core (1 chip) 3600 MHz</v>
      </c>
      <c r="M183" s="2772">
        <f t="shared" si="93"/>
        <v>0</v>
      </c>
      <c r="N183" s="2773">
        <f t="shared" si="93"/>
        <v>0</v>
      </c>
      <c r="O183" s="2773">
        <f t="shared" si="93"/>
        <v>0</v>
      </c>
      <c r="P183" s="2774">
        <f>IF(COUNTIF($L$165:$L$179,J183)=IF(J183=$L$165,$P$165,0)+IF(J183=$L$166,$P$166,0)+IF(J183=$L$167,$P$167,0)+IF(J183=$L$168,$P$168,0)+IF(J183=$L$169,$P$169,0)+IF(J183=$L$170,$P$170,0)+IF(J183=$L$171,$P$171,0)+IF(J183=$L$172,$P$172,0)+IF(J183=$L$173,$P$173,0)+IF(J183=$L$174,$P$174,0)+IF(J183=$L$175,$P$175,0)+IF(J183=$L$176,$P$176,0)+IF(J183=$L$177,$P$177,0)+IF(J183=$L$178,$P$178,0)+IF(J183=$L$179,$P$179,0),0,1)</f>
        <v>0</v>
      </c>
      <c r="Q183" s="2772" t="str">
        <f>IF(K183&gt;0,(IF($J183=$L$165,Q$165,0)+ IF($J183=$L$166,Q$166,0)+ IF($J183=$L$167,Q$167,0)+ IF($J183=$L$168,Q$168,0)+IF(J183=$L$169,$Q$169,0)+IF(J183=$L$170,$Q$170,0)+IF(J183=$L$171,$Q$171,0)+IF(J183=$L$172,$Q$172,0)+IF(J183=$L$173,$Q$173,0)+ IF($J183=$L$174,Q$174,0)+ IF($J183=$L$175,Q$175,0)+ IF($J183=$L$176,Q$176,0)+ IF($J183=$L$177,Q$177,0)+ IF($J183=$L$178,Q$178,0)+ IF($J183=$L$179,Q$179,0))/COUNTIF($L$165:$L$179,J183),"")</f>
        <v/>
      </c>
      <c r="R183" s="2998">
        <f>AF91</f>
        <v>24</v>
      </c>
      <c r="S183" s="1186" t="s">
        <v>1199</v>
      </c>
      <c r="W183" s="394"/>
      <c r="X183" s="394"/>
      <c r="Y183" s="394"/>
      <c r="Z183" s="394"/>
      <c r="AA183" s="394"/>
      <c r="AB183" s="394"/>
      <c r="AC183" s="394"/>
      <c r="AD183" s="1667"/>
      <c r="AE183" s="1663"/>
      <c r="AF183" s="3227"/>
      <c r="AG183" s="3227"/>
      <c r="AH183" s="3227"/>
      <c r="AI183" s="3227"/>
      <c r="AJ183" s="3227"/>
      <c r="AK183" s="3227"/>
      <c r="AL183" s="3227"/>
      <c r="AM183" s="3227"/>
      <c r="AN183" s="3227"/>
      <c r="AO183" s="3227"/>
      <c r="AP183" s="3227"/>
      <c r="AQ183" s="3227"/>
      <c r="AR183" s="3227"/>
      <c r="AS183" s="3227"/>
      <c r="AT183" s="3227"/>
      <c r="AU183" s="3227"/>
      <c r="AV183" s="3227"/>
      <c r="AW183" s="3227"/>
      <c r="AX183" s="3227"/>
      <c r="AY183" s="3227"/>
      <c r="AZ183" s="3227"/>
      <c r="BA183" s="3227"/>
      <c r="BB183" s="3227"/>
      <c r="BC183" s="3227"/>
      <c r="BD183" s="3227"/>
      <c r="BE183" s="3227"/>
      <c r="BP183" s="1594"/>
      <c r="BQ183" s="1594"/>
      <c r="BR183" s="1594"/>
      <c r="BS183" s="394"/>
      <c r="BT183" s="394"/>
      <c r="BU183" s="394"/>
      <c r="BV183" s="1663"/>
      <c r="BW183" s="3227"/>
      <c r="BX183" s="3227"/>
      <c r="BY183" s="3227"/>
      <c r="BZ183" s="3227"/>
      <c r="CA183" s="3227"/>
      <c r="CB183" s="3227"/>
      <c r="CC183" s="3227"/>
      <c r="CD183" s="3227"/>
      <c r="CE183" s="3227"/>
      <c r="CF183" s="3227"/>
      <c r="CG183" s="394"/>
      <c r="CH183" s="394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J183" s="1662"/>
      <c r="DK183" s="1662"/>
      <c r="DL183" s="1662"/>
      <c r="DM183" s="1662"/>
      <c r="DN183" s="1662"/>
      <c r="DO183" s="1662"/>
      <c r="DP183" s="1662"/>
      <c r="DQ183" s="1662"/>
      <c r="DT183" s="394"/>
      <c r="DU183" s="394"/>
      <c r="DW183" s="1662"/>
      <c r="DY183" s="394"/>
      <c r="DZ183" s="394"/>
      <c r="EC183" s="1662"/>
      <c r="ED183" s="394"/>
      <c r="EE183" s="394"/>
      <c r="EI183" s="1662"/>
      <c r="EJ183" s="394"/>
      <c r="EK183" s="394"/>
      <c r="EO183" s="1662"/>
      <c r="EP183" s="394"/>
      <c r="EQ183" s="394"/>
      <c r="EU183" s="1662"/>
      <c r="EV183" s="394"/>
      <c r="EW183" s="394"/>
      <c r="FA183" s="1662"/>
      <c r="FB183" s="394"/>
      <c r="FC183" s="394"/>
      <c r="FG183" s="1662"/>
      <c r="FH183" s="394"/>
      <c r="FI183" s="394"/>
      <c r="FM183" s="1662"/>
      <c r="FN183" s="394"/>
      <c r="FO183" s="394"/>
      <c r="FS183" s="1662"/>
      <c r="FT183" s="394"/>
      <c r="FU183" s="394"/>
      <c r="FY183" s="1662"/>
      <c r="FZ183" s="394"/>
      <c r="GA183" s="394"/>
      <c r="GE183" s="1662"/>
      <c r="GF183" s="394"/>
      <c r="GG183" s="1662"/>
      <c r="GH183" s="394"/>
      <c r="GK183" s="1662"/>
      <c r="GL183" s="394"/>
      <c r="GM183" s="1662"/>
      <c r="GN183" s="394"/>
      <c r="GP183" s="394"/>
      <c r="GQ183" s="1662"/>
      <c r="GR183" s="394"/>
      <c r="GS183" s="1662"/>
      <c r="GT183" s="1662"/>
      <c r="GU183" s="394"/>
    </row>
    <row r="184" spans="1:209" s="390" customFormat="1" ht="15" hidden="1" customHeight="1" x14ac:dyDescent="0.15">
      <c r="A184" s="775" t="str">
        <f>IF(ISERROR(FIND(":",B184)),B184,LEFT(B184,FIND(":",B184)-1))</f>
        <v>Host01</v>
      </c>
      <c r="B184" s="774" t="str">
        <f>B84</f>
        <v>Host01: Virtual Host 01</v>
      </c>
      <c r="C184" s="2165" t="str">
        <f>B85</f>
        <v>Xeon Gold 5122 4 core (1 chip) 3600 MHz</v>
      </c>
      <c r="D184" s="2161">
        <f>C84</f>
        <v>0</v>
      </c>
      <c r="E184" s="2167">
        <f>D84</f>
        <v>0</v>
      </c>
      <c r="F184" s="2168">
        <f>F85</f>
        <v>0</v>
      </c>
      <c r="G184" s="390" t="s">
        <v>1736</v>
      </c>
      <c r="H184" s="564"/>
      <c r="I184" s="1835">
        <v>2.8000000000000001E-2</v>
      </c>
      <c r="J184" s="1765" t="str">
        <f t="shared" si="92"/>
        <v>Host04</v>
      </c>
      <c r="K184" s="1767">
        <f>Q93</f>
        <v>0</v>
      </c>
      <c r="L184" s="2770" t="str">
        <f>B94</f>
        <v>Xeon Gold 5122 4 core (1 chip) 3600 MHz</v>
      </c>
      <c r="M184" s="2772">
        <f t="shared" si="93"/>
        <v>0</v>
      </c>
      <c r="N184" s="2773">
        <f t="shared" si="93"/>
        <v>0</v>
      </c>
      <c r="O184" s="2773">
        <f t="shared" si="93"/>
        <v>0</v>
      </c>
      <c r="P184" s="2774">
        <f>IF(COUNTIF($L$165:$L$179,J184)=IF(J184=$L$165,$P$165,0)+IF(J184=$L$166,$P$166,0)+IF(J184=$L$167,$P$167,0)+IF(J184=$L$168,$P$168,0)+IF(J184=$L$169,$P$169,0)+IF(J184=$L$170,$P$170,0)+IF(J184=$L$171,$P$171,0)+IF(J184=$L$172,$P$172,0)+IF(J184=$L$173,$P$173,0)+IF(J184=$L$174,$P$174,0)+IF(J184=$L$175,$P$175,0)+IF(J184=$L$176,$P$176,0)+IF(J184=$L$177,$P$177,0)+IF(J184=$L$178,$P$178,0)+IF(J184=$L$179,$P$179,0),0,1)</f>
        <v>0</v>
      </c>
      <c r="Q184" s="2772" t="str">
        <f>IF(K184&gt;0,(IF($J184=$L$165,Q$165,0)+ IF($J184=$L$166,Q$166,0)+ IF($J184=$L$167,Q$167,0)+ IF($J184=$L$168,Q$168,0)+IF(J184=$L$169,$Q$169,0)+IF(J184=$L$170,$Q$170,0)+IF(J184=$L$171,$Q$171,0)+IF(J184=$L$172,$Q$172,0)+IF(J184=$L$173,$Q$173,0)+ IF($J184=$L$174,Q$174,0)+ IF($J184=$L$175,Q$175,0)+ IF($J184=$L$176,Q$176,0)+ IF($J184=$L$177,Q$177,0)+ IF($J184=$L$178,Q$178,0)+ IF($J184=$L$179,Q$179,0))/COUNTIF($L$165:$L$179,J184),"")</f>
        <v/>
      </c>
      <c r="R184" s="2998">
        <f>AF94</f>
        <v>24</v>
      </c>
      <c r="S184" s="1186" t="s">
        <v>1200</v>
      </c>
      <c r="W184" s="394"/>
      <c r="X184" s="394"/>
      <c r="Y184" s="394"/>
      <c r="Z184" s="394"/>
      <c r="AA184" s="394"/>
      <c r="AB184" s="394"/>
      <c r="AC184" s="394"/>
      <c r="AD184" s="1667"/>
      <c r="AE184" s="1663"/>
      <c r="AF184" s="3227"/>
      <c r="AG184" s="3227"/>
      <c r="AH184" s="3227"/>
      <c r="AI184" s="3227"/>
      <c r="AJ184" s="3227"/>
      <c r="AK184" s="3227"/>
      <c r="AL184" s="3227"/>
      <c r="AM184" s="3227"/>
      <c r="AN184" s="3227"/>
      <c r="AO184" s="3227"/>
      <c r="AP184" s="3227"/>
      <c r="AQ184" s="3227"/>
      <c r="AR184" s="3227"/>
      <c r="AS184" s="3227"/>
      <c r="AT184" s="3227"/>
      <c r="AU184" s="3227"/>
      <c r="AV184" s="3227"/>
      <c r="AW184" s="3227"/>
      <c r="AX184" s="3227"/>
      <c r="AY184" s="3227"/>
      <c r="AZ184" s="3227"/>
      <c r="BA184" s="3227"/>
      <c r="BB184" s="3227"/>
      <c r="BC184" s="3227"/>
      <c r="BD184" s="3227"/>
      <c r="BE184" s="3227"/>
      <c r="BP184" s="1594"/>
      <c r="BQ184" s="1594"/>
      <c r="BR184" s="1594"/>
      <c r="BS184" s="394"/>
      <c r="BT184" s="394"/>
      <c r="BU184" s="394"/>
      <c r="BV184" s="1663"/>
      <c r="BW184" s="3227"/>
      <c r="BX184" s="3227"/>
      <c r="BY184" s="3227"/>
      <c r="BZ184" s="3227"/>
      <c r="CA184" s="3227"/>
      <c r="CB184" s="3227"/>
      <c r="CC184" s="3227"/>
      <c r="CD184" s="3227"/>
      <c r="CE184" s="3227"/>
      <c r="CF184" s="3227"/>
      <c r="CG184" s="394"/>
      <c r="CH184" s="394"/>
      <c r="DJ184" s="1662"/>
      <c r="DK184" s="1662"/>
      <c r="DL184" s="1662"/>
      <c r="DM184" s="1662"/>
      <c r="DN184" s="1662"/>
      <c r="DO184" s="1662"/>
      <c r="DP184" s="1662"/>
      <c r="DQ184" s="1662"/>
      <c r="DT184" s="394"/>
      <c r="DU184" s="394"/>
      <c r="DW184" s="1662"/>
      <c r="DY184" s="394"/>
      <c r="DZ184" s="394"/>
      <c r="EC184" s="1662"/>
      <c r="ED184" s="394"/>
      <c r="EE184" s="394"/>
      <c r="EI184" s="1662"/>
      <c r="EJ184" s="394"/>
      <c r="EK184" s="394"/>
      <c r="EO184" s="1662"/>
      <c r="EP184" s="394"/>
      <c r="EQ184" s="394"/>
      <c r="EU184" s="1662"/>
      <c r="EV184" s="394"/>
      <c r="EW184" s="394"/>
      <c r="FA184" s="1662"/>
      <c r="FB184" s="394"/>
      <c r="FC184" s="394"/>
      <c r="FG184" s="1662"/>
      <c r="FH184" s="394"/>
      <c r="FI184" s="394"/>
      <c r="FM184" s="1662"/>
      <c r="FN184" s="394"/>
      <c r="FO184" s="394"/>
      <c r="FS184" s="1662"/>
      <c r="FT184" s="394"/>
      <c r="FU184" s="394"/>
      <c r="FY184" s="1662"/>
      <c r="FZ184" s="394"/>
      <c r="GA184" s="394"/>
      <c r="GE184" s="1662"/>
      <c r="GF184" s="394"/>
      <c r="GG184" s="1662"/>
      <c r="GH184" s="394"/>
      <c r="GK184" s="1662"/>
      <c r="GL184" s="394"/>
      <c r="GM184" s="1662"/>
      <c r="GN184" s="394"/>
      <c r="GP184" s="394"/>
      <c r="GQ184" s="1662"/>
      <c r="GR184" s="394"/>
      <c r="GS184" s="1662"/>
      <c r="GT184" s="1662"/>
      <c r="GU184" s="394"/>
    </row>
    <row r="185" spans="1:209" s="390" customFormat="1" ht="15" hidden="1" customHeight="1" x14ac:dyDescent="0.15">
      <c r="A185" s="775" t="str">
        <f>IF(ISERROR(FIND(":",B185)),B185,LEFT(B185,FIND(":",B185)-1))</f>
        <v>Host02</v>
      </c>
      <c r="B185" s="774" t="str">
        <f>B87</f>
        <v>Host02: Virtual Host 02</v>
      </c>
      <c r="C185" s="2165" t="str">
        <f>B88</f>
        <v>Xeon Gold 5122 4 core (1 chip) 3600 MHz</v>
      </c>
      <c r="D185" s="2161">
        <f>C87</f>
        <v>0</v>
      </c>
      <c r="E185" s="2167">
        <f>D87</f>
        <v>0</v>
      </c>
      <c r="F185" s="2168">
        <f>F88</f>
        <v>0</v>
      </c>
      <c r="G185" s="390" t="s">
        <v>1737</v>
      </c>
      <c r="H185" s="2003" t="s">
        <v>408</v>
      </c>
      <c r="I185" s="1836">
        <v>0</v>
      </c>
      <c r="J185" s="1765" t="str">
        <f t="shared" si="92"/>
        <v>Host05</v>
      </c>
      <c r="K185" s="1767">
        <f>Q96</f>
        <v>0</v>
      </c>
      <c r="L185" s="2770" t="str">
        <f>B97</f>
        <v>Xeon Gold 5122 4 core (1 chip) 3600 MHz</v>
      </c>
      <c r="M185" s="2772">
        <f t="shared" si="93"/>
        <v>0</v>
      </c>
      <c r="N185" s="2773">
        <f t="shared" si="93"/>
        <v>0</v>
      </c>
      <c r="O185" s="2773">
        <f t="shared" si="93"/>
        <v>0</v>
      </c>
      <c r="P185" s="2774">
        <f>IF(COUNTIF($L$165:$L$179,J185)=IF(J185=$L$165,$P$165,0)+IF(J185=$L$166,$P$166,0)+IF(J185=$L$167,$P$167,0)+IF(J185=$L$168,$P$168,0)+IF(J185=$L$169,$P$169,0)+IF(J185=$L$170,$P$170,0)+IF(J185=$L$171,$P$171,0)+IF(J185=$L$172,$P$172,0)+IF(J185=$L$173,$P$173,0)+IF(J185=$L$174,$P$174,0)+IF(J185=$L$175,$P$175,0)+IF(J185=$L$176,$P$176,0)+IF(J185=$L$177,$P$177,0)+IF(J185=$L$178,$P$178,0)+IF(J185=$L$179,$P$179,0),0,1)</f>
        <v>0</v>
      </c>
      <c r="Q185" s="2772" t="str">
        <f>IF(K185&gt;0,(IF($J185=$L$165,Q$165,0)+ IF($J185=$L$166,Q$166,0)+ IF($J185=$L$167,Q$167,0)+ IF($J185=$L$168,Q$168,0)+IF(J185=$L$169,$Q$169,0)+IF(J185=$L$170,$Q$170,0)+IF(J185=$L$171,$Q$171,0)+IF(J185=$L$172,$Q$172,0)+IF(J185=$L$173,$Q$173,0)+ IF($J185=$L$174,Q$174,0)+ IF($J185=$L$175,Q$175,0)+ IF($J185=$L$176,Q$176,0)+ IF($J185=$L$177,Q$177,0)+ IF($J185=$L$178,Q$178,0)+ IF($J185=$L$179,Q$179,0))/COUNTIF($L$165:$L$179,J185),"")</f>
        <v/>
      </c>
      <c r="R185" s="2998">
        <f>AF97</f>
        <v>24</v>
      </c>
      <c r="S185" s="1186" t="s">
        <v>1201</v>
      </c>
      <c r="W185" s="394"/>
      <c r="X185" s="394"/>
      <c r="Y185" s="394"/>
      <c r="Z185" s="394"/>
      <c r="AA185" s="394"/>
      <c r="AB185" s="394"/>
      <c r="AC185" s="394"/>
      <c r="AD185" s="1667"/>
      <c r="AE185" s="1663"/>
      <c r="AF185" s="3227"/>
      <c r="AG185" s="3227"/>
      <c r="AH185" s="3227"/>
      <c r="AI185" s="3227"/>
      <c r="AJ185" s="3227"/>
      <c r="AK185" s="3227"/>
      <c r="AL185" s="3227"/>
      <c r="AM185" s="3227"/>
      <c r="AN185" s="3227"/>
      <c r="AO185" s="3227"/>
      <c r="AP185" s="3227"/>
      <c r="AQ185" s="3227"/>
      <c r="AR185" s="3227"/>
      <c r="AS185" s="3227"/>
      <c r="AT185" s="3227"/>
      <c r="AU185" s="3227"/>
      <c r="AV185" s="3227"/>
      <c r="AW185" s="3227"/>
      <c r="AX185" s="3227"/>
      <c r="AY185" s="3227"/>
      <c r="AZ185" s="3227"/>
      <c r="BA185" s="3227"/>
      <c r="BB185" s="3227"/>
      <c r="BC185" s="3227"/>
      <c r="BD185" s="3227"/>
      <c r="BE185" s="3227"/>
      <c r="BP185" s="1594"/>
      <c r="BQ185" s="1594"/>
      <c r="BR185" s="1594"/>
      <c r="BS185" s="394"/>
      <c r="BT185" s="394"/>
      <c r="BU185" s="394"/>
      <c r="BV185" s="1663"/>
      <c r="BW185" s="3227"/>
      <c r="BX185" s="3227"/>
      <c r="BY185" s="3227"/>
      <c r="BZ185" s="3227"/>
      <c r="CA185" s="3227"/>
      <c r="CB185" s="3227"/>
      <c r="CC185" s="3227"/>
      <c r="CD185" s="3227"/>
      <c r="CE185" s="3227"/>
      <c r="CF185" s="3227"/>
      <c r="CG185" s="394"/>
      <c r="CH185" s="394"/>
      <c r="DJ185" s="1662"/>
      <c r="DK185" s="1662"/>
      <c r="DL185" s="1662"/>
      <c r="DM185" s="1662"/>
      <c r="DN185" s="1662"/>
      <c r="DO185" s="1662"/>
      <c r="DP185" s="1662"/>
      <c r="DQ185" s="1662"/>
      <c r="DT185" s="394"/>
      <c r="DU185" s="394"/>
      <c r="DW185" s="1662"/>
      <c r="DY185" s="394"/>
      <c r="DZ185" s="394"/>
      <c r="EC185" s="1662"/>
      <c r="ED185" s="394"/>
      <c r="EE185" s="394"/>
      <c r="EI185" s="1662"/>
      <c r="EJ185" s="394"/>
      <c r="EK185" s="394"/>
      <c r="EO185" s="1662"/>
      <c r="EP185" s="394"/>
      <c r="EQ185" s="394"/>
      <c r="EU185" s="1662"/>
      <c r="EV185" s="394"/>
      <c r="EW185" s="394"/>
      <c r="FA185" s="1662"/>
      <c r="FB185" s="394"/>
      <c r="FC185" s="394"/>
      <c r="FG185" s="1662"/>
      <c r="FH185" s="394"/>
      <c r="FI185" s="394"/>
      <c r="FM185" s="1662"/>
      <c r="FN185" s="394"/>
      <c r="FO185" s="394"/>
      <c r="FS185" s="1662"/>
      <c r="FT185" s="394"/>
      <c r="FU185" s="394"/>
      <c r="FY185" s="1662"/>
      <c r="FZ185" s="394"/>
      <c r="GA185" s="394"/>
      <c r="GE185" s="1662"/>
      <c r="GF185" s="394"/>
      <c r="GG185" s="1662"/>
      <c r="GH185" s="394"/>
      <c r="GK185" s="1662"/>
      <c r="GL185" s="394"/>
      <c r="GM185" s="1662"/>
      <c r="GN185" s="394"/>
      <c r="GP185" s="394"/>
      <c r="GQ185" s="1662"/>
      <c r="GR185" s="394"/>
      <c r="GS185" s="1662"/>
      <c r="GT185" s="1662"/>
      <c r="GU185" s="394"/>
    </row>
    <row r="186" spans="1:209" s="390" customFormat="1" ht="15" hidden="1" customHeight="1" x14ac:dyDescent="0.2">
      <c r="A186" s="775" t="str">
        <f>IF(ISERROR(FIND(":",B186)),B186,LEFT(B186,FIND(":",B186)-1))</f>
        <v>Host03</v>
      </c>
      <c r="B186" s="774" t="str">
        <f>B90</f>
        <v>Host03: Virtual Host 03</v>
      </c>
      <c r="C186" s="2165" t="str">
        <f>B91</f>
        <v>Xeon Gold 5122 4 core (1 chip) 3600 MHz</v>
      </c>
      <c r="D186" s="2161">
        <f>C90</f>
        <v>0</v>
      </c>
      <c r="E186" s="2167">
        <f>D90</f>
        <v>0</v>
      </c>
      <c r="F186" s="2168">
        <f>F91</f>
        <v>0</v>
      </c>
      <c r="G186" s="390" t="s">
        <v>1738</v>
      </c>
      <c r="H186" s="2004" t="s">
        <v>849</v>
      </c>
      <c r="I186" s="1834" t="s">
        <v>364</v>
      </c>
      <c r="J186" s="1761">
        <f t="shared" si="92"/>
        <v>0</v>
      </c>
      <c r="K186" s="1846"/>
      <c r="L186" s="2771"/>
      <c r="M186" s="1767"/>
      <c r="N186" s="1767"/>
      <c r="O186" s="1767"/>
      <c r="P186" s="2774"/>
      <c r="Q186" s="2772" t="str">
        <f>IF(K186&gt;0,(IF($J186=$L$165,Q$165,0)+ IF($J186=$L$166,Q$166,0)+ IF($J186=$L$167,Q$167,0)+ IF($J186=$L$168,Q$168,0)+ IF($J186=$L$174,Q$174,0)+ IF($J186=$L$175,Q$175,0)+ IF($J186=$L$176,Q$176,0)+ IF($J186=$L$177,Q$177,0)+ IF($J186=$L$178,Q$178,0)+ IF($J186=$L$179,Q$179,0))/COUNTIF($L$165:$L$179,J186),"")</f>
        <v/>
      </c>
      <c r="R186" s="2998">
        <f>AF98</f>
        <v>0</v>
      </c>
      <c r="S186" s="1186" t="s">
        <v>1202</v>
      </c>
      <c r="W186" s="394"/>
      <c r="X186" s="394"/>
      <c r="Y186" s="394"/>
      <c r="Z186" s="394"/>
      <c r="AA186" s="394"/>
      <c r="AB186" s="394"/>
      <c r="AC186" s="394"/>
      <c r="AD186" s="1667"/>
      <c r="AE186" s="1663"/>
      <c r="AF186" s="3227"/>
      <c r="AG186" s="3227"/>
      <c r="AH186" s="3227"/>
      <c r="AI186" s="3227"/>
      <c r="AJ186" s="3227"/>
      <c r="AK186" s="3227"/>
      <c r="AL186" s="3227"/>
      <c r="AM186" s="3227"/>
      <c r="AN186" s="3227"/>
      <c r="AO186" s="3227"/>
      <c r="AP186" s="3227"/>
      <c r="AQ186" s="3227"/>
      <c r="AR186" s="3227"/>
      <c r="AS186" s="3227"/>
      <c r="AT186" s="3227"/>
      <c r="AU186" s="3227"/>
      <c r="AV186" s="3227"/>
      <c r="AW186" s="3227"/>
      <c r="AX186" s="3227"/>
      <c r="AY186" s="3227"/>
      <c r="AZ186" s="3227"/>
      <c r="BA186" s="3227"/>
      <c r="BB186" s="3227"/>
      <c r="BC186" s="3227"/>
      <c r="BD186" s="3227"/>
      <c r="BE186" s="3227"/>
      <c r="BP186" s="1594"/>
      <c r="BQ186" s="1594"/>
      <c r="BR186" s="1594"/>
      <c r="BS186" s="394"/>
      <c r="BT186" s="394"/>
      <c r="BU186" s="394"/>
      <c r="BV186" s="1663"/>
      <c r="BW186" s="3227"/>
      <c r="BX186" s="3227"/>
      <c r="BY186" s="3227"/>
      <c r="BZ186" s="3227"/>
      <c r="CA186" s="3227"/>
      <c r="CB186" s="3227"/>
      <c r="CC186" s="3227"/>
      <c r="CD186" s="3227"/>
      <c r="CE186" s="3227"/>
      <c r="CF186" s="3227"/>
      <c r="CG186" s="394"/>
      <c r="CH186" s="394"/>
      <c r="DJ186" s="1662"/>
      <c r="DK186" s="1662"/>
      <c r="DL186" s="1662"/>
      <c r="DM186" s="1662"/>
      <c r="DN186" s="1662"/>
      <c r="DO186" s="1662"/>
      <c r="DP186" s="1662"/>
      <c r="DQ186" s="1662"/>
      <c r="DT186" s="394"/>
      <c r="DU186" s="394"/>
      <c r="DW186" s="1662"/>
      <c r="DY186" s="394"/>
      <c r="DZ186" s="394"/>
      <c r="EC186" s="1662"/>
      <c r="ED186" s="394"/>
      <c r="EE186" s="394"/>
      <c r="EI186" s="1662"/>
      <c r="EJ186" s="394"/>
      <c r="EK186" s="394"/>
      <c r="EO186" s="1662"/>
      <c r="EP186" s="394"/>
      <c r="EQ186" s="394"/>
      <c r="EU186" s="1662"/>
      <c r="EV186" s="394"/>
      <c r="EW186" s="394"/>
      <c r="FA186" s="1662"/>
      <c r="FB186" s="394"/>
      <c r="FC186" s="394"/>
      <c r="FG186" s="1662"/>
      <c r="FH186" s="394"/>
      <c r="FI186" s="394"/>
      <c r="FM186" s="1662"/>
      <c r="FN186" s="394"/>
      <c r="FO186" s="394"/>
      <c r="FS186" s="1662"/>
      <c r="FT186" s="394"/>
      <c r="FU186" s="394"/>
      <c r="FY186" s="1662"/>
      <c r="FZ186" s="394"/>
      <c r="GA186" s="394"/>
      <c r="GE186" s="1662"/>
      <c r="GF186" s="394"/>
      <c r="GG186" s="1662"/>
      <c r="GH186" s="394"/>
      <c r="GK186" s="1662"/>
      <c r="GL186" s="394"/>
      <c r="GM186" s="1662"/>
      <c r="GN186" s="394"/>
      <c r="GP186" s="394"/>
      <c r="GQ186" s="1662"/>
      <c r="GR186" s="394"/>
      <c r="GS186" s="1662"/>
      <c r="GT186" s="1662"/>
      <c r="GU186" s="394"/>
    </row>
    <row r="187" spans="1:209" s="390" customFormat="1" ht="15" hidden="1" customHeight="1" x14ac:dyDescent="0.2">
      <c r="A187" s="775" t="str">
        <f>IF(ISERROR(FIND(":",B187)),B187,LEFT(B187,FIND(":",B187)-1))</f>
        <v>Host04</v>
      </c>
      <c r="B187" s="774" t="str">
        <f>B93</f>
        <v>Host04: Virtual Host 04</v>
      </c>
      <c r="C187" s="2165" t="str">
        <f>B94</f>
        <v>Xeon Gold 5122 4 core (1 chip) 3600 MHz</v>
      </c>
      <c r="D187" s="2161">
        <f>C93</f>
        <v>0</v>
      </c>
      <c r="E187" s="2167">
        <f>D93</f>
        <v>0</v>
      </c>
      <c r="F187" s="2168">
        <f>F94</f>
        <v>0</v>
      </c>
      <c r="G187" s="390" t="s">
        <v>1739</v>
      </c>
      <c r="H187" s="2005" t="s">
        <v>850</v>
      </c>
      <c r="I187" s="1836" t="s">
        <v>405</v>
      </c>
      <c r="J187" s="1671"/>
      <c r="K187" s="1672"/>
      <c r="L187" s="1672"/>
      <c r="M187" s="1672"/>
      <c r="N187" s="1672"/>
      <c r="O187" s="1672"/>
      <c r="P187" s="1672"/>
      <c r="Q187" s="1662"/>
      <c r="R187" s="1672"/>
      <c r="S187" s="1590"/>
      <c r="W187" s="394"/>
      <c r="X187" s="394"/>
      <c r="Y187" s="394"/>
      <c r="Z187" s="394"/>
      <c r="AA187" s="394"/>
      <c r="AB187" s="394"/>
      <c r="AC187" s="394"/>
      <c r="AD187" s="1667"/>
      <c r="AE187" s="1663"/>
      <c r="AF187" s="3227"/>
      <c r="AG187" s="3227"/>
      <c r="AH187" s="3227"/>
      <c r="AI187" s="3227"/>
      <c r="AJ187" s="3227"/>
      <c r="AK187" s="3227"/>
      <c r="AL187" s="3227"/>
      <c r="AM187" s="3227"/>
      <c r="AN187" s="3227"/>
      <c r="AO187" s="3227"/>
      <c r="AP187" s="3227"/>
      <c r="AQ187" s="3227"/>
      <c r="AR187" s="3227"/>
      <c r="AS187" s="3227"/>
      <c r="AT187" s="3227"/>
      <c r="AU187" s="3227"/>
      <c r="AV187" s="3227"/>
      <c r="AW187" s="3227"/>
      <c r="AX187" s="3227"/>
      <c r="AY187" s="3227"/>
      <c r="AZ187" s="3227"/>
      <c r="BA187" s="3227"/>
      <c r="BB187" s="3227"/>
      <c r="BC187" s="3227"/>
      <c r="BD187" s="3227"/>
      <c r="BE187" s="3227"/>
      <c r="BP187" s="394"/>
      <c r="BQ187" s="394"/>
      <c r="BR187" s="394"/>
      <c r="BS187" s="394"/>
      <c r="BT187" s="394"/>
      <c r="BU187" s="394"/>
      <c r="BV187" s="1663"/>
      <c r="BW187" s="3227"/>
      <c r="BX187" s="3227"/>
      <c r="BY187" s="3227"/>
      <c r="BZ187" s="3227"/>
      <c r="CA187" s="3227"/>
      <c r="CB187" s="3227"/>
      <c r="CC187" s="3227"/>
      <c r="CD187" s="3227"/>
      <c r="CE187" s="3227"/>
      <c r="CF187" s="3227"/>
      <c r="CG187" s="394"/>
      <c r="CH187" s="394"/>
      <c r="DJ187" s="1662"/>
      <c r="DK187" s="1662"/>
      <c r="DL187" s="1662"/>
      <c r="DM187" s="1662"/>
      <c r="DN187" s="1662"/>
      <c r="DO187" s="1662"/>
      <c r="DP187" s="1662"/>
      <c r="DQ187" s="1662"/>
      <c r="DT187" s="394"/>
      <c r="DU187" s="394"/>
      <c r="DW187" s="1662"/>
      <c r="DY187" s="394"/>
      <c r="DZ187" s="394"/>
      <c r="EC187" s="1662"/>
      <c r="ED187" s="394"/>
      <c r="EE187" s="394"/>
      <c r="EI187" s="1662"/>
      <c r="EJ187" s="394"/>
      <c r="EK187" s="394"/>
      <c r="EO187" s="1662"/>
      <c r="EP187" s="394"/>
      <c r="EQ187" s="394"/>
      <c r="EU187" s="1662"/>
      <c r="EV187" s="394"/>
      <c r="EW187" s="394"/>
      <c r="FA187" s="1662"/>
      <c r="FB187" s="394"/>
      <c r="FC187" s="394"/>
      <c r="FG187" s="1662"/>
      <c r="FH187" s="394"/>
      <c r="FI187" s="394"/>
      <c r="FM187" s="1662"/>
      <c r="FN187" s="394"/>
      <c r="FO187" s="394"/>
      <c r="FS187" s="1662"/>
      <c r="FT187" s="394"/>
      <c r="FU187" s="394"/>
      <c r="FY187" s="1662"/>
      <c r="FZ187" s="394"/>
      <c r="GA187" s="394"/>
      <c r="GE187" s="1662"/>
      <c r="GF187" s="394"/>
      <c r="GG187" s="1662"/>
      <c r="GH187" s="394"/>
      <c r="GK187" s="1662"/>
      <c r="GL187" s="394"/>
      <c r="GM187" s="1662"/>
      <c r="GN187" s="394"/>
      <c r="GP187" s="394"/>
      <c r="GQ187" s="1662"/>
      <c r="GR187" s="394"/>
      <c r="GS187" s="1662"/>
      <c r="GT187" s="1662"/>
      <c r="GU187" s="394"/>
    </row>
    <row r="188" spans="1:209" s="390" customFormat="1" ht="15" hidden="1" customHeight="1" x14ac:dyDescent="0.2">
      <c r="A188" s="775" t="str">
        <f>IF(ISERROR(FIND(":",B188)),B188,LEFT(B188,FIND(":",B188)-1))</f>
        <v>Host05</v>
      </c>
      <c r="B188" s="774" t="str">
        <f>B96</f>
        <v>Host05: Virtual Host 05</v>
      </c>
      <c r="C188" s="2165" t="str">
        <f>B97</f>
        <v>Xeon Gold 5122 4 core (1 chip) 3600 MHz</v>
      </c>
      <c r="D188" s="2161">
        <f>C96</f>
        <v>0</v>
      </c>
      <c r="E188" s="2167">
        <f>D96</f>
        <v>0</v>
      </c>
      <c r="F188" s="2168">
        <f>F97</f>
        <v>0</v>
      </c>
      <c r="H188" s="2085" t="str">
        <f>Calculator!H165</f>
        <v>AGS Site</v>
      </c>
      <c r="I188" s="1838" t="s">
        <v>303</v>
      </c>
      <c r="J188" s="1673"/>
      <c r="K188" s="1674"/>
      <c r="L188" s="1674"/>
      <c r="M188" s="1672"/>
      <c r="N188" s="1674"/>
      <c r="O188" s="1674"/>
      <c r="P188" s="1674"/>
      <c r="Q188" s="1662"/>
      <c r="R188" s="1672"/>
      <c r="S188" s="1590"/>
      <c r="V188" s="394"/>
      <c r="W188" s="394"/>
      <c r="X188" s="394"/>
      <c r="Y188" s="394"/>
      <c r="Z188" s="394"/>
      <c r="AA188" s="394"/>
      <c r="AB188" s="394"/>
      <c r="AC188" s="1667"/>
      <c r="AD188" s="1663"/>
      <c r="AE188" s="3227"/>
      <c r="AF188" s="3227"/>
      <c r="AG188" s="3227"/>
      <c r="AH188" s="3227"/>
      <c r="AI188" s="3227"/>
      <c r="AJ188" s="3227"/>
      <c r="AK188" s="3227"/>
      <c r="AL188" s="3227"/>
      <c r="AM188" s="3227"/>
      <c r="AN188" s="3227"/>
      <c r="AO188" s="3227"/>
      <c r="AP188" s="3227"/>
      <c r="AQ188" s="3227"/>
      <c r="AR188" s="3227"/>
      <c r="AS188" s="3227"/>
      <c r="AT188" s="3227"/>
      <c r="AU188" s="3227"/>
      <c r="AV188" s="3227"/>
      <c r="AW188" s="3227"/>
      <c r="AX188" s="3227"/>
      <c r="AY188" s="3227"/>
      <c r="AZ188" s="3227"/>
      <c r="BA188" s="3227"/>
      <c r="BB188" s="3227"/>
      <c r="BC188" s="3227"/>
      <c r="BD188" s="3227"/>
      <c r="BO188" s="394"/>
      <c r="BP188" s="394"/>
      <c r="BQ188" s="394"/>
      <c r="BR188" s="394"/>
      <c r="BS188" s="394"/>
      <c r="BT188" s="394"/>
      <c r="BU188" s="1663"/>
      <c r="BV188" s="3227"/>
      <c r="BW188" s="3227"/>
      <c r="BX188" s="3227"/>
      <c r="BY188" s="3227"/>
      <c r="BZ188" s="3227"/>
      <c r="CA188" s="3227"/>
      <c r="CB188" s="3227"/>
      <c r="CC188" s="3227"/>
      <c r="CD188" s="3227"/>
      <c r="CE188" s="3227"/>
      <c r="DJ188" s="1662"/>
      <c r="DK188" s="1662"/>
      <c r="DL188" s="1662"/>
      <c r="DM188" s="1662"/>
      <c r="DN188" s="1662"/>
      <c r="DO188" s="1662"/>
      <c r="DQ188" s="1662"/>
      <c r="DS188" s="394"/>
      <c r="DT188" s="394"/>
      <c r="DW188" s="1662"/>
      <c r="DX188" s="394"/>
      <c r="DY188" s="394"/>
      <c r="EC188" s="1662"/>
      <c r="ED188" s="394"/>
      <c r="EH188" s="394"/>
      <c r="EI188" s="1662"/>
      <c r="EJ188" s="394"/>
      <c r="EN188" s="394"/>
      <c r="EO188" s="1662"/>
      <c r="EP188" s="394"/>
      <c r="ET188" s="394"/>
      <c r="EU188" s="1662"/>
      <c r="EV188" s="394"/>
      <c r="EZ188" s="394"/>
      <c r="FA188" s="1662"/>
      <c r="FB188" s="394"/>
      <c r="FF188" s="394"/>
      <c r="FG188" s="1662"/>
      <c r="FH188" s="394"/>
      <c r="FL188" s="394"/>
      <c r="FM188" s="1662"/>
      <c r="FN188" s="394"/>
      <c r="FR188" s="394"/>
      <c r="FS188" s="1662"/>
      <c r="FT188" s="394"/>
      <c r="FX188" s="394"/>
      <c r="FY188" s="1662"/>
      <c r="FZ188" s="394"/>
      <c r="GD188" s="394"/>
      <c r="GE188" s="1662"/>
      <c r="GF188" s="1662"/>
      <c r="GG188" s="394"/>
      <c r="GJ188" s="394"/>
      <c r="GK188" s="1662"/>
      <c r="GL188" s="1662"/>
      <c r="GM188" s="394"/>
      <c r="GO188" s="394"/>
      <c r="GP188" s="394"/>
      <c r="GQ188" s="1662"/>
      <c r="GR188" s="1662"/>
      <c r="GS188" s="394"/>
      <c r="GT188" s="394"/>
      <c r="HA188" s="1415"/>
    </row>
    <row r="189" spans="1:209" ht="12.75" hidden="1" customHeight="1" x14ac:dyDescent="0.2">
      <c r="A189" s="390"/>
      <c r="B189" s="390"/>
      <c r="C189" s="390"/>
      <c r="D189" s="390"/>
      <c r="E189" s="390"/>
      <c r="F189" s="390"/>
      <c r="H189" s="2005" t="str">
        <f>Calculator!H166</f>
        <v xml:space="preserve">Siloed </v>
      </c>
      <c r="I189" s="1839" t="s">
        <v>329</v>
      </c>
      <c r="R189" s="1672"/>
      <c r="S189" s="1590"/>
      <c r="T189" s="390"/>
    </row>
    <row r="190" spans="1:209" ht="12.75" hidden="1" customHeight="1" x14ac:dyDescent="0.15">
      <c r="A190" s="390"/>
      <c r="B190" s="390"/>
      <c r="H190" s="2387">
        <v>6363</v>
      </c>
      <c r="R190" s="1672"/>
      <c r="S190" s="1590"/>
    </row>
    <row r="191" spans="1:209" ht="15.75" hidden="1" customHeight="1" x14ac:dyDescent="0.15">
      <c r="A191" s="390"/>
      <c r="B191" s="390"/>
      <c r="H191" s="2389">
        <f>Calculator!N36</f>
        <v>1.35</v>
      </c>
      <c r="J191" s="1590"/>
      <c r="R191" s="1662"/>
      <c r="S191" s="390"/>
    </row>
    <row r="192" spans="1:209" ht="15.75" hidden="1" customHeight="1" x14ac:dyDescent="0.15">
      <c r="I192" s="2415">
        <f>H194*F75/58</f>
        <v>0</v>
      </c>
      <c r="J192" s="1847"/>
      <c r="R192" s="390"/>
      <c r="S192" s="394"/>
    </row>
    <row r="193" spans="7:10" ht="15.75" customHeight="1" x14ac:dyDescent="0.15">
      <c r="J193" s="1186"/>
    </row>
    <row r="194" spans="7:10" ht="15.75" customHeight="1" x14ac:dyDescent="0.15"/>
    <row r="195" spans="7:10" ht="12.75" customHeight="1" x14ac:dyDescent="0.15">
      <c r="H195" s="2413"/>
    </row>
    <row r="196" spans="7:10" ht="12.75" customHeight="1" x14ac:dyDescent="0.15"/>
    <row r="197" spans="7:10" x14ac:dyDescent="0.15">
      <c r="G197" s="320"/>
      <c r="H197" s="2414"/>
    </row>
    <row r="198" spans="7:10" x14ac:dyDescent="0.15">
      <c r="G198" s="1715"/>
    </row>
    <row r="199" spans="7:10" x14ac:dyDescent="0.15">
      <c r="G199" s="1716"/>
      <c r="H199" s="2414"/>
    </row>
    <row r="200" spans="7:10" x14ac:dyDescent="0.15">
      <c r="G200" s="1716"/>
    </row>
  </sheetData>
  <sheetProtection insertColumns="0" insertRows="0" deleteRows="0"/>
  <dataConsolidate link="1"/>
  <mergeCells count="45">
    <mergeCell ref="AD180:AD181"/>
    <mergeCell ref="DJ170:DO170"/>
    <mergeCell ref="DJ171:DO171"/>
    <mergeCell ref="DJ172:DO172"/>
    <mergeCell ref="DJ173:DO173"/>
    <mergeCell ref="DJ174:DO174"/>
    <mergeCell ref="DJ175:DO175"/>
    <mergeCell ref="V100:AE100"/>
    <mergeCell ref="CG73:CJ73"/>
    <mergeCell ref="CG77:CJ77"/>
    <mergeCell ref="CG81:CJ81"/>
    <mergeCell ref="Z82:AA82"/>
    <mergeCell ref="AA83:AB83"/>
    <mergeCell ref="AC83:AD83"/>
    <mergeCell ref="CG86:CJ86"/>
    <mergeCell ref="CG89:CJ89"/>
    <mergeCell ref="CG92:CJ92"/>
    <mergeCell ref="CG95:CJ95"/>
    <mergeCell ref="CG98:CJ98"/>
    <mergeCell ref="CG69:CJ69"/>
    <mergeCell ref="CG23:CJ23"/>
    <mergeCell ref="CG27:CJ27"/>
    <mergeCell ref="CG31:CJ31"/>
    <mergeCell ref="CG35:CJ35"/>
    <mergeCell ref="CG39:CJ39"/>
    <mergeCell ref="CG44:CJ44"/>
    <mergeCell ref="CG48:CJ48"/>
    <mergeCell ref="CG52:CJ52"/>
    <mergeCell ref="CG56:CJ56"/>
    <mergeCell ref="CG60:CJ60"/>
    <mergeCell ref="CG65:CJ65"/>
    <mergeCell ref="CH4:CK4"/>
    <mergeCell ref="CN4:CO4"/>
    <mergeCell ref="F19:G19"/>
    <mergeCell ref="M19:O19"/>
    <mergeCell ref="AA19:AB19"/>
    <mergeCell ref="AC19:AD19"/>
    <mergeCell ref="L3:M3"/>
    <mergeCell ref="O3:R3"/>
    <mergeCell ref="T3:U3"/>
    <mergeCell ref="E1:F1"/>
    <mergeCell ref="HB1:HC1"/>
    <mergeCell ref="BH2:BL2"/>
    <mergeCell ref="BM2:BN2"/>
    <mergeCell ref="CW2:DF2"/>
  </mergeCells>
  <conditionalFormatting sqref="BW16 BX5 BX8:BX16">
    <cfRule type="expression" dxfId="770" priority="802" stopIfTrue="1">
      <formula>IF(CV5&gt;0,BW5&gt;0,0)</formula>
    </cfRule>
  </conditionalFormatting>
  <conditionalFormatting sqref="CC16">
    <cfRule type="expression" dxfId="769" priority="801" stopIfTrue="1">
      <formula>IF(CV16=0,0,CC16&gt;0)</formula>
    </cfRule>
  </conditionalFormatting>
  <conditionalFormatting sqref="CD16">
    <cfRule type="expression" dxfId="768" priority="800" stopIfTrue="1">
      <formula>IF(CV16=0,0,CD16&gt;0)</formula>
    </cfRule>
  </conditionalFormatting>
  <conditionalFormatting sqref="CG16">
    <cfRule type="expression" dxfId="767" priority="799" stopIfTrue="1">
      <formula>IF(CV16=0,0,CG16&gt;0)</formula>
    </cfRule>
  </conditionalFormatting>
  <conditionalFormatting sqref="BR16">
    <cfRule type="expression" dxfId="766" priority="798" stopIfTrue="1">
      <formula>IF(CV16&gt;0,BR16&gt;0,0)</formula>
    </cfRule>
  </conditionalFormatting>
  <conditionalFormatting sqref="CE16">
    <cfRule type="expression" dxfId="765" priority="797" stopIfTrue="1">
      <formula>IF(CV16&gt;0,CE16&gt;0,0)</formula>
    </cfRule>
  </conditionalFormatting>
  <conditionalFormatting sqref="CG5 CG8:CG16">
    <cfRule type="expression" dxfId="764" priority="796" stopIfTrue="1">
      <formula>IF(CW5&gt;0,CG5&gt;0,0)</formula>
    </cfRule>
  </conditionalFormatting>
  <conditionalFormatting sqref="Z16">
    <cfRule type="expression" dxfId="763" priority="795" stopIfTrue="1">
      <formula>IF(V16&gt;0,Z16&gt;0,0)</formula>
    </cfRule>
  </conditionalFormatting>
  <conditionalFormatting sqref="AA16">
    <cfRule type="expression" dxfId="762" priority="794" stopIfTrue="1">
      <formula>IF(V16&gt;0,AA16&gt;0,0)</formula>
    </cfRule>
  </conditionalFormatting>
  <conditionalFormatting sqref="AB16">
    <cfRule type="expression" dxfId="761" priority="793" stopIfTrue="1">
      <formula>IF(V16&gt;0,AB16&gt;0,0)</formula>
    </cfRule>
  </conditionalFormatting>
  <conditionalFormatting sqref="AC16">
    <cfRule type="expression" dxfId="760" priority="792" stopIfTrue="1">
      <formula>IF(V16&gt;0,AC16&gt;0,0)</formula>
    </cfRule>
  </conditionalFormatting>
  <conditionalFormatting sqref="AE16">
    <cfRule type="expression" dxfId="759" priority="791" stopIfTrue="1">
      <formula>IF(V16&gt;0,AE16&gt;0,0)</formula>
    </cfRule>
  </conditionalFormatting>
  <conditionalFormatting sqref="CH16">
    <cfRule type="expression" dxfId="758" priority="790" stopIfTrue="1">
      <formula>IF(V16&gt;0,CH16&gt;0,0)</formula>
    </cfRule>
  </conditionalFormatting>
  <conditionalFormatting sqref="BE16">
    <cfRule type="expression" dxfId="757" priority="789" stopIfTrue="1">
      <formula>IF(V16&gt;0,BE16&gt;0,0)</formula>
    </cfRule>
  </conditionalFormatting>
  <conditionalFormatting sqref="BC16">
    <cfRule type="expression" dxfId="756" priority="788" stopIfTrue="1">
      <formula>IF(V16&gt;0,BC16&gt;0,0)</formula>
    </cfRule>
  </conditionalFormatting>
  <conditionalFormatting sqref="BB16">
    <cfRule type="expression" dxfId="755" priority="787" stopIfTrue="1">
      <formula>IF(C16&gt;0,BB16&gt;0,0)</formula>
    </cfRule>
  </conditionalFormatting>
  <conditionalFormatting sqref="AY16">
    <cfRule type="expression" dxfId="754" priority="786" stopIfTrue="1">
      <formula>IF(V16&gt;0,AY16&gt;0,0)</formula>
    </cfRule>
  </conditionalFormatting>
  <conditionalFormatting sqref="AW16">
    <cfRule type="expression" dxfId="753" priority="785" stopIfTrue="1">
      <formula>IF(V16&gt;0,AW16&gt;0,0)</formula>
    </cfRule>
  </conditionalFormatting>
  <conditionalFormatting sqref="AU16">
    <cfRule type="expression" dxfId="752" priority="784" stopIfTrue="1">
      <formula>IF(V16&gt;0,AU16&gt;0,0)</formula>
    </cfRule>
  </conditionalFormatting>
  <conditionalFormatting sqref="AS16">
    <cfRule type="expression" dxfId="751" priority="783" stopIfTrue="1">
      <formula>IF(V16&gt;0,AS16&gt;0,0)</formula>
    </cfRule>
  </conditionalFormatting>
  <conditionalFormatting sqref="AG16">
    <cfRule type="expression" dxfId="750" priority="782" stopIfTrue="1">
      <formula>IF(V16&gt;0,AG16&gt;0,0)</formula>
    </cfRule>
  </conditionalFormatting>
  <conditionalFormatting sqref="BB16">
    <cfRule type="expression" dxfId="749" priority="781" stopIfTrue="1">
      <formula>IF(V16&gt;0,BB16&gt;0,0)</formula>
    </cfRule>
  </conditionalFormatting>
  <conditionalFormatting sqref="BV16">
    <cfRule type="expression" dxfId="748" priority="780" stopIfTrue="1">
      <formula>IF(CV16&gt;0,BV16&gt;0,0)</formula>
    </cfRule>
  </conditionalFormatting>
  <conditionalFormatting sqref="BU16">
    <cfRule type="expression" dxfId="747" priority="779" stopIfTrue="1">
      <formula>IF(CV16&gt;0,BU16&gt;0,0)</formula>
    </cfRule>
  </conditionalFormatting>
  <conditionalFormatting sqref="BT16">
    <cfRule type="expression" dxfId="746" priority="778" stopIfTrue="1">
      <formula>IF(CV16&gt;0,BT16&gt;0,0)</formula>
    </cfRule>
  </conditionalFormatting>
  <conditionalFormatting sqref="BS16">
    <cfRule type="expression" dxfId="745" priority="777" stopIfTrue="1">
      <formula>IF(CV16&gt;0,BS16&gt;0,0)</formula>
    </cfRule>
  </conditionalFormatting>
  <conditionalFormatting sqref="BQ16">
    <cfRule type="expression" dxfId="744" priority="776" stopIfTrue="1">
      <formula>IF(CV16&gt;0,BQ16&gt;0,0)</formula>
    </cfRule>
  </conditionalFormatting>
  <conditionalFormatting sqref="BA16">
    <cfRule type="expression" dxfId="743" priority="775" stopIfTrue="1">
      <formula>IF(V16&gt;0,BA16&gt;0,0)</formula>
    </cfRule>
  </conditionalFormatting>
  <conditionalFormatting sqref="A23 A27 A31 A35 A39 A44 A69 A73 A77 A81">
    <cfRule type="expression" dxfId="742" priority="774" stopIfTrue="1">
      <formula>$A23&gt;0</formula>
    </cfRule>
  </conditionalFormatting>
  <conditionalFormatting sqref="T5 T8:T15">
    <cfRule type="expression" dxfId="741" priority="773" stopIfTrue="1">
      <formula>T5=CP5</formula>
    </cfRule>
  </conditionalFormatting>
  <conditionalFormatting sqref="CF5 CF8:CF16">
    <cfRule type="expression" dxfId="740" priority="772" stopIfTrue="1">
      <formula>IF(CW5&gt;0,CF5&gt;0,0)</formula>
    </cfRule>
  </conditionalFormatting>
  <conditionalFormatting sqref="BR5 BR8:BR16">
    <cfRule type="expression" dxfId="739" priority="771" stopIfTrue="1">
      <formula>IF(CW5&gt;0,BR5&gt;0,0)</formula>
    </cfRule>
  </conditionalFormatting>
  <conditionalFormatting sqref="CE5 CE8:CE16">
    <cfRule type="expression" dxfId="738" priority="770" stopIfTrue="1">
      <formula>IF(CW5&gt;0,CE5&gt;0,0)</formula>
    </cfRule>
  </conditionalFormatting>
  <conditionalFormatting sqref="BS5 BS8:BS16">
    <cfRule type="expression" dxfId="737" priority="769" stopIfTrue="1">
      <formula>IF(CW5&gt;0,BS5&gt;0,0)</formula>
    </cfRule>
  </conditionalFormatting>
  <conditionalFormatting sqref="BF5 BF8:BF16">
    <cfRule type="expression" dxfId="736" priority="768" stopIfTrue="1">
      <formula>IF(V5&gt;0,BF5&gt;0,0)</formula>
    </cfRule>
  </conditionalFormatting>
  <conditionalFormatting sqref="BE5 BE8:BE16">
    <cfRule type="expression" dxfId="735" priority="767" stopIfTrue="1">
      <formula>IF(V5&gt;0,BE5&gt;0,0)</formula>
    </cfRule>
  </conditionalFormatting>
  <conditionalFormatting sqref="BD5 BD8:BD16">
    <cfRule type="expression" dxfId="734" priority="766" stopIfTrue="1">
      <formula>IF(V5&gt;0,BD5&gt;0,0)</formula>
    </cfRule>
  </conditionalFormatting>
  <conditionalFormatting sqref="BC5 BC8:BC16">
    <cfRule type="expression" dxfId="733" priority="765" stopIfTrue="1">
      <formula>IF(V5&gt;0,BC5&gt;0,0)</formula>
    </cfRule>
  </conditionalFormatting>
  <conditionalFormatting sqref="BA5 BA8:BA15">
    <cfRule type="expression" dxfId="732" priority="764" stopIfTrue="1">
      <formula>IF(V5&gt;0,BA5&gt;0,0)</formula>
    </cfRule>
  </conditionalFormatting>
  <conditionalFormatting sqref="AA5 AA8:AA15">
    <cfRule type="expression" dxfId="731" priority="763" stopIfTrue="1">
      <formula>IF(V5&gt;0,AA5&gt;0,0)</formula>
    </cfRule>
  </conditionalFormatting>
  <conditionalFormatting sqref="AC5 AC8:AC15">
    <cfRule type="expression" dxfId="730" priority="762" stopIfTrue="1">
      <formula>IF(V5&gt;0,AC5&gt;0,0)</formula>
    </cfRule>
  </conditionalFormatting>
  <conditionalFormatting sqref="AG5 AG8:AG15">
    <cfRule type="expression" dxfId="729" priority="761" stopIfTrue="1">
      <formula>IF(V5&gt;0,AG5&gt;0,0)</formula>
    </cfRule>
  </conditionalFormatting>
  <conditionalFormatting sqref="AS5 AS8:AS15">
    <cfRule type="expression" dxfId="728" priority="760" stopIfTrue="1">
      <formula>IF(V5&gt;0,AS5&gt;0,0)</formula>
    </cfRule>
  </conditionalFormatting>
  <conditionalFormatting sqref="AU5 AU8:AU15">
    <cfRule type="expression" dxfId="727" priority="759" stopIfTrue="1">
      <formula>IF(V5&gt;0,AU5&gt;0,0)</formula>
    </cfRule>
  </conditionalFormatting>
  <conditionalFormatting sqref="AW5 AW8:AW15">
    <cfRule type="expression" dxfId="726" priority="758" stopIfTrue="1">
      <formula>IF(V5&gt;0,AW5&gt;0,0)</formula>
    </cfRule>
  </conditionalFormatting>
  <conditionalFormatting sqref="AY5 AY8:AY15">
    <cfRule type="expression" dxfId="725" priority="757" stopIfTrue="1">
      <formula>IF(V5&gt;0,AY5&gt;0,0)</formula>
    </cfRule>
  </conditionalFormatting>
  <conditionalFormatting sqref="AD5 AD8:AD16">
    <cfRule type="expression" dxfId="724" priority="756" stopIfTrue="1">
      <formula>IF(V5&gt;0,AD5&gt;0,0)</formula>
    </cfRule>
  </conditionalFormatting>
  <conditionalFormatting sqref="AE5 AE8:AE15">
    <cfRule type="expression" dxfId="723" priority="755" stopIfTrue="1">
      <formula>IF(V5&gt;0,AE5&gt;0,0)</formula>
    </cfRule>
  </conditionalFormatting>
  <conditionalFormatting sqref="I21 I25 I29 I33 I37 I42 I67 I71 I75 I79">
    <cfRule type="expression" dxfId="722" priority="753" stopIfTrue="1">
      <formula>IF(VLOOKUP(B21,HWRange,7,FALSE)=F21,FALSE,TRUE)</formula>
    </cfRule>
    <cfRule type="expression" dxfId="721" priority="754" stopIfTrue="1">
      <formula>IF(I22=$J$163,FALSE,TRUE)</formula>
    </cfRule>
  </conditionalFormatting>
  <conditionalFormatting sqref="A18">
    <cfRule type="expression" dxfId="720" priority="752" stopIfTrue="1">
      <formula>IF(#REF!&gt;0,U18&gt;0,0)</formula>
    </cfRule>
  </conditionalFormatting>
  <conditionalFormatting sqref="T20:T39 T41:T44 T66:T82">
    <cfRule type="expression" dxfId="719" priority="751" stopIfTrue="1">
      <formula>IF(U20&gt;0.5*T20, TRUE, "")</formula>
    </cfRule>
  </conditionalFormatting>
  <conditionalFormatting sqref="U82 U20:U22 U24:U26 U28:U30 U32:U34 U36:U38 U41:U43 U66:U68 U70:U72 U74:U76 U78:U80">
    <cfRule type="expression" dxfId="718" priority="750" stopIfTrue="1">
      <formula>T20&lt;0.5*U20</formula>
    </cfRule>
  </conditionalFormatting>
  <conditionalFormatting sqref="V20 V24 V28 V32 V36 V41 V66 V70 V78:AD78 V74 X74:AD74 X70:AD70 X66:AD66 X41:AD41 X36:AD36 X32:AD32 X24:AD24 X20:AD20 X28:AD28">
    <cfRule type="expression" dxfId="717" priority="748" stopIfTrue="1">
      <formula>IF(V22&gt;0,IF(V20&gt;$H20,V20,0))</formula>
    </cfRule>
    <cfRule type="expression" dxfId="716" priority="749" stopIfTrue="1">
      <formula>IF(V22&gt;0,IF(V20&gt;0.5,V20,0))</formula>
    </cfRule>
  </conditionalFormatting>
  <conditionalFormatting sqref="H20 H24 H28 H32 H36 H41 H66 H70 H74 H78">
    <cfRule type="expression" dxfId="715" priority="747" stopIfTrue="1">
      <formula>H20&gt;1</formula>
    </cfRule>
  </conditionalFormatting>
  <conditionalFormatting sqref="O30 O26 O22 O34 O38 O43 O68 O72 O76 O80 E20 E32 E24 E28 E36 E41 E66 E70 E74 E78 A22 A34 A38 A76 A80 E45 E49 E53 E57 E62">
    <cfRule type="expression" dxfId="714" priority="746" stopIfTrue="1">
      <formula>$DG$1=$DG$2</formula>
    </cfRule>
  </conditionalFormatting>
  <conditionalFormatting sqref="A26 A30 A43 A68 A72">
    <cfRule type="expression" dxfId="713" priority="745" stopIfTrue="1">
      <formula>$DG$1=$DG$2</formula>
    </cfRule>
  </conditionalFormatting>
  <conditionalFormatting sqref="E21 E25 E29 E33 E37 E42 E67 E71 E75 E79">
    <cfRule type="expression" dxfId="712" priority="744" stopIfTrue="1">
      <formula>IF(I22=$J$163,FALSE,TRUE)</formula>
    </cfRule>
  </conditionalFormatting>
  <conditionalFormatting sqref="F21 F25 F29 F33 F37 F42 F67 F71 F75 F79">
    <cfRule type="expression" dxfId="711" priority="743" stopIfTrue="1">
      <formula>IF(I22=$J$163,FALSE,TRUE)</formula>
    </cfRule>
  </conditionalFormatting>
  <conditionalFormatting sqref="G21 G25 G29 G33 G37 G42 G67 G71 G75 G79">
    <cfRule type="expression" dxfId="710" priority="742" stopIfTrue="1">
      <formula>IF(I22=$J$163,FALSE,TRUE)</formula>
    </cfRule>
  </conditionalFormatting>
  <conditionalFormatting sqref="U85">
    <cfRule type="expression" dxfId="709" priority="741" stopIfTrue="1">
      <formula>T85&lt;0.5*U85</formula>
    </cfRule>
  </conditionalFormatting>
  <conditionalFormatting sqref="U88">
    <cfRule type="expression" dxfId="708" priority="740" stopIfTrue="1">
      <formula>T88&lt;0.5*U88</formula>
    </cfRule>
  </conditionalFormatting>
  <conditionalFormatting sqref="U91">
    <cfRule type="expression" dxfId="707" priority="739" stopIfTrue="1">
      <formula>T91&lt;0.5*U91</formula>
    </cfRule>
  </conditionalFormatting>
  <conditionalFormatting sqref="CG92 B86:C86 CG86 CG89">
    <cfRule type="expression" dxfId="706" priority="738" stopIfTrue="1">
      <formula>IF(OR(#REF!=0,#REF!=#REF!),FALSE,TRUE)</formula>
    </cfRule>
  </conditionalFormatting>
  <conditionalFormatting sqref="U99 U90 U84 U87">
    <cfRule type="expression" dxfId="705" priority="737" stopIfTrue="1">
      <formula>#REF!&lt;0.5*#REF!</formula>
    </cfRule>
  </conditionalFormatting>
  <conditionalFormatting sqref="I90 I84 I87">
    <cfRule type="expression" dxfId="704" priority="736" stopIfTrue="1">
      <formula>#REF!&gt;1</formula>
    </cfRule>
  </conditionalFormatting>
  <conditionalFormatting sqref="O91 A91">
    <cfRule type="expression" dxfId="703" priority="735" stopIfTrue="1">
      <formula>#REF!=#REF!</formula>
    </cfRule>
  </conditionalFormatting>
  <conditionalFormatting sqref="C91 C88 C85">
    <cfRule type="expression" dxfId="702" priority="734" stopIfTrue="1">
      <formula>IF(#REF!=#REF!,FALSE,TRUE)</formula>
    </cfRule>
  </conditionalFormatting>
  <conditionalFormatting sqref="I85 I88 I91">
    <cfRule type="expression" dxfId="701" priority="733" stopIfTrue="1">
      <formula>IF(#REF!=#REF!,FALSE,TRUE)</formula>
    </cfRule>
  </conditionalFormatting>
  <conditionalFormatting sqref="A90 A87 A84">
    <cfRule type="expression" dxfId="700" priority="731" stopIfTrue="1">
      <formula>#REF!&gt;1</formula>
    </cfRule>
    <cfRule type="expression" dxfId="699" priority="732" stopIfTrue="1">
      <formula>IF(#REF!=#REF!,FALSE,TRUE)</formula>
    </cfRule>
  </conditionalFormatting>
  <conditionalFormatting sqref="B85 B88 B91">
    <cfRule type="expression" dxfId="698" priority="729" stopIfTrue="1">
      <formula>IF(OR(K84=1,A84&gt;1),1,0)</formula>
    </cfRule>
    <cfRule type="expression" dxfId="697" priority="730" stopIfTrue="1">
      <formula>$E84&gt;$L84*$F85</formula>
    </cfRule>
  </conditionalFormatting>
  <conditionalFormatting sqref="D84 D87 D90">
    <cfRule type="expression" dxfId="696" priority="728" stopIfTrue="1">
      <formula>IF(#REF!=#REF!,FALSE,TRUE)</formula>
    </cfRule>
  </conditionalFormatting>
  <conditionalFormatting sqref="F87">
    <cfRule type="expression" dxfId="695" priority="727" stopIfTrue="1">
      <formula>IF(#REF!=#REF!,FALSE,TRUE)</formula>
    </cfRule>
  </conditionalFormatting>
  <conditionalFormatting sqref="G87">
    <cfRule type="expression" dxfId="694" priority="726" stopIfTrue="1">
      <formula>IF(#REF!=#REF!,FALSE,TRUE)</formula>
    </cfRule>
  </conditionalFormatting>
  <conditionalFormatting sqref="J85 A88 J88">
    <cfRule type="expression" dxfId="693" priority="725" stopIfTrue="1">
      <formula>#REF!=#REF!</formula>
    </cfRule>
  </conditionalFormatting>
  <conditionalFormatting sqref="A85">
    <cfRule type="expression" dxfId="692" priority="724" stopIfTrue="1">
      <formula>#REF!=#REF!</formula>
    </cfRule>
  </conditionalFormatting>
  <conditionalFormatting sqref="A86">
    <cfRule type="expression" dxfId="691" priority="723" stopIfTrue="1">
      <formula>$A84&gt;0</formula>
    </cfRule>
  </conditionalFormatting>
  <conditionalFormatting sqref="F84">
    <cfRule type="expression" dxfId="690" priority="722" stopIfTrue="1">
      <formula>IF(#REF!=#REF!,FALSE,TRUE)</formula>
    </cfRule>
  </conditionalFormatting>
  <conditionalFormatting sqref="G84">
    <cfRule type="expression" dxfId="689" priority="721" stopIfTrue="1">
      <formula>IF(#REF!=#REF!,FALSE,TRUE)</formula>
    </cfRule>
  </conditionalFormatting>
  <conditionalFormatting sqref="F90">
    <cfRule type="expression" dxfId="688" priority="720" stopIfTrue="1">
      <formula>IF(#REF!=#REF!,FALSE,TRUE)</formula>
    </cfRule>
  </conditionalFormatting>
  <conditionalFormatting sqref="G90">
    <cfRule type="expression" dxfId="687" priority="719" stopIfTrue="1">
      <formula>IF(#REF!=#REF!,FALSE,TRUE)</formula>
    </cfRule>
  </conditionalFormatting>
  <conditionalFormatting sqref="B89">
    <cfRule type="expression" dxfId="686" priority="718" stopIfTrue="1">
      <formula>IF(OR(#REF!=0,#REF!=#REF!),FALSE,TRUE)</formula>
    </cfRule>
  </conditionalFormatting>
  <conditionalFormatting sqref="B92">
    <cfRule type="expression" dxfId="685" priority="717" stopIfTrue="1">
      <formula>IF(OR(#REF!=0,#REF!=#REF!),FALSE,TRUE)</formula>
    </cfRule>
  </conditionalFormatting>
  <conditionalFormatting sqref="O88">
    <cfRule type="expression" dxfId="684" priority="716" stopIfTrue="1">
      <formula>#REF!=#REF!</formula>
    </cfRule>
  </conditionalFormatting>
  <conditionalFormatting sqref="O85">
    <cfRule type="expression" dxfId="683" priority="715" stopIfTrue="1">
      <formula>#REF!=#REF!</formula>
    </cfRule>
  </conditionalFormatting>
  <conditionalFormatting sqref="C89">
    <cfRule type="expression" dxfId="682" priority="714" stopIfTrue="1">
      <formula>IF(OR(#REF!=0,#REF!=#REF!),FALSE,TRUE)</formula>
    </cfRule>
  </conditionalFormatting>
  <conditionalFormatting sqref="C92">
    <cfRule type="expression" dxfId="681" priority="713" stopIfTrue="1">
      <formula>IF(OR(#REF!=0,#REF!=#REF!),FALSE,TRUE)</formula>
    </cfRule>
  </conditionalFormatting>
  <conditionalFormatting sqref="V21 V25 V29 V33 V37 V42 V67 V71 V79:AD79 V75 X75:AD75 X71:AD71 X67:AD67 X42:AD42 X37:AD37 X33:AD33 X25:AD25 X21:AD21 X29:AD29">
    <cfRule type="expression" dxfId="680" priority="711" stopIfTrue="1">
      <formula>IF(V22&gt;0,IF($A21&gt;0.25,$A21),"false")</formula>
    </cfRule>
    <cfRule type="expression" dxfId="679" priority="712" stopIfTrue="1">
      <formula>IF(V22&gt;0,$A21,0)</formula>
    </cfRule>
  </conditionalFormatting>
  <conditionalFormatting sqref="V84:AC84 V87:AC87 V90:AC90">
    <cfRule type="expression" dxfId="678" priority="708" stopIfTrue="1">
      <formula>IF(V85=0,0,IF($A84&gt;$I84,1,0))</formula>
    </cfRule>
    <cfRule type="expression" dxfId="677" priority="709" stopIfTrue="1">
      <formula>IF(V85=0,0,IF($A84&gt;0.5,1,0))</formula>
    </cfRule>
    <cfRule type="expression" dxfId="676" priority="710" stopIfTrue="1">
      <formula>IF(V85=0,0,IF($A84&gt;0,1,0))</formula>
    </cfRule>
  </conditionalFormatting>
  <conditionalFormatting sqref="A89">
    <cfRule type="expression" dxfId="675" priority="707" stopIfTrue="1">
      <formula>$A87&gt;0</formula>
    </cfRule>
  </conditionalFormatting>
  <conditionalFormatting sqref="A92">
    <cfRule type="expression" dxfId="674" priority="706" stopIfTrue="1">
      <formula>$A90&gt;0</formula>
    </cfRule>
  </conditionalFormatting>
  <conditionalFormatting sqref="E84 E87 E90">
    <cfRule type="expression" dxfId="673" priority="705" stopIfTrue="1">
      <formula>$E84&gt;$L84*$F85</formula>
    </cfRule>
  </conditionalFormatting>
  <conditionalFormatting sqref="R5 R8:R15">
    <cfRule type="expression" dxfId="672" priority="704" stopIfTrue="1">
      <formula>CX5&gt;0</formula>
    </cfRule>
  </conditionalFormatting>
  <conditionalFormatting sqref="BW5 BW8:BW16">
    <cfRule type="expression" dxfId="671" priority="703" stopIfTrue="1">
      <formula>IF(CW5&gt;0,BW5&gt;0,0)</formula>
    </cfRule>
  </conditionalFormatting>
  <conditionalFormatting sqref="CC5 CC8:CC16">
    <cfRule type="expression" dxfId="670" priority="702" stopIfTrue="1">
      <formula>IF(CW5&gt;0,CC5&gt;0,0)</formula>
    </cfRule>
  </conditionalFormatting>
  <conditionalFormatting sqref="CD5 CD8:CD16">
    <cfRule type="expression" dxfId="669" priority="701" stopIfTrue="1">
      <formula>IF(CW5&gt;0,CD5&gt;0,0)</formula>
    </cfRule>
  </conditionalFormatting>
  <conditionalFormatting sqref="BV5 BV8:BV16">
    <cfRule type="expression" dxfId="668" priority="700" stopIfTrue="1">
      <formula>IF(CW5&gt;0,BV5&gt;0,0)</formula>
    </cfRule>
  </conditionalFormatting>
  <conditionalFormatting sqref="BU5 BU8:BU16">
    <cfRule type="expression" dxfId="667" priority="699" stopIfTrue="1">
      <formula>IF(CW5&gt;0,BU5&gt;0,0)</formula>
    </cfRule>
  </conditionalFormatting>
  <conditionalFormatting sqref="BT5 BT8:BT16">
    <cfRule type="expression" dxfId="666" priority="698" stopIfTrue="1">
      <formula>IF(CW5&gt;0,BT5&gt;0,0)</formula>
    </cfRule>
  </conditionalFormatting>
  <conditionalFormatting sqref="BQ5 BQ8:BQ16">
    <cfRule type="expression" dxfId="665" priority="697" stopIfTrue="1">
      <formula>IF(CW5&gt;0,BQ5&gt;0,0)</formula>
    </cfRule>
  </conditionalFormatting>
  <conditionalFormatting sqref="AD84">
    <cfRule type="expression" dxfId="664" priority="695" stopIfTrue="1">
      <formula>$E84&gt;$L84*$F85</formula>
    </cfRule>
    <cfRule type="expression" dxfId="663" priority="696" stopIfTrue="1">
      <formula>IF(#REF!=#REF!,FALSE,TRUE)</formula>
    </cfRule>
  </conditionalFormatting>
  <conditionalFormatting sqref="AD87">
    <cfRule type="expression" dxfId="662" priority="693" stopIfTrue="1">
      <formula>$E87&gt;$L87*$F88</formula>
    </cfRule>
    <cfRule type="expression" dxfId="661" priority="694" stopIfTrue="1">
      <formula>IF(#REF!=#REF!,FALSE,TRUE)</formula>
    </cfRule>
  </conditionalFormatting>
  <conditionalFormatting sqref="AD90">
    <cfRule type="expression" dxfId="660" priority="691" stopIfTrue="1">
      <formula>$E90&gt;$L90*$F91</formula>
    </cfRule>
    <cfRule type="expression" dxfId="659" priority="692" stopIfTrue="1">
      <formula>IF(#REF!=#REF!,FALSE,TRUE)</formula>
    </cfRule>
  </conditionalFormatting>
  <conditionalFormatting sqref="CE10:CE12">
    <cfRule type="expression" dxfId="658" priority="690" stopIfTrue="1">
      <formula>IF(CW10&gt;0,CE10&gt;0,0)</formula>
    </cfRule>
  </conditionalFormatting>
  <conditionalFormatting sqref="AB5 Z5 AF5 AH5 AT5 AV5 AX5 AZ5 BB5 AR5 AP5 AN5 AL5 AJ5 AF13:AF14 AT13:AT14 AV13:AV14 AX13:AX14 AZ13:AZ14 BB13:BB14 AR13:AR14 AN13:AN14 AN8:AN9 AR8:AR9 BB8:BB9 AZ8:AZ9 AX8:AX9 AV8:AV9 AT8:AT9 AF8:AF9 AH8:AH15 AP8:AP15 AL8:AL15 AJ8:AJ15 AB8:AB16 Z8:Z16">
    <cfRule type="expression" dxfId="657" priority="688" stopIfTrue="1">
      <formula>IF($V5&gt;0,Z5&gt;0,0)</formula>
    </cfRule>
  </conditionalFormatting>
  <conditionalFormatting sqref="W78">
    <cfRule type="expression" dxfId="656" priority="678">
      <formula>$W79="Standby"</formula>
    </cfRule>
  </conditionalFormatting>
  <conditionalFormatting sqref="W79">
    <cfRule type="expression" dxfId="655" priority="677">
      <formula>$W79="Standby"</formula>
    </cfRule>
  </conditionalFormatting>
  <conditionalFormatting sqref="W74">
    <cfRule type="expression" dxfId="654" priority="675" stopIfTrue="1">
      <formula>IF(W76&gt;0,IF(W74&gt;$H74,W74,0))</formula>
    </cfRule>
    <cfRule type="expression" dxfId="653" priority="676" stopIfTrue="1">
      <formula>IF(W76&gt;0,IF(W74&gt;0.5,W74,0))</formula>
    </cfRule>
  </conditionalFormatting>
  <conditionalFormatting sqref="W70">
    <cfRule type="expression" dxfId="652" priority="673" stopIfTrue="1">
      <formula>IF(W72&gt;0,IF(W70&gt;$H70,W70,0))</formula>
    </cfRule>
    <cfRule type="expression" dxfId="651" priority="674" stopIfTrue="1">
      <formula>IF(W72&gt;0,IF(W70&gt;0.5,W70,0))</formula>
    </cfRule>
  </conditionalFormatting>
  <conditionalFormatting sqref="W80">
    <cfRule type="expression" dxfId="650" priority="672">
      <formula>$W79="Standby"</formula>
    </cfRule>
  </conditionalFormatting>
  <conditionalFormatting sqref="W74">
    <cfRule type="expression" dxfId="649" priority="671">
      <formula>$W75="Standby"</formula>
    </cfRule>
  </conditionalFormatting>
  <conditionalFormatting sqref="W76">
    <cfRule type="expression" dxfId="648" priority="670">
      <formula>$W75="Standby"</formula>
    </cfRule>
  </conditionalFormatting>
  <conditionalFormatting sqref="W70">
    <cfRule type="expression" dxfId="647" priority="669">
      <formula>$W71="Standby"</formula>
    </cfRule>
  </conditionalFormatting>
  <conditionalFormatting sqref="W72">
    <cfRule type="expression" dxfId="646" priority="668">
      <formula>$W71="Standby"</formula>
    </cfRule>
  </conditionalFormatting>
  <conditionalFormatting sqref="W66">
    <cfRule type="expression" dxfId="645" priority="666" stopIfTrue="1">
      <formula>IF(W68&gt;0,IF(W66&gt;$H66,W66,0))</formula>
    </cfRule>
    <cfRule type="expression" dxfId="644" priority="667" stopIfTrue="1">
      <formula>IF(W68&gt;0,IF(W66&gt;0.5,W66,0))</formula>
    </cfRule>
  </conditionalFormatting>
  <conditionalFormatting sqref="W66">
    <cfRule type="expression" dxfId="643" priority="665">
      <formula>$W67="Standby"</formula>
    </cfRule>
  </conditionalFormatting>
  <conditionalFormatting sqref="W68">
    <cfRule type="expression" dxfId="642" priority="664">
      <formula>$W67="Standby"</formula>
    </cfRule>
  </conditionalFormatting>
  <conditionalFormatting sqref="W41">
    <cfRule type="expression" dxfId="641" priority="662" stopIfTrue="1">
      <formula>IF(W43&gt;0,IF(W41&gt;$H41,W41,0))</formula>
    </cfRule>
    <cfRule type="expression" dxfId="640" priority="663" stopIfTrue="1">
      <formula>IF(W43&gt;0,IF(W41&gt;0.5,W41,0))</formula>
    </cfRule>
  </conditionalFormatting>
  <conditionalFormatting sqref="W41">
    <cfRule type="expression" dxfId="639" priority="661">
      <formula>$W42="Standby"</formula>
    </cfRule>
  </conditionalFormatting>
  <conditionalFormatting sqref="W43">
    <cfRule type="expression" dxfId="638" priority="660">
      <formula>$W42="Standby"</formula>
    </cfRule>
  </conditionalFormatting>
  <conditionalFormatting sqref="W36">
    <cfRule type="expression" dxfId="637" priority="658" stopIfTrue="1">
      <formula>IF(W38&gt;0,IF(W36&gt;$H36,W36,0))</formula>
    </cfRule>
    <cfRule type="expression" dxfId="636" priority="659" stopIfTrue="1">
      <formula>IF(W38&gt;0,IF(W36&gt;0.5,W36,0))</formula>
    </cfRule>
  </conditionalFormatting>
  <conditionalFormatting sqref="W36">
    <cfRule type="expression" dxfId="635" priority="657">
      <formula>$W37="Standby"</formula>
    </cfRule>
  </conditionalFormatting>
  <conditionalFormatting sqref="W38">
    <cfRule type="expression" dxfId="634" priority="656">
      <formula>$W37="Standby"</formula>
    </cfRule>
  </conditionalFormatting>
  <conditionalFormatting sqref="W32">
    <cfRule type="expression" dxfId="633" priority="654" stopIfTrue="1">
      <formula>IF(W34&gt;0,IF(W32&gt;$H32,W32,0))</formula>
    </cfRule>
    <cfRule type="expression" dxfId="632" priority="655" stopIfTrue="1">
      <formula>IF(W34&gt;0,IF(W32&gt;0.5,W32,0))</formula>
    </cfRule>
  </conditionalFormatting>
  <conditionalFormatting sqref="W32">
    <cfRule type="expression" dxfId="631" priority="653">
      <formula>$W33="Standby"</formula>
    </cfRule>
  </conditionalFormatting>
  <conditionalFormatting sqref="W34">
    <cfRule type="expression" dxfId="630" priority="652">
      <formula>$W33="Standby"</formula>
    </cfRule>
  </conditionalFormatting>
  <conditionalFormatting sqref="W28">
    <cfRule type="expression" dxfId="629" priority="650" stopIfTrue="1">
      <formula>IF(W30&gt;0,IF(W28&gt;$H28,W28,0))</formula>
    </cfRule>
    <cfRule type="expression" dxfId="628" priority="651" stopIfTrue="1">
      <formula>IF(W30&gt;0,IF(W28&gt;0.5,W28,0))</formula>
    </cfRule>
  </conditionalFormatting>
  <conditionalFormatting sqref="W28">
    <cfRule type="expression" dxfId="627" priority="649">
      <formula>$W29="Standby"</formula>
    </cfRule>
  </conditionalFormatting>
  <conditionalFormatting sqref="W30">
    <cfRule type="expression" dxfId="626" priority="648">
      <formula>$W29="Standby"</formula>
    </cfRule>
  </conditionalFormatting>
  <conditionalFormatting sqref="W24">
    <cfRule type="expression" dxfId="625" priority="646" stopIfTrue="1">
      <formula>IF(W26&gt;0,IF(W24&gt;$H24,W24,0))</formula>
    </cfRule>
    <cfRule type="expression" dxfId="624" priority="647" stopIfTrue="1">
      <formula>IF(W26&gt;0,IF(W24&gt;0.5,W24,0))</formula>
    </cfRule>
  </conditionalFormatting>
  <conditionalFormatting sqref="W24">
    <cfRule type="expression" dxfId="623" priority="645">
      <formula>$W25="Standby"</formula>
    </cfRule>
  </conditionalFormatting>
  <conditionalFormatting sqref="W26">
    <cfRule type="expression" dxfId="622" priority="644">
      <formula>$W25="Standby"</formula>
    </cfRule>
  </conditionalFormatting>
  <conditionalFormatting sqref="W20">
    <cfRule type="expression" dxfId="621" priority="642" stopIfTrue="1">
      <formula>IF(W22&gt;0,IF(W20&gt;$H20,W20,0))</formula>
    </cfRule>
    <cfRule type="expression" dxfId="620" priority="643" stopIfTrue="1">
      <formula>IF(W22&gt;0,IF(W20&gt;0.5,W20,0))</formula>
    </cfRule>
  </conditionalFormatting>
  <conditionalFormatting sqref="W20">
    <cfRule type="expression" dxfId="619" priority="641">
      <formula>$W21="Standby"</formula>
    </cfRule>
  </conditionalFormatting>
  <conditionalFormatting sqref="W22">
    <cfRule type="expression" dxfId="618" priority="640">
      <formula>$W21="Standby"</formula>
    </cfRule>
  </conditionalFormatting>
  <conditionalFormatting sqref="W75">
    <cfRule type="expression" dxfId="617" priority="638" stopIfTrue="1">
      <formula>IF(W76&gt;0,IF($A75&gt;0.25,$A75),"false")</formula>
    </cfRule>
    <cfRule type="expression" dxfId="616" priority="639" stopIfTrue="1">
      <formula>IF(W76&gt;0,$A75,0)</formula>
    </cfRule>
  </conditionalFormatting>
  <conditionalFormatting sqref="W75">
    <cfRule type="expression" dxfId="615" priority="637">
      <formula>$W75="Standby"</formula>
    </cfRule>
  </conditionalFormatting>
  <conditionalFormatting sqref="W71">
    <cfRule type="expression" dxfId="614" priority="635" stopIfTrue="1">
      <formula>IF(W72&gt;0,IF($A71&gt;0.25,$A71),"false")</formula>
    </cfRule>
    <cfRule type="expression" dxfId="613" priority="636" stopIfTrue="1">
      <formula>IF(W72&gt;0,$A71,0)</formula>
    </cfRule>
  </conditionalFormatting>
  <conditionalFormatting sqref="W71">
    <cfRule type="expression" dxfId="612" priority="634">
      <formula>$W71="Standby"</formula>
    </cfRule>
  </conditionalFormatting>
  <conditionalFormatting sqref="W67">
    <cfRule type="expression" dxfId="611" priority="632" stopIfTrue="1">
      <formula>IF(W68&gt;0,IF($A67&gt;0.25,$A67),"false")</formula>
    </cfRule>
    <cfRule type="expression" dxfId="610" priority="633" stopIfTrue="1">
      <formula>IF(W68&gt;0,$A67,0)</formula>
    </cfRule>
  </conditionalFormatting>
  <conditionalFormatting sqref="W67">
    <cfRule type="expression" dxfId="609" priority="631">
      <formula>$W67="Standby"</formula>
    </cfRule>
  </conditionalFormatting>
  <conditionalFormatting sqref="W42">
    <cfRule type="expression" dxfId="608" priority="629" stopIfTrue="1">
      <formula>IF(W43&gt;0,IF($A42&gt;0.25,$A42),"false")</formula>
    </cfRule>
    <cfRule type="expression" dxfId="607" priority="630" stopIfTrue="1">
      <formula>IF(W43&gt;0,$A42,0)</formula>
    </cfRule>
  </conditionalFormatting>
  <conditionalFormatting sqref="W42">
    <cfRule type="expression" dxfId="606" priority="628">
      <formula>$W42="Standby"</formula>
    </cfRule>
  </conditionalFormatting>
  <conditionalFormatting sqref="W37">
    <cfRule type="expression" dxfId="605" priority="626" stopIfTrue="1">
      <formula>IF(W38&gt;0,IF($A37&gt;0.25,$A37),"false")</formula>
    </cfRule>
    <cfRule type="expression" dxfId="604" priority="627" stopIfTrue="1">
      <formula>IF(W38&gt;0,$A37,0)</formula>
    </cfRule>
  </conditionalFormatting>
  <conditionalFormatting sqref="W37">
    <cfRule type="expression" dxfId="603" priority="625">
      <formula>$W37="Standby"</formula>
    </cfRule>
  </conditionalFormatting>
  <conditionalFormatting sqref="W33">
    <cfRule type="expression" dxfId="602" priority="623" stopIfTrue="1">
      <formula>IF(W34&gt;0,IF($A33&gt;0.25,$A33),"false")</formula>
    </cfRule>
    <cfRule type="expression" dxfId="601" priority="624" stopIfTrue="1">
      <formula>IF(W34&gt;0,$A33,0)</formula>
    </cfRule>
  </conditionalFormatting>
  <conditionalFormatting sqref="W33">
    <cfRule type="expression" dxfId="600" priority="622">
      <formula>$W33="Standby"</formula>
    </cfRule>
  </conditionalFormatting>
  <conditionalFormatting sqref="W29">
    <cfRule type="expression" dxfId="599" priority="620" stopIfTrue="1">
      <formula>IF(W30&gt;0,IF($A29&gt;0.25,$A29),"false")</formula>
    </cfRule>
    <cfRule type="expression" dxfId="598" priority="621" stopIfTrue="1">
      <formula>IF(W30&gt;0,$A29,0)</formula>
    </cfRule>
  </conditionalFormatting>
  <conditionalFormatting sqref="W29">
    <cfRule type="expression" dxfId="597" priority="619">
      <formula>$W29="Standby"</formula>
    </cfRule>
  </conditionalFormatting>
  <conditionalFormatting sqref="W25">
    <cfRule type="expression" dxfId="596" priority="617" stopIfTrue="1">
      <formula>IF(W26&gt;0,IF($A25&gt;0.25,$A25),"false")</formula>
    </cfRule>
    <cfRule type="expression" dxfId="595" priority="618" stopIfTrue="1">
      <formula>IF(W26&gt;0,$A25,0)</formula>
    </cfRule>
  </conditionalFormatting>
  <conditionalFormatting sqref="W25">
    <cfRule type="expression" dxfId="594" priority="616">
      <formula>$W25="Standby"</formula>
    </cfRule>
  </conditionalFormatting>
  <conditionalFormatting sqref="W21">
    <cfRule type="expression" dxfId="593" priority="614" stopIfTrue="1">
      <formula>IF(W22&gt;0,IF($A21&gt;0.25,$A21),"false")</formula>
    </cfRule>
    <cfRule type="expression" dxfId="592" priority="615" stopIfTrue="1">
      <formula>IF(W22&gt;0,$A21,0)</formula>
    </cfRule>
  </conditionalFormatting>
  <conditionalFormatting sqref="W21">
    <cfRule type="expression" dxfId="591" priority="613">
      <formula>$W21="Standby"</formula>
    </cfRule>
  </conditionalFormatting>
  <conditionalFormatting sqref="H31">
    <cfRule type="expression" dxfId="590" priority="611" stopIfTrue="1">
      <formula>IF(E28=0,1,0)</formula>
    </cfRule>
    <cfRule type="expression" dxfId="589" priority="612" stopIfTrue="1">
      <formula>H31=$H$19</formula>
    </cfRule>
  </conditionalFormatting>
  <conditionalFormatting sqref="F101:F115">
    <cfRule type="expression" dxfId="588" priority="610">
      <formula>IF(A101&gt;0,F101&gt;VLOOKUP(B101,HWPricing,3,FALSE),0)</formula>
    </cfRule>
  </conditionalFormatting>
  <conditionalFormatting sqref="F119:F123">
    <cfRule type="expression" dxfId="587" priority="609">
      <formula>IF(A119&gt;0,F119&gt;VLOOKUP(B119,HWPricing,3,FALSE),0)</formula>
    </cfRule>
  </conditionalFormatting>
  <conditionalFormatting sqref="E78">
    <cfRule type="expression" dxfId="586" priority="608">
      <formula>J80=$H$188</formula>
    </cfRule>
  </conditionalFormatting>
  <conditionalFormatting sqref="BL119:BL123 BL101:BL117">
    <cfRule type="expression" dxfId="585" priority="607">
      <formula>IF(BF101&gt;0,BL101&gt;VLOOKUP(BG101,HWPricing,3,FALSE),0)</formula>
    </cfRule>
  </conditionalFormatting>
  <conditionalFormatting sqref="F5:G5 HB13 F8:G15 HB9:HC9">
    <cfRule type="expression" dxfId="584" priority="605" stopIfTrue="1">
      <formula>IF($T5=0,$F5&gt;$H5,0)</formula>
    </cfRule>
    <cfRule type="expression" dxfId="583" priority="606" stopIfTrue="1">
      <formula>IF($T5=0,$F5&gt;0.5*$H5,0)</formula>
    </cfRule>
  </conditionalFormatting>
  <conditionalFormatting sqref="F15">
    <cfRule type="expression" dxfId="582" priority="603" stopIfTrue="1">
      <formula>IF($T15=0,$F15&gt;$H15,0)</formula>
    </cfRule>
    <cfRule type="expression" dxfId="581" priority="604" stopIfTrue="1">
      <formula>IF($T15=0,$F15&gt;0.5*$H15,0)</formula>
    </cfRule>
  </conditionalFormatting>
  <conditionalFormatting sqref="I20 I24 I28 I32 I36 I41 I45 I49 I53 I57 I62 I66 I70 I74 I78">
    <cfRule type="expression" dxfId="580" priority="600" stopIfTrue="1">
      <formula>I22=$H$185</formula>
    </cfRule>
    <cfRule type="expression" dxfId="579" priority="601" stopIfTrue="1">
      <formula>IF($I22=$J$163,0,$R22=0)</formula>
    </cfRule>
    <cfRule type="expression" dxfId="578" priority="602">
      <formula>IFERROR(VLOOKUP(I20,$J$181:$J$186,1,FALSE),1)</formula>
    </cfRule>
  </conditionalFormatting>
  <conditionalFormatting sqref="C68 C43 C72 C76 C80 C22 C26 C30 C34 C38 C47 C51 C55 C59 C64">
    <cfRule type="expression" dxfId="577" priority="599" stopIfTrue="1">
      <formula>IF($I22=$J$163,FALSE,TRUE)</formula>
    </cfRule>
  </conditionalFormatting>
  <conditionalFormatting sqref="CG81 CG77 CG73 CG69 CG44 CG48 CG39 CG35 CG31 CG27 CG23 CG52 CG56 CG60 CG65">
    <cfRule type="expression" dxfId="576" priority="598" stopIfTrue="1">
      <formula>IF(OR($A21=0,$I22=$J$163),FALSE,TRUE)</formula>
    </cfRule>
  </conditionalFormatting>
  <conditionalFormatting sqref="A79 A75 A71 A67 A42 A37 A33 A29 A25 A21 A46 A50 A54 A58 A63">
    <cfRule type="expression" dxfId="575" priority="596" stopIfTrue="1">
      <formula>$A21&gt;1</formula>
    </cfRule>
    <cfRule type="expression" dxfId="574" priority="597" stopIfTrue="1">
      <formula>IF($I22=$J$163,FALSE,TRUE)</formula>
    </cfRule>
  </conditionalFormatting>
  <conditionalFormatting sqref="B75 B79 B21 B25 B29 B33 B37 B42 B46 B50 B54 B58 B63 B67 B71">
    <cfRule type="expression" dxfId="573" priority="594" stopIfTrue="1">
      <formula>IF($I22=$J$163,0,$R22=0)</formula>
    </cfRule>
    <cfRule type="expression" dxfId="572" priority="595" stopIfTrue="1">
      <formula>$A21&gt;1</formula>
    </cfRule>
  </conditionalFormatting>
  <conditionalFormatting sqref="D79 D75 D71 D67 D42 D37 D33 D29 D25 D21 D46 D50 D54 D58 D63">
    <cfRule type="expression" dxfId="571" priority="593" stopIfTrue="1">
      <formula>IF($I22=$J$163,FALSE,TRUE)</formula>
    </cfRule>
  </conditionalFormatting>
  <conditionalFormatting sqref="C79 C75 C71 C67 C21 C25 C29 C33 C37 C42 C46 C50 C54 C58 C63">
    <cfRule type="expression" dxfId="570" priority="591" stopIfTrue="1">
      <formula>P22&gt;0</formula>
    </cfRule>
    <cfRule type="expression" dxfId="569" priority="592" stopIfTrue="1">
      <formula>IF($I22=$J$163,FALSE,TRUE)</formula>
    </cfRule>
  </conditionalFormatting>
  <conditionalFormatting sqref="H86">
    <cfRule type="expression" dxfId="568" priority="589" stopIfTrue="1">
      <formula>IF(A84=0,1,0)</formula>
    </cfRule>
    <cfRule type="expression" dxfId="567" priority="590" stopIfTrue="1">
      <formula>H86=$H$19</formula>
    </cfRule>
  </conditionalFormatting>
  <conditionalFormatting sqref="H89">
    <cfRule type="expression" dxfId="566" priority="587" stopIfTrue="1">
      <formula>IF(A87=0,1,0)</formula>
    </cfRule>
    <cfRule type="expression" dxfId="565" priority="588" stopIfTrue="1">
      <formula>H89=$H$19</formula>
    </cfRule>
  </conditionalFormatting>
  <conditionalFormatting sqref="H92">
    <cfRule type="expression" dxfId="564" priority="585" stopIfTrue="1">
      <formula>IF(A90=0,1,0)</formula>
    </cfRule>
    <cfRule type="expression" dxfId="563" priority="586" stopIfTrue="1">
      <formula>H92=$H$19</formula>
    </cfRule>
  </conditionalFormatting>
  <conditionalFormatting sqref="H81">
    <cfRule type="expression" dxfId="562" priority="583" stopIfTrue="1">
      <formula>IF(A79=0,1,0)</formula>
    </cfRule>
    <cfRule type="expression" dxfId="561" priority="584" stopIfTrue="1">
      <formula>H81=$H$19</formula>
    </cfRule>
  </conditionalFormatting>
  <conditionalFormatting sqref="H77">
    <cfRule type="expression" dxfId="560" priority="581" stopIfTrue="1">
      <formula>IF(A75=0,1,0)</formula>
    </cfRule>
    <cfRule type="expression" dxfId="559" priority="582" stopIfTrue="1">
      <formula>H77=$H$19</formula>
    </cfRule>
  </conditionalFormatting>
  <conditionalFormatting sqref="H73">
    <cfRule type="expression" dxfId="558" priority="579" stopIfTrue="1">
      <formula>IF(A71=0,1,0)</formula>
    </cfRule>
    <cfRule type="expression" dxfId="557" priority="580" stopIfTrue="1">
      <formula>H73=$H$19</formula>
    </cfRule>
  </conditionalFormatting>
  <conditionalFormatting sqref="H69">
    <cfRule type="expression" dxfId="556" priority="577" stopIfTrue="1">
      <formula>IF(A67=0,1,0)</formula>
    </cfRule>
    <cfRule type="expression" dxfId="555" priority="578" stopIfTrue="1">
      <formula>H69=$H$19</formula>
    </cfRule>
  </conditionalFormatting>
  <conditionalFormatting sqref="H44">
    <cfRule type="expression" dxfId="554" priority="575" stopIfTrue="1">
      <formula>IF(A42=0,1,0)</formula>
    </cfRule>
    <cfRule type="expression" dxfId="553" priority="576" stopIfTrue="1">
      <formula>H44=$H$19</formula>
    </cfRule>
  </conditionalFormatting>
  <conditionalFormatting sqref="H39">
    <cfRule type="expression" dxfId="552" priority="573" stopIfTrue="1">
      <formula>IF(A37=0,1,0)</formula>
    </cfRule>
    <cfRule type="expression" dxfId="551" priority="574" stopIfTrue="1">
      <formula>H39=$H$19</formula>
    </cfRule>
  </conditionalFormatting>
  <conditionalFormatting sqref="H35">
    <cfRule type="expression" dxfId="550" priority="571" stopIfTrue="1">
      <formula>IF(A33=0,1,0)</formula>
    </cfRule>
    <cfRule type="expression" dxfId="549" priority="572" stopIfTrue="1">
      <formula>H35=$H$19</formula>
    </cfRule>
  </conditionalFormatting>
  <conditionalFormatting sqref="H27">
    <cfRule type="expression" dxfId="548" priority="569" stopIfTrue="1">
      <formula>IF(A25=0,1,0)</formula>
    </cfRule>
    <cfRule type="expression" dxfId="547" priority="570" stopIfTrue="1">
      <formula>H27=$H$19</formula>
    </cfRule>
  </conditionalFormatting>
  <conditionalFormatting sqref="H23">
    <cfRule type="expression" dxfId="546" priority="567" stopIfTrue="1">
      <formula>IF(A21=0,1,0)</formula>
    </cfRule>
    <cfRule type="expression" dxfId="545" priority="568" stopIfTrue="1">
      <formula>H23=$H$19</formula>
    </cfRule>
  </conditionalFormatting>
  <conditionalFormatting sqref="J91">
    <cfRule type="expression" dxfId="544" priority="566" stopIfTrue="1">
      <formula>#REF!=#REF!</formula>
    </cfRule>
  </conditionalFormatting>
  <conditionalFormatting sqref="P5 P8:P16">
    <cfRule type="expression" dxfId="543" priority="565" stopIfTrue="1">
      <formula>IF(R5=0,0,BO5&gt;0)</formula>
    </cfRule>
  </conditionalFormatting>
  <conditionalFormatting sqref="AF15:AF16">
    <cfRule type="expression" dxfId="542" priority="564" stopIfTrue="1">
      <formula>IF($V15&gt;0,AF15&gt;0,0)</formula>
    </cfRule>
  </conditionalFormatting>
  <conditionalFormatting sqref="AT15:AT16">
    <cfRule type="expression" dxfId="541" priority="563" stopIfTrue="1">
      <formula>IF($V15&gt;0,AT15&gt;0,0)</formula>
    </cfRule>
  </conditionalFormatting>
  <conditionalFormatting sqref="AV15:AV17">
    <cfRule type="expression" dxfId="540" priority="562" stopIfTrue="1">
      <formula>IF($V15&gt;0,AV15&gt;0,0)</formula>
    </cfRule>
  </conditionalFormatting>
  <conditionalFormatting sqref="AX15:AX16">
    <cfRule type="expression" dxfId="539" priority="561" stopIfTrue="1">
      <formula>IF($V15&gt;0,AX15&gt;0,0)</formula>
    </cfRule>
  </conditionalFormatting>
  <conditionalFormatting sqref="AZ15:AZ16">
    <cfRule type="expression" dxfId="538" priority="560" stopIfTrue="1">
      <formula>IF($V15&gt;0,AZ15&gt;0,0)</formula>
    </cfRule>
  </conditionalFormatting>
  <conditionalFormatting sqref="BB15:BB16">
    <cfRule type="expression" dxfId="537" priority="559" stopIfTrue="1">
      <formula>IF($V15&gt;0,BB15&gt;0,0)</formula>
    </cfRule>
  </conditionalFormatting>
  <conditionalFormatting sqref="Y5 Y8:Y16">
    <cfRule type="expression" dxfId="536" priority="558" stopIfTrue="1">
      <formula>IF(V5&gt;0,Y5&gt;0,0)</formula>
    </cfRule>
  </conditionalFormatting>
  <conditionalFormatting sqref="HA15">
    <cfRule type="expression" dxfId="535" priority="557" stopIfTrue="1">
      <formula>IF(GB15&gt;0,HA15&gt;0,0)</formula>
    </cfRule>
  </conditionalFormatting>
  <conditionalFormatting sqref="C127">
    <cfRule type="expression" dxfId="534" priority="554">
      <formula>$C$127="not listed"</formula>
    </cfRule>
  </conditionalFormatting>
  <conditionalFormatting sqref="Z82:AA82">
    <cfRule type="expression" dxfId="533" priority="553">
      <formula>$Z$82="not listed"</formula>
    </cfRule>
  </conditionalFormatting>
  <conditionalFormatting sqref="T16">
    <cfRule type="expression" dxfId="532" priority="552" stopIfTrue="1">
      <formula>IF(V16=0,0,T16=CR16)</formula>
    </cfRule>
  </conditionalFormatting>
  <conditionalFormatting sqref="E5 E8:E15">
    <cfRule type="expression" dxfId="531" priority="550">
      <formula>IF(OR(D5&lt;1000,NOT($D$4=$CI$2)),IF($V5=0,0,IF(C5+D5=0,0,IF(ABS(U5-T5)&lt;0.05,0,IF(U5-T5&lt;0.05,1,IF(U5&lt;0.01,TRUE,T5&lt;0.01))))),0)</formula>
    </cfRule>
    <cfRule type="expression" dxfId="530" priority="551">
      <formula>IF($T5=0,0,IF(C5+D5=0,0,E5&lt;X5))</formula>
    </cfRule>
  </conditionalFormatting>
  <conditionalFormatting sqref="X5 X8:X15">
    <cfRule type="expression" dxfId="529" priority="548" stopIfTrue="1">
      <formula>IF(OR(D5&lt;1000,NOT($D$4=$CI$2)),IF($V5=0,0,IF(C5+D5=0,0,IF(ABS($T5-$U5)&lt;0.05,0,IF(U5&lt;0.01,TRUE,T5&lt;0.01)))),0)</formula>
    </cfRule>
    <cfRule type="expression" dxfId="528" priority="549" stopIfTrue="1">
      <formula>IF($T5=0,0,X5=CQ5)</formula>
    </cfRule>
  </conditionalFormatting>
  <conditionalFormatting sqref="I5 I8:I15">
    <cfRule type="expression" dxfId="527" priority="546" stopIfTrue="1">
      <formula>IF(R5="",I5&gt;0.99,0)</formula>
    </cfRule>
    <cfRule type="expression" dxfId="526" priority="547" stopIfTrue="1">
      <formula>I5=BG5</formula>
    </cfRule>
  </conditionalFormatting>
  <conditionalFormatting sqref="T84:T92 T99">
    <cfRule type="expression" dxfId="525" priority="545" stopIfTrue="1">
      <formula>IF(U84&gt;0.5*T84, TRUE, "")</formula>
    </cfRule>
  </conditionalFormatting>
  <conditionalFormatting sqref="CB5 CB8:CB16">
    <cfRule type="expression" dxfId="524" priority="542" stopIfTrue="1">
      <formula>IF(CW5&gt;0,CB5&gt;0,0)</formula>
    </cfRule>
  </conditionalFormatting>
  <conditionalFormatting sqref="A48">
    <cfRule type="expression" dxfId="523" priority="541" stopIfTrue="1">
      <formula>$A48&gt;0</formula>
    </cfRule>
  </conditionalFormatting>
  <conditionalFormatting sqref="I46">
    <cfRule type="expression" dxfId="522" priority="539" stopIfTrue="1">
      <formula>IF(VLOOKUP(B46,HWRange,7,FALSE)=F46,FALSE,TRUE)</formula>
    </cfRule>
    <cfRule type="expression" dxfId="521" priority="540" stopIfTrue="1">
      <formula>IF(I47=$J$163,FALSE,TRUE)</formula>
    </cfRule>
  </conditionalFormatting>
  <conditionalFormatting sqref="T45:T48">
    <cfRule type="expression" dxfId="520" priority="538" stopIfTrue="1">
      <formula>IF(U45&gt;0.5*T45, TRUE, "")</formula>
    </cfRule>
  </conditionalFormatting>
  <conditionalFormatting sqref="U45:U47">
    <cfRule type="expression" dxfId="519" priority="537" stopIfTrue="1">
      <formula>T45&lt;0.5*U45</formula>
    </cfRule>
  </conditionalFormatting>
  <conditionalFormatting sqref="V45 X45:AD45">
    <cfRule type="expression" dxfId="518" priority="535" stopIfTrue="1">
      <formula>IF(V47&gt;0,IF(V45&gt;$H45,V45,0))</formula>
    </cfRule>
    <cfRule type="expression" dxfId="517" priority="536" stopIfTrue="1">
      <formula>IF(V47&gt;0,IF(V45&gt;0.5,V45,0))</formula>
    </cfRule>
  </conditionalFormatting>
  <conditionalFormatting sqref="H45">
    <cfRule type="expression" dxfId="516" priority="534" stopIfTrue="1">
      <formula>H45&gt;1</formula>
    </cfRule>
  </conditionalFormatting>
  <conditionalFormatting sqref="O47">
    <cfRule type="expression" dxfId="515" priority="533" stopIfTrue="1">
      <formula>$DG$1=$DG$2</formula>
    </cfRule>
  </conditionalFormatting>
  <conditionalFormatting sqref="A47">
    <cfRule type="expression" dxfId="514" priority="532" stopIfTrue="1">
      <formula>$DG$1=$DG$2</formula>
    </cfRule>
  </conditionalFormatting>
  <conditionalFormatting sqref="E46">
    <cfRule type="expression" dxfId="513" priority="531" stopIfTrue="1">
      <formula>IF(I47=$J$163,FALSE,TRUE)</formula>
    </cfRule>
  </conditionalFormatting>
  <conditionalFormatting sqref="F46">
    <cfRule type="expression" dxfId="512" priority="530" stopIfTrue="1">
      <formula>IF(I47=$J$163,FALSE,TRUE)</formula>
    </cfRule>
  </conditionalFormatting>
  <conditionalFormatting sqref="G46">
    <cfRule type="expression" dxfId="511" priority="529" stopIfTrue="1">
      <formula>IF(I47=$J$163,FALSE,TRUE)</formula>
    </cfRule>
  </conditionalFormatting>
  <conditionalFormatting sqref="V46 X46:AD46">
    <cfRule type="expression" dxfId="510" priority="527" stopIfTrue="1">
      <formula>IF(V47&gt;0,IF($A46&gt;0.25,$A46),"false")</formula>
    </cfRule>
    <cfRule type="expression" dxfId="509" priority="528" stopIfTrue="1">
      <formula>IF(V47&gt;0,$A46,0)</formula>
    </cfRule>
  </conditionalFormatting>
  <conditionalFormatting sqref="W45">
    <cfRule type="expression" dxfId="508" priority="525" stopIfTrue="1">
      <formula>IF(W47&gt;0,IF(W45&gt;$H45,W45,0))</formula>
    </cfRule>
    <cfRule type="expression" dxfId="507" priority="526" stopIfTrue="1">
      <formula>IF(W47&gt;0,IF(W45&gt;0.5,W45,0))</formula>
    </cfRule>
  </conditionalFormatting>
  <conditionalFormatting sqref="W45">
    <cfRule type="expression" dxfId="506" priority="524">
      <formula>$W46="Standby"</formula>
    </cfRule>
  </conditionalFormatting>
  <conditionalFormatting sqref="W47">
    <cfRule type="expression" dxfId="505" priority="523">
      <formula>$W46="Standby"</formula>
    </cfRule>
  </conditionalFormatting>
  <conditionalFormatting sqref="W46">
    <cfRule type="expression" dxfId="504" priority="521" stopIfTrue="1">
      <formula>IF(W47&gt;0,IF($A46&gt;0.25,$A46),"false")</formula>
    </cfRule>
    <cfRule type="expression" dxfId="503" priority="522" stopIfTrue="1">
      <formula>IF(W47&gt;0,$A46,0)</formula>
    </cfRule>
  </conditionalFormatting>
  <conditionalFormatting sqref="W46">
    <cfRule type="expression" dxfId="502" priority="520">
      <formula>$W46="Standby"</formula>
    </cfRule>
  </conditionalFormatting>
  <conditionalFormatting sqref="H48">
    <cfRule type="expression" dxfId="501" priority="518" stopIfTrue="1">
      <formula>IF(A46=0,1,0)</formula>
    </cfRule>
    <cfRule type="expression" dxfId="500" priority="519" stopIfTrue="1">
      <formula>H48=$H$19</formula>
    </cfRule>
  </conditionalFormatting>
  <conditionalFormatting sqref="A52">
    <cfRule type="expression" dxfId="499" priority="517" stopIfTrue="1">
      <formula>$A52&gt;0</formula>
    </cfRule>
  </conditionalFormatting>
  <conditionalFormatting sqref="I50">
    <cfRule type="expression" dxfId="498" priority="515" stopIfTrue="1">
      <formula>IF(VLOOKUP(B50,HWRange,7,FALSE)=F50,FALSE,TRUE)</formula>
    </cfRule>
    <cfRule type="expression" dxfId="497" priority="516" stopIfTrue="1">
      <formula>IF(I51=$J$163,FALSE,TRUE)</formula>
    </cfRule>
  </conditionalFormatting>
  <conditionalFormatting sqref="T49:T52">
    <cfRule type="expression" dxfId="496" priority="514" stopIfTrue="1">
      <formula>IF(U49&gt;0.5*T49, TRUE, "")</formula>
    </cfRule>
  </conditionalFormatting>
  <conditionalFormatting sqref="U49:U51">
    <cfRule type="expression" dxfId="495" priority="513" stopIfTrue="1">
      <formula>T49&lt;0.5*U49</formula>
    </cfRule>
  </conditionalFormatting>
  <conditionalFormatting sqref="V49 X49:AD49">
    <cfRule type="expression" dxfId="494" priority="511" stopIfTrue="1">
      <formula>IF(V51&gt;0,IF(V49&gt;$H49,V49,0))</formula>
    </cfRule>
    <cfRule type="expression" dxfId="493" priority="512" stopIfTrue="1">
      <formula>IF(V51&gt;0,IF(V49&gt;0.5,V49,0))</formula>
    </cfRule>
  </conditionalFormatting>
  <conditionalFormatting sqref="H49">
    <cfRule type="expression" dxfId="492" priority="510" stopIfTrue="1">
      <formula>H49&gt;1</formula>
    </cfRule>
  </conditionalFormatting>
  <conditionalFormatting sqref="O51">
    <cfRule type="expression" dxfId="491" priority="509" stopIfTrue="1">
      <formula>$DG$1=$DG$2</formula>
    </cfRule>
  </conditionalFormatting>
  <conditionalFormatting sqref="A51">
    <cfRule type="expression" dxfId="490" priority="508" stopIfTrue="1">
      <formula>$DG$1=$DG$2</formula>
    </cfRule>
  </conditionalFormatting>
  <conditionalFormatting sqref="E50">
    <cfRule type="expression" dxfId="489" priority="507" stopIfTrue="1">
      <formula>IF(I51=$J$163,FALSE,TRUE)</formula>
    </cfRule>
  </conditionalFormatting>
  <conditionalFormatting sqref="F50">
    <cfRule type="expression" dxfId="488" priority="506" stopIfTrue="1">
      <formula>IF(I51=$J$163,FALSE,TRUE)</formula>
    </cfRule>
  </conditionalFormatting>
  <conditionalFormatting sqref="G50">
    <cfRule type="expression" dxfId="487" priority="505" stopIfTrue="1">
      <formula>IF(I51=$J$163,FALSE,TRUE)</formula>
    </cfRule>
  </conditionalFormatting>
  <conditionalFormatting sqref="V50 X50:AD50">
    <cfRule type="expression" dxfId="486" priority="503" stopIfTrue="1">
      <formula>IF(V51&gt;0,IF($A50&gt;0.25,$A50),"false")</formula>
    </cfRule>
    <cfRule type="expression" dxfId="485" priority="504" stopIfTrue="1">
      <formula>IF(V51&gt;0,$A50,0)</formula>
    </cfRule>
  </conditionalFormatting>
  <conditionalFormatting sqref="W49">
    <cfRule type="expression" dxfId="484" priority="501" stopIfTrue="1">
      <formula>IF(W51&gt;0,IF(W49&gt;$H49,W49,0))</formula>
    </cfRule>
    <cfRule type="expression" dxfId="483" priority="502" stopIfTrue="1">
      <formula>IF(W51&gt;0,IF(W49&gt;0.5,W49,0))</formula>
    </cfRule>
  </conditionalFormatting>
  <conditionalFormatting sqref="W49">
    <cfRule type="expression" dxfId="482" priority="500">
      <formula>$W50="Standby"</formula>
    </cfRule>
  </conditionalFormatting>
  <conditionalFormatting sqref="W51">
    <cfRule type="expression" dxfId="481" priority="499">
      <formula>$W50="Standby"</formula>
    </cfRule>
  </conditionalFormatting>
  <conditionalFormatting sqref="W50">
    <cfRule type="expression" dxfId="480" priority="497" stopIfTrue="1">
      <formula>IF(W51&gt;0,IF($A50&gt;0.25,$A50),"false")</formula>
    </cfRule>
    <cfRule type="expression" dxfId="479" priority="498" stopIfTrue="1">
      <formula>IF(W51&gt;0,$A50,0)</formula>
    </cfRule>
  </conditionalFormatting>
  <conditionalFormatting sqref="W50">
    <cfRule type="expression" dxfId="478" priority="496">
      <formula>$W50="Standby"</formula>
    </cfRule>
  </conditionalFormatting>
  <conditionalFormatting sqref="H52">
    <cfRule type="expression" dxfId="477" priority="494" stopIfTrue="1">
      <formula>IF(A50=0,1,0)</formula>
    </cfRule>
    <cfRule type="expression" dxfId="476" priority="495" stopIfTrue="1">
      <formula>H52=$H$19</formula>
    </cfRule>
  </conditionalFormatting>
  <conditionalFormatting sqref="A56">
    <cfRule type="expression" dxfId="475" priority="493" stopIfTrue="1">
      <formula>$A56&gt;0</formula>
    </cfRule>
  </conditionalFormatting>
  <conditionalFormatting sqref="I54">
    <cfRule type="expression" dxfId="474" priority="491" stopIfTrue="1">
      <formula>IF(VLOOKUP(B54,HWRange,7,FALSE)=F54,FALSE,TRUE)</formula>
    </cfRule>
    <cfRule type="expression" dxfId="473" priority="492" stopIfTrue="1">
      <formula>IF(I55=$J$163,FALSE,TRUE)</formula>
    </cfRule>
  </conditionalFormatting>
  <conditionalFormatting sqref="T53:T56">
    <cfRule type="expression" dxfId="472" priority="490" stopIfTrue="1">
      <formula>IF(U53&gt;0.5*T53, TRUE, "")</formula>
    </cfRule>
  </conditionalFormatting>
  <conditionalFormatting sqref="U53:U55">
    <cfRule type="expression" dxfId="471" priority="489" stopIfTrue="1">
      <formula>T53&lt;0.5*U53</formula>
    </cfRule>
  </conditionalFormatting>
  <conditionalFormatting sqref="V53 X53:AD53">
    <cfRule type="expression" dxfId="470" priority="487" stopIfTrue="1">
      <formula>IF(V55&gt;0,IF(V53&gt;$H53,V53,0))</formula>
    </cfRule>
    <cfRule type="expression" dxfId="469" priority="488" stopIfTrue="1">
      <formula>IF(V55&gt;0,IF(V53&gt;0.5,V53,0))</formula>
    </cfRule>
  </conditionalFormatting>
  <conditionalFormatting sqref="H53">
    <cfRule type="expression" dxfId="468" priority="486" stopIfTrue="1">
      <formula>H53&gt;1</formula>
    </cfRule>
  </conditionalFormatting>
  <conditionalFormatting sqref="O55">
    <cfRule type="expression" dxfId="467" priority="485" stopIfTrue="1">
      <formula>$DG$1=$DG$2</formula>
    </cfRule>
  </conditionalFormatting>
  <conditionalFormatting sqref="A55">
    <cfRule type="expression" dxfId="466" priority="484" stopIfTrue="1">
      <formula>$DG$1=$DG$2</formula>
    </cfRule>
  </conditionalFormatting>
  <conditionalFormatting sqref="E54">
    <cfRule type="expression" dxfId="465" priority="483" stopIfTrue="1">
      <formula>IF(I55=$J$163,FALSE,TRUE)</formula>
    </cfRule>
  </conditionalFormatting>
  <conditionalFormatting sqref="F54">
    <cfRule type="expression" dxfId="464" priority="482" stopIfTrue="1">
      <formula>IF(I55=$J$163,FALSE,TRUE)</formula>
    </cfRule>
  </conditionalFormatting>
  <conditionalFormatting sqref="G54">
    <cfRule type="expression" dxfId="463" priority="481" stopIfTrue="1">
      <formula>IF(I55=$J$163,FALSE,TRUE)</formula>
    </cfRule>
  </conditionalFormatting>
  <conditionalFormatting sqref="V54 X54:AD54">
    <cfRule type="expression" dxfId="462" priority="479" stopIfTrue="1">
      <formula>IF(V55&gt;0,IF($A54&gt;0.25,$A54),"false")</formula>
    </cfRule>
    <cfRule type="expression" dxfId="461" priority="480" stopIfTrue="1">
      <formula>IF(V55&gt;0,$A54,0)</formula>
    </cfRule>
  </conditionalFormatting>
  <conditionalFormatting sqref="W53">
    <cfRule type="expression" dxfId="460" priority="477" stopIfTrue="1">
      <formula>IF(W55&gt;0,IF(W53&gt;$H53,W53,0))</formula>
    </cfRule>
    <cfRule type="expression" dxfId="459" priority="478" stopIfTrue="1">
      <formula>IF(W55&gt;0,IF(W53&gt;0.5,W53,0))</formula>
    </cfRule>
  </conditionalFormatting>
  <conditionalFormatting sqref="W53">
    <cfRule type="expression" dxfId="458" priority="476">
      <formula>$W54="Standby"</formula>
    </cfRule>
  </conditionalFormatting>
  <conditionalFormatting sqref="W55">
    <cfRule type="expression" dxfId="457" priority="475">
      <formula>$W54="Standby"</formula>
    </cfRule>
  </conditionalFormatting>
  <conditionalFormatting sqref="W54">
    <cfRule type="expression" dxfId="456" priority="473" stopIfTrue="1">
      <formula>IF(W55&gt;0,IF($A54&gt;0.25,$A54),"false")</formula>
    </cfRule>
    <cfRule type="expression" dxfId="455" priority="474" stopIfTrue="1">
      <formula>IF(W55&gt;0,$A54,0)</formula>
    </cfRule>
  </conditionalFormatting>
  <conditionalFormatting sqref="W54">
    <cfRule type="expression" dxfId="454" priority="472">
      <formula>$W54="Standby"</formula>
    </cfRule>
  </conditionalFormatting>
  <conditionalFormatting sqref="H56">
    <cfRule type="expression" dxfId="453" priority="470" stopIfTrue="1">
      <formula>IF(A54=0,1,0)</formula>
    </cfRule>
    <cfRule type="expression" dxfId="452" priority="471" stopIfTrue="1">
      <formula>H56=$H$19</formula>
    </cfRule>
  </conditionalFormatting>
  <conditionalFormatting sqref="A60">
    <cfRule type="expression" dxfId="451" priority="469" stopIfTrue="1">
      <formula>$A60&gt;0</formula>
    </cfRule>
  </conditionalFormatting>
  <conditionalFormatting sqref="I58">
    <cfRule type="expression" dxfId="450" priority="467" stopIfTrue="1">
      <formula>IF(VLOOKUP(B58,HWRange,7,FALSE)=F58,FALSE,TRUE)</formula>
    </cfRule>
    <cfRule type="expression" dxfId="449" priority="468" stopIfTrue="1">
      <formula>IF(I59=$J$163,FALSE,TRUE)</formula>
    </cfRule>
  </conditionalFormatting>
  <conditionalFormatting sqref="T57:T60">
    <cfRule type="expression" dxfId="448" priority="466" stopIfTrue="1">
      <formula>IF(U57&gt;0.5*T57, TRUE, "")</formula>
    </cfRule>
  </conditionalFormatting>
  <conditionalFormatting sqref="U57:U59">
    <cfRule type="expression" dxfId="447" priority="465" stopIfTrue="1">
      <formula>T57&lt;0.5*U57</formula>
    </cfRule>
  </conditionalFormatting>
  <conditionalFormatting sqref="V57 X57:AD57">
    <cfRule type="expression" dxfId="446" priority="463" stopIfTrue="1">
      <formula>IF(V59&gt;0,IF(V57&gt;$H57,V57,0))</formula>
    </cfRule>
    <cfRule type="expression" dxfId="445" priority="464" stopIfTrue="1">
      <formula>IF(V59&gt;0,IF(V57&gt;0.5,V57,0))</formula>
    </cfRule>
  </conditionalFormatting>
  <conditionalFormatting sqref="H57">
    <cfRule type="expression" dxfId="444" priority="462" stopIfTrue="1">
      <formula>H57&gt;1</formula>
    </cfRule>
  </conditionalFormatting>
  <conditionalFormatting sqref="O59">
    <cfRule type="expression" dxfId="443" priority="461" stopIfTrue="1">
      <formula>$DG$1=$DG$2</formula>
    </cfRule>
  </conditionalFormatting>
  <conditionalFormatting sqref="A59">
    <cfRule type="expression" dxfId="442" priority="460" stopIfTrue="1">
      <formula>$DG$1=$DG$2</formula>
    </cfRule>
  </conditionalFormatting>
  <conditionalFormatting sqref="E58">
    <cfRule type="expression" dxfId="441" priority="459" stopIfTrue="1">
      <formula>IF(I59=$J$163,FALSE,TRUE)</formula>
    </cfRule>
  </conditionalFormatting>
  <conditionalFormatting sqref="F58">
    <cfRule type="expression" dxfId="440" priority="458" stopIfTrue="1">
      <formula>IF(I59=$J$163,FALSE,TRUE)</formula>
    </cfRule>
  </conditionalFormatting>
  <conditionalFormatting sqref="G58">
    <cfRule type="expression" dxfId="439" priority="457" stopIfTrue="1">
      <formula>IF(I59=$J$163,FALSE,TRUE)</formula>
    </cfRule>
  </conditionalFormatting>
  <conditionalFormatting sqref="V58 X58:AD58">
    <cfRule type="expression" dxfId="438" priority="455" stopIfTrue="1">
      <formula>IF(V59&gt;0,IF($A58&gt;0.25,$A58),"false")</formula>
    </cfRule>
    <cfRule type="expression" dxfId="437" priority="456" stopIfTrue="1">
      <formula>IF(V59&gt;0,$A58,0)</formula>
    </cfRule>
  </conditionalFormatting>
  <conditionalFormatting sqref="W57">
    <cfRule type="expression" dxfId="436" priority="453" stopIfTrue="1">
      <formula>IF(W59&gt;0,IF(W57&gt;$H57,W57,0))</formula>
    </cfRule>
    <cfRule type="expression" dxfId="435" priority="454" stopIfTrue="1">
      <formula>IF(W59&gt;0,IF(W57&gt;0.5,W57,0))</formula>
    </cfRule>
  </conditionalFormatting>
  <conditionalFormatting sqref="W57">
    <cfRule type="expression" dxfId="434" priority="452">
      <formula>$W58="Standby"</formula>
    </cfRule>
  </conditionalFormatting>
  <conditionalFormatting sqref="W59">
    <cfRule type="expression" dxfId="433" priority="451">
      <formula>$W58="Standby"</formula>
    </cfRule>
  </conditionalFormatting>
  <conditionalFormatting sqref="W58">
    <cfRule type="expression" dxfId="432" priority="449" stopIfTrue="1">
      <formula>IF(W59&gt;0,IF($A58&gt;0.25,$A58),"false")</formula>
    </cfRule>
    <cfRule type="expression" dxfId="431" priority="450" stopIfTrue="1">
      <formula>IF(W59&gt;0,$A58,0)</formula>
    </cfRule>
  </conditionalFormatting>
  <conditionalFormatting sqref="W58">
    <cfRule type="expression" dxfId="430" priority="448">
      <formula>$W58="Standby"</formula>
    </cfRule>
  </conditionalFormatting>
  <conditionalFormatting sqref="H60">
    <cfRule type="expression" dxfId="429" priority="446" stopIfTrue="1">
      <formula>IF(A58=0,1,0)</formula>
    </cfRule>
    <cfRule type="expression" dxfId="428" priority="447" stopIfTrue="1">
      <formula>H60=$H$19</formula>
    </cfRule>
  </conditionalFormatting>
  <conditionalFormatting sqref="A65">
    <cfRule type="expression" dxfId="427" priority="445" stopIfTrue="1">
      <formula>$A65&gt;0</formula>
    </cfRule>
  </conditionalFormatting>
  <conditionalFormatting sqref="I63">
    <cfRule type="expression" dxfId="426" priority="443" stopIfTrue="1">
      <formula>IF(VLOOKUP(B63,HWRange,7,FALSE)=F63,FALSE,TRUE)</formula>
    </cfRule>
    <cfRule type="expression" dxfId="425" priority="444" stopIfTrue="1">
      <formula>IF(I64=$J$163,FALSE,TRUE)</formula>
    </cfRule>
  </conditionalFormatting>
  <conditionalFormatting sqref="T62:T65">
    <cfRule type="expression" dxfId="424" priority="442" stopIfTrue="1">
      <formula>IF(U62&gt;0.5*T62, TRUE, "")</formula>
    </cfRule>
  </conditionalFormatting>
  <conditionalFormatting sqref="U62:U64">
    <cfRule type="expression" dxfId="423" priority="441" stopIfTrue="1">
      <formula>T62&lt;0.5*U62</formula>
    </cfRule>
  </conditionalFormatting>
  <conditionalFormatting sqref="V62 X62:AD62">
    <cfRule type="expression" dxfId="422" priority="439" stopIfTrue="1">
      <formula>IF(V64&gt;0,IF(V62&gt;$H62,V62,0))</formula>
    </cfRule>
    <cfRule type="expression" dxfId="421" priority="440" stopIfTrue="1">
      <formula>IF(V64&gt;0,IF(V62&gt;0.5,V62,0))</formula>
    </cfRule>
  </conditionalFormatting>
  <conditionalFormatting sqref="H62">
    <cfRule type="expression" dxfId="420" priority="438" stopIfTrue="1">
      <formula>H62&gt;1</formula>
    </cfRule>
  </conditionalFormatting>
  <conditionalFormatting sqref="O64">
    <cfRule type="expression" dxfId="419" priority="437" stopIfTrue="1">
      <formula>$DG$1=$DG$2</formula>
    </cfRule>
  </conditionalFormatting>
  <conditionalFormatting sqref="A64">
    <cfRule type="expression" dxfId="418" priority="436" stopIfTrue="1">
      <formula>$DG$1=$DG$2</formula>
    </cfRule>
  </conditionalFormatting>
  <conditionalFormatting sqref="E63">
    <cfRule type="expression" dxfId="417" priority="435" stopIfTrue="1">
      <formula>IF(I64=$J$163,FALSE,TRUE)</formula>
    </cfRule>
  </conditionalFormatting>
  <conditionalFormatting sqref="F63">
    <cfRule type="expression" dxfId="416" priority="434" stopIfTrue="1">
      <formula>IF(I64=$J$163,FALSE,TRUE)</formula>
    </cfRule>
  </conditionalFormatting>
  <conditionalFormatting sqref="G63">
    <cfRule type="expression" dxfId="415" priority="433" stopIfTrue="1">
      <formula>IF(I64=$J$163,FALSE,TRUE)</formula>
    </cfRule>
  </conditionalFormatting>
  <conditionalFormatting sqref="V63 X63:AD63">
    <cfRule type="expression" dxfId="414" priority="431" stopIfTrue="1">
      <formula>IF(V64&gt;0,IF($A63&gt;0.25,$A63),"false")</formula>
    </cfRule>
    <cfRule type="expression" dxfId="413" priority="432" stopIfTrue="1">
      <formula>IF(V64&gt;0,$A63,0)</formula>
    </cfRule>
  </conditionalFormatting>
  <conditionalFormatting sqref="W62">
    <cfRule type="expression" dxfId="412" priority="429" stopIfTrue="1">
      <formula>IF(W64&gt;0,IF(W62&gt;$H62,W62,0))</formula>
    </cfRule>
    <cfRule type="expression" dxfId="411" priority="430" stopIfTrue="1">
      <formula>IF(W64&gt;0,IF(W62&gt;0.5,W62,0))</formula>
    </cfRule>
  </conditionalFormatting>
  <conditionalFormatting sqref="W62">
    <cfRule type="expression" dxfId="410" priority="428">
      <formula>$W63="Standby"</formula>
    </cfRule>
  </conditionalFormatting>
  <conditionalFormatting sqref="W64">
    <cfRule type="expression" dxfId="409" priority="427">
      <formula>$W63="Standby"</formula>
    </cfRule>
  </conditionalFormatting>
  <conditionalFormatting sqref="W63">
    <cfRule type="expression" dxfId="408" priority="425" stopIfTrue="1">
      <formula>IF(W64&gt;0,IF($A63&gt;0.25,$A63),"false")</formula>
    </cfRule>
    <cfRule type="expression" dxfId="407" priority="426" stopIfTrue="1">
      <formula>IF(W64&gt;0,$A63,0)</formula>
    </cfRule>
  </conditionalFormatting>
  <conditionalFormatting sqref="W63">
    <cfRule type="expression" dxfId="406" priority="424">
      <formula>$W63="Standby"</formula>
    </cfRule>
  </conditionalFormatting>
  <conditionalFormatting sqref="D64">
    <cfRule type="expression" dxfId="405" priority="422">
      <formula>J65&gt;100</formula>
    </cfRule>
    <cfRule type="expression" dxfId="404" priority="423">
      <formula>J64=$H$188</formula>
    </cfRule>
  </conditionalFormatting>
  <conditionalFormatting sqref="H65">
    <cfRule type="expression" dxfId="403" priority="420" stopIfTrue="1">
      <formula>IF(A63=0,1,0)</formula>
    </cfRule>
    <cfRule type="expression" dxfId="402" priority="421" stopIfTrue="1">
      <formula>H65=$H$19</formula>
    </cfRule>
  </conditionalFormatting>
  <conditionalFormatting sqref="CA16">
    <cfRule type="expression" dxfId="401" priority="419" stopIfTrue="1">
      <formula>IF(CV16&gt;0,CA16&gt;0,0)</formula>
    </cfRule>
  </conditionalFormatting>
  <conditionalFormatting sqref="CA5 CA8:CA16">
    <cfRule type="expression" dxfId="400" priority="418" stopIfTrue="1">
      <formula>IF(CW5&gt;0,CA5&gt;0,0)</formula>
    </cfRule>
  </conditionalFormatting>
  <conditionalFormatting sqref="BZ16">
    <cfRule type="expression" dxfId="399" priority="417" stopIfTrue="1">
      <formula>IF(CU16&gt;0,BZ16&gt;0,0)</formula>
    </cfRule>
  </conditionalFormatting>
  <conditionalFormatting sqref="BZ5 BZ8:BZ16">
    <cfRule type="expression" dxfId="398" priority="416" stopIfTrue="1">
      <formula>IF(CW5&gt;0,BZ5&gt;0,0)</formula>
    </cfRule>
  </conditionalFormatting>
  <conditionalFormatting sqref="BY16">
    <cfRule type="expression" dxfId="397" priority="415" stopIfTrue="1">
      <formula>IF(CT16&gt;0,BY16&gt;0,0)</formula>
    </cfRule>
  </conditionalFormatting>
  <conditionalFormatting sqref="BY5 BY8:BY16">
    <cfRule type="expression" dxfId="396" priority="414" stopIfTrue="1">
      <formula>IF(CW5&gt;0,BY5&gt;0,0)</formula>
    </cfRule>
  </conditionalFormatting>
  <conditionalFormatting sqref="BX16">
    <cfRule type="expression" dxfId="395" priority="413" stopIfTrue="1">
      <formula>IF(CS16&gt;0,BX16&gt;0,0)</formula>
    </cfRule>
  </conditionalFormatting>
  <conditionalFormatting sqref="AQ16">
    <cfRule type="expression" dxfId="394" priority="412" stopIfTrue="1">
      <formula>IF(T16&gt;0,AQ16&gt;0,0)</formula>
    </cfRule>
  </conditionalFormatting>
  <conditionalFormatting sqref="AQ5 AQ8:AQ15">
    <cfRule type="expression" dxfId="393" priority="411" stopIfTrue="1">
      <formula>IF(T5&gt;0,AQ5&gt;0,0)</formula>
    </cfRule>
  </conditionalFormatting>
  <conditionalFormatting sqref="AR15:AR16">
    <cfRule type="expression" dxfId="392" priority="410" stopIfTrue="1">
      <formula>IF($V15&gt;0,AR15&gt;0,0)</formula>
    </cfRule>
  </conditionalFormatting>
  <conditionalFormatting sqref="AO16">
    <cfRule type="expression" dxfId="391" priority="409" stopIfTrue="1">
      <formula>IF(R16&gt;0,AO16&gt;0,0)</formula>
    </cfRule>
  </conditionalFormatting>
  <conditionalFormatting sqref="AO5 AO8:AO15">
    <cfRule type="expression" dxfId="390" priority="408" stopIfTrue="1">
      <formula>IF(R5&gt;0,AO5&gt;0,0)</formula>
    </cfRule>
  </conditionalFormatting>
  <conditionalFormatting sqref="AM16">
    <cfRule type="expression" dxfId="389" priority="407" stopIfTrue="1">
      <formula>IF(P16&gt;0,AM16&gt;0,0)</formula>
    </cfRule>
  </conditionalFormatting>
  <conditionalFormatting sqref="AM5 AM8:AM15">
    <cfRule type="expression" dxfId="388" priority="406" stopIfTrue="1">
      <formula>IF(P5&gt;0,AM5&gt;0,0)</formula>
    </cfRule>
  </conditionalFormatting>
  <conditionalFormatting sqref="AN15:AN16">
    <cfRule type="expression" dxfId="387" priority="405" stopIfTrue="1">
      <formula>IF($V15&gt;0,AN15&gt;0,0)</formula>
    </cfRule>
  </conditionalFormatting>
  <conditionalFormatting sqref="AK16">
    <cfRule type="expression" dxfId="386" priority="404" stopIfTrue="1">
      <formula>IF(N16&gt;0,AK16&gt;0,0)</formula>
    </cfRule>
  </conditionalFormatting>
  <conditionalFormatting sqref="AK5 AK8:AK15">
    <cfRule type="expression" dxfId="385" priority="403" stopIfTrue="1">
      <formula>IF(N5&gt;0,AK5&gt;0,0)</formula>
    </cfRule>
  </conditionalFormatting>
  <conditionalFormatting sqref="AI16">
    <cfRule type="expression" dxfId="384" priority="402" stopIfTrue="1">
      <formula>IF(L16&gt;0,AI16&gt;0,0)</formula>
    </cfRule>
  </conditionalFormatting>
  <conditionalFormatting sqref="AI5 AI8:AI15">
    <cfRule type="expression" dxfId="383" priority="401" stopIfTrue="1">
      <formula>IF(L5&gt;0,AI5&gt;0,0)</formula>
    </cfRule>
  </conditionalFormatting>
  <conditionalFormatting sqref="AD10:AD12">
    <cfRule type="expression" dxfId="382" priority="400" stopIfTrue="1">
      <formula>IF(V10&gt;0,AD10&gt;0,0)</formula>
    </cfRule>
  </conditionalFormatting>
  <conditionalFormatting sqref="AB10:AB12">
    <cfRule type="expression" dxfId="381" priority="399" stopIfTrue="1">
      <formula>IF($V10&gt;0,AB10&gt;0,0)</formula>
    </cfRule>
  </conditionalFormatting>
  <conditionalFormatting sqref="Z10:Z12">
    <cfRule type="expression" dxfId="380" priority="398" stopIfTrue="1">
      <formula>IF($V10&gt;0,Z10&gt;0,0)</formula>
    </cfRule>
  </conditionalFormatting>
  <conditionalFormatting sqref="U94">
    <cfRule type="expression" dxfId="379" priority="394" stopIfTrue="1">
      <formula>T94&lt;0.5*U94</formula>
    </cfRule>
  </conditionalFormatting>
  <conditionalFormatting sqref="CG95">
    <cfRule type="expression" dxfId="378" priority="393" stopIfTrue="1">
      <formula>IF(OR(#REF!=0,#REF!=#REF!),FALSE,TRUE)</formula>
    </cfRule>
  </conditionalFormatting>
  <conditionalFormatting sqref="U93">
    <cfRule type="expression" dxfId="377" priority="392" stopIfTrue="1">
      <formula>#REF!&lt;0.5*#REF!</formula>
    </cfRule>
  </conditionalFormatting>
  <conditionalFormatting sqref="I93">
    <cfRule type="expression" dxfId="376" priority="391" stopIfTrue="1">
      <formula>#REF!&gt;1</formula>
    </cfRule>
  </conditionalFormatting>
  <conditionalFormatting sqref="O94 A94">
    <cfRule type="expression" dxfId="375" priority="390" stopIfTrue="1">
      <formula>#REF!=#REF!</formula>
    </cfRule>
  </conditionalFormatting>
  <conditionalFormatting sqref="C94">
    <cfRule type="expression" dxfId="374" priority="389" stopIfTrue="1">
      <formula>IF(#REF!=#REF!,FALSE,TRUE)</formula>
    </cfRule>
  </conditionalFormatting>
  <conditionalFormatting sqref="I94">
    <cfRule type="expression" dxfId="373" priority="388" stopIfTrue="1">
      <formula>IF(#REF!=#REF!,FALSE,TRUE)</formula>
    </cfRule>
  </conditionalFormatting>
  <conditionalFormatting sqref="A93">
    <cfRule type="expression" dxfId="372" priority="386" stopIfTrue="1">
      <formula>#REF!&gt;1</formula>
    </cfRule>
    <cfRule type="expression" dxfId="371" priority="387" stopIfTrue="1">
      <formula>IF(#REF!=#REF!,FALSE,TRUE)</formula>
    </cfRule>
  </conditionalFormatting>
  <conditionalFormatting sqref="D93">
    <cfRule type="expression" dxfId="370" priority="385" stopIfTrue="1">
      <formula>IF(#REF!=#REF!,FALSE,TRUE)</formula>
    </cfRule>
  </conditionalFormatting>
  <conditionalFormatting sqref="F93">
    <cfRule type="expression" dxfId="369" priority="384" stopIfTrue="1">
      <formula>IF(#REF!=#REF!,FALSE,TRUE)</formula>
    </cfRule>
  </conditionalFormatting>
  <conditionalFormatting sqref="G93">
    <cfRule type="expression" dxfId="368" priority="383" stopIfTrue="1">
      <formula>IF(#REF!=#REF!,FALSE,TRUE)</formula>
    </cfRule>
  </conditionalFormatting>
  <conditionalFormatting sqref="B95">
    <cfRule type="expression" dxfId="367" priority="382" stopIfTrue="1">
      <formula>IF(OR(#REF!=0,#REF!=#REF!),FALSE,TRUE)</formula>
    </cfRule>
  </conditionalFormatting>
  <conditionalFormatting sqref="C95">
    <cfRule type="expression" dxfId="366" priority="381" stopIfTrue="1">
      <formula>IF(OR(#REF!=0,#REF!=#REF!),FALSE,TRUE)</formula>
    </cfRule>
  </conditionalFormatting>
  <conditionalFormatting sqref="V93:AC93">
    <cfRule type="expression" dxfId="365" priority="378" stopIfTrue="1">
      <formula>IF(V94=0,0,IF($A93&gt;$I93,1,0))</formula>
    </cfRule>
    <cfRule type="expression" dxfId="364" priority="379" stopIfTrue="1">
      <formula>IF(V94=0,0,IF($A93&gt;0.5,1,0))</formula>
    </cfRule>
    <cfRule type="expression" dxfId="363" priority="380" stopIfTrue="1">
      <formula>IF(V94=0,0,IF($A93&gt;0,1,0))</formula>
    </cfRule>
  </conditionalFormatting>
  <conditionalFormatting sqref="A95">
    <cfRule type="expression" dxfId="362" priority="377" stopIfTrue="1">
      <formula>$A93&gt;0</formula>
    </cfRule>
  </conditionalFormatting>
  <conditionalFormatting sqref="E93">
    <cfRule type="expression" dxfId="361" priority="376" stopIfTrue="1">
      <formula>$E93&gt;$L93*$F94</formula>
    </cfRule>
  </conditionalFormatting>
  <conditionalFormatting sqref="AD93">
    <cfRule type="expression" dxfId="360" priority="374" stopIfTrue="1">
      <formula>$E93&gt;$L93*$F94</formula>
    </cfRule>
    <cfRule type="expression" dxfId="359" priority="375" stopIfTrue="1">
      <formula>IF(#REF!=#REF!,FALSE,TRUE)</formula>
    </cfRule>
  </conditionalFormatting>
  <conditionalFormatting sqref="H95">
    <cfRule type="expression" dxfId="358" priority="372" stopIfTrue="1">
      <formula>IF(A93=0,1,0)</formula>
    </cfRule>
    <cfRule type="expression" dxfId="357" priority="373" stopIfTrue="1">
      <formula>H95=$H$19</formula>
    </cfRule>
  </conditionalFormatting>
  <conditionalFormatting sqref="J94">
    <cfRule type="expression" dxfId="356" priority="371" stopIfTrue="1">
      <formula>#REF!=#REF!</formula>
    </cfRule>
  </conditionalFormatting>
  <conditionalFormatting sqref="T93:T95">
    <cfRule type="expression" dxfId="355" priority="370" stopIfTrue="1">
      <formula>IF(U93&gt;0.5*T93, TRUE, "")</formula>
    </cfRule>
  </conditionalFormatting>
  <conditionalFormatting sqref="U97">
    <cfRule type="expression" dxfId="354" priority="369" stopIfTrue="1">
      <formula>T97&lt;0.5*U97</formula>
    </cfRule>
  </conditionalFormatting>
  <conditionalFormatting sqref="CG98">
    <cfRule type="expression" dxfId="353" priority="368" stopIfTrue="1">
      <formula>IF(OR(#REF!=0,#REF!=#REF!),FALSE,TRUE)</formula>
    </cfRule>
  </conditionalFormatting>
  <conditionalFormatting sqref="U96">
    <cfRule type="expression" dxfId="352" priority="367" stopIfTrue="1">
      <formula>#REF!&lt;0.5*#REF!</formula>
    </cfRule>
  </conditionalFormatting>
  <conditionalFormatting sqref="I96">
    <cfRule type="expression" dxfId="351" priority="366" stopIfTrue="1">
      <formula>#REF!&gt;1</formula>
    </cfRule>
  </conditionalFormatting>
  <conditionalFormatting sqref="O97 A97">
    <cfRule type="expression" dxfId="350" priority="365" stopIfTrue="1">
      <formula>#REF!=#REF!</formula>
    </cfRule>
  </conditionalFormatting>
  <conditionalFormatting sqref="C97">
    <cfRule type="expression" dxfId="349" priority="364" stopIfTrue="1">
      <formula>IF(#REF!=#REF!,FALSE,TRUE)</formula>
    </cfRule>
  </conditionalFormatting>
  <conditionalFormatting sqref="I97">
    <cfRule type="expression" dxfId="348" priority="363" stopIfTrue="1">
      <formula>IF(#REF!=#REF!,FALSE,TRUE)</formula>
    </cfRule>
  </conditionalFormatting>
  <conditionalFormatting sqref="A96">
    <cfRule type="expression" dxfId="347" priority="361" stopIfTrue="1">
      <formula>#REF!&gt;1</formula>
    </cfRule>
    <cfRule type="expression" dxfId="346" priority="362" stopIfTrue="1">
      <formula>IF(#REF!=#REF!,FALSE,TRUE)</formula>
    </cfRule>
  </conditionalFormatting>
  <conditionalFormatting sqref="D96">
    <cfRule type="expression" dxfId="345" priority="360" stopIfTrue="1">
      <formula>IF(#REF!=#REF!,FALSE,TRUE)</formula>
    </cfRule>
  </conditionalFormatting>
  <conditionalFormatting sqref="F96">
    <cfRule type="expression" dxfId="344" priority="359" stopIfTrue="1">
      <formula>IF(#REF!=#REF!,FALSE,TRUE)</formula>
    </cfRule>
  </conditionalFormatting>
  <conditionalFormatting sqref="G96">
    <cfRule type="expression" dxfId="343" priority="358" stopIfTrue="1">
      <formula>IF(#REF!=#REF!,FALSE,TRUE)</formula>
    </cfRule>
  </conditionalFormatting>
  <conditionalFormatting sqref="B98">
    <cfRule type="expression" dxfId="342" priority="357" stopIfTrue="1">
      <formula>IF(OR(#REF!=0,#REF!=#REF!),FALSE,TRUE)</formula>
    </cfRule>
  </conditionalFormatting>
  <conditionalFormatting sqref="C98">
    <cfRule type="expression" dxfId="341" priority="356" stopIfTrue="1">
      <formula>IF(OR(#REF!=0,#REF!=#REF!),FALSE,TRUE)</formula>
    </cfRule>
  </conditionalFormatting>
  <conditionalFormatting sqref="V96:AC96">
    <cfRule type="expression" dxfId="340" priority="353" stopIfTrue="1">
      <formula>IF(V97=0,0,IF($A96&gt;$I96,1,0))</formula>
    </cfRule>
    <cfRule type="expression" dxfId="339" priority="354" stopIfTrue="1">
      <formula>IF(V97=0,0,IF($A96&gt;0.5,1,0))</formula>
    </cfRule>
    <cfRule type="expression" dxfId="338" priority="355" stopIfTrue="1">
      <formula>IF(V97=0,0,IF($A96&gt;0,1,0))</formula>
    </cfRule>
  </conditionalFormatting>
  <conditionalFormatting sqref="A98">
    <cfRule type="expression" dxfId="337" priority="352" stopIfTrue="1">
      <formula>$A96&gt;0</formula>
    </cfRule>
  </conditionalFormatting>
  <conditionalFormatting sqref="E96">
    <cfRule type="expression" dxfId="336" priority="351" stopIfTrue="1">
      <formula>$E96&gt;$L96*$F97</formula>
    </cfRule>
  </conditionalFormatting>
  <conditionalFormatting sqref="AD96">
    <cfRule type="expression" dxfId="335" priority="349" stopIfTrue="1">
      <formula>$E96&gt;$L96*$F97</formula>
    </cfRule>
    <cfRule type="expression" dxfId="334" priority="350" stopIfTrue="1">
      <formula>IF(#REF!=#REF!,FALSE,TRUE)</formula>
    </cfRule>
  </conditionalFormatting>
  <conditionalFormatting sqref="H98">
    <cfRule type="expression" dxfId="333" priority="347" stopIfTrue="1">
      <formula>IF(A96=0,1,0)</formula>
    </cfRule>
    <cfRule type="expression" dxfId="332" priority="348" stopIfTrue="1">
      <formula>H98=$H$19</formula>
    </cfRule>
  </conditionalFormatting>
  <conditionalFormatting sqref="J97">
    <cfRule type="expression" dxfId="331" priority="346" stopIfTrue="1">
      <formula>#REF!=#REF!</formula>
    </cfRule>
  </conditionalFormatting>
  <conditionalFormatting sqref="T96:T98">
    <cfRule type="expression" dxfId="330" priority="345" stopIfTrue="1">
      <formula>IF(U96&gt;0.5*T96, TRUE, "")</formula>
    </cfRule>
  </conditionalFormatting>
  <conditionalFormatting sqref="T40">
    <cfRule type="expression" dxfId="329" priority="344" stopIfTrue="1">
      <formula>IF(U40&gt;0.5*T40, TRUE, "")</formula>
    </cfRule>
  </conditionalFormatting>
  <conditionalFormatting sqref="E101:E115">
    <cfRule type="expression" dxfId="328" priority="343">
      <formula>IF(A101&gt;0,IF(E101=C165,0,1),0)</formula>
    </cfRule>
  </conditionalFormatting>
  <conditionalFormatting sqref="E119:E123">
    <cfRule type="expression" dxfId="327" priority="342">
      <formula>IF(A119&gt;0,IF(E119=C184,0,1),0)</formula>
    </cfRule>
  </conditionalFormatting>
  <conditionalFormatting sqref="C5 C8:C16">
    <cfRule type="expression" dxfId="326" priority="340" stopIfTrue="1">
      <formula>IF($V5=0,0,IF(C5=0,0,ABS($T5-$U5)&lt;0.05))</formula>
    </cfRule>
    <cfRule type="expression" dxfId="325" priority="341" stopIfTrue="1">
      <formula>IF(C5=0,0,OR(U5&lt;T5,T5=0))</formula>
    </cfRule>
  </conditionalFormatting>
  <conditionalFormatting sqref="D5 D8:D16">
    <cfRule type="expression" dxfId="324" priority="338" stopIfTrue="1">
      <formula>IF($V5=0,0,IF(D5=0,0,ABS($T5-$U5)&lt;0.05))</formula>
    </cfRule>
    <cfRule type="expression" dxfId="323" priority="339" stopIfTrue="1">
      <formula>OR(IF(D5&lt;1000,0,V5/BP5&gt;100),IF(OR(D5=0,D5="Services"),0,OR(U5&lt;T5,T5=0)))</formula>
    </cfRule>
  </conditionalFormatting>
  <conditionalFormatting sqref="A82">
    <cfRule type="expression" dxfId="322" priority="337">
      <formula>$A$67+$A$71+$A$75+$A$79&gt;0</formula>
    </cfRule>
  </conditionalFormatting>
  <conditionalFormatting sqref="A99">
    <cfRule type="expression" dxfId="321" priority="336">
      <formula>$A$84+$A$87+$A$90+$A$93+$A$96&gt;0</formula>
    </cfRule>
  </conditionalFormatting>
  <conditionalFormatting sqref="B101:B115">
    <cfRule type="expression" dxfId="320" priority="334">
      <formula>IF(A101&gt;0,F101&gt;VLOOKUP(B101,HWPricing,3,FALSE),0)</formula>
    </cfRule>
    <cfRule type="expression" dxfId="319" priority="335">
      <formula>IF(A101&gt;0,IF(E101=C165,0,1),0)</formula>
    </cfRule>
  </conditionalFormatting>
  <conditionalFormatting sqref="B119:B123">
    <cfRule type="expression" dxfId="318" priority="332">
      <formula>IF(A119&gt;0,F119&gt;VLOOKUP(B119,HWPricing,3,FALSE),0)</formula>
    </cfRule>
    <cfRule type="expression" dxfId="317" priority="333">
      <formula>IF(A119&gt;0,IF(E119=C184,0,1),0)</formula>
    </cfRule>
  </conditionalFormatting>
  <conditionalFormatting sqref="AT10:AT12">
    <cfRule type="expression" dxfId="316" priority="331" stopIfTrue="1">
      <formula>IF($V10&gt;0,AT10&gt;0,0)</formula>
    </cfRule>
  </conditionalFormatting>
  <conditionalFormatting sqref="AV10:AV12">
    <cfRule type="expression" dxfId="315" priority="330" stopIfTrue="1">
      <formula>IF($V10&gt;0,AV10&gt;0,0)</formula>
    </cfRule>
  </conditionalFormatting>
  <conditionalFormatting sqref="AX10:AX12">
    <cfRule type="expression" dxfId="314" priority="329" stopIfTrue="1">
      <formula>IF($V10&gt;0,AX10&gt;0,0)</formula>
    </cfRule>
  </conditionalFormatting>
  <conditionalFormatting sqref="AZ10:AZ12">
    <cfRule type="expression" dxfId="313" priority="328" stopIfTrue="1">
      <formula>IF($V10&gt;0,AZ10&gt;0,0)</formula>
    </cfRule>
  </conditionalFormatting>
  <conditionalFormatting sqref="BB10:BB12">
    <cfRule type="expression" dxfId="312" priority="327" stopIfTrue="1">
      <formula>IF($V10&gt;0,BB10&gt;0,0)</formula>
    </cfRule>
  </conditionalFormatting>
  <conditionalFormatting sqref="T61">
    <cfRule type="expression" dxfId="311" priority="321" stopIfTrue="1">
      <formula>IF(U61&gt;0.5*T61, TRUE, "")</formula>
    </cfRule>
  </conditionalFormatting>
  <conditionalFormatting sqref="A61">
    <cfRule type="expression" dxfId="310" priority="320">
      <formula>$A$42+$A$46+$A$50+$A$54+$A$58&gt;0</formula>
    </cfRule>
  </conditionalFormatting>
  <conditionalFormatting sqref="A40">
    <cfRule type="expression" dxfId="309" priority="319">
      <formula>$A$21+$A$25+$A$29+$A$33+$A$37&gt;0</formula>
    </cfRule>
  </conditionalFormatting>
  <conditionalFormatting sqref="AR10:AR12">
    <cfRule type="expression" dxfId="308" priority="318" stopIfTrue="1">
      <formula>IF($V10&gt;0,AR10&gt;0,0)</formula>
    </cfRule>
  </conditionalFormatting>
  <conditionalFormatting sqref="AN10:AN12">
    <cfRule type="expression" dxfId="307" priority="316" stopIfTrue="1">
      <formula>IF($V10&gt;0,AN10&gt;0,0)</formula>
    </cfRule>
  </conditionalFormatting>
  <conditionalFormatting sqref="AF10:AF12">
    <cfRule type="expression" dxfId="306" priority="314" stopIfTrue="1">
      <formula>IF($V10&gt;0,AF10&gt;0,0)</formula>
    </cfRule>
  </conditionalFormatting>
  <conditionalFormatting sqref="G127">
    <cfRule type="expression" dxfId="305" priority="312">
      <formula>$C$92="not listed"</formula>
    </cfRule>
  </conditionalFormatting>
  <conditionalFormatting sqref="HC13">
    <cfRule type="expression" dxfId="304" priority="306" stopIfTrue="1">
      <formula>IF($T13=0,$F13&gt;$H13,0)</formula>
    </cfRule>
    <cfRule type="expression" dxfId="303" priority="307" stopIfTrue="1">
      <formula>IF($T13=0,$F13&gt;0.5*$H13,0)</formula>
    </cfRule>
  </conditionalFormatting>
  <conditionalFormatting sqref="HB15">
    <cfRule type="expression" dxfId="302" priority="302" stopIfTrue="1">
      <formula>IF($T15=0,$F15&gt;$H15,0)</formula>
    </cfRule>
    <cfRule type="expression" dxfId="301" priority="303" stopIfTrue="1">
      <formula>IF($T15=0,$F15&gt;0.5*$H15,0)</formula>
    </cfRule>
  </conditionalFormatting>
  <conditionalFormatting sqref="HC15">
    <cfRule type="expression" dxfId="300" priority="298" stopIfTrue="1">
      <formula>IF($T15=0,$F15&gt;$H15,0)</formula>
    </cfRule>
    <cfRule type="expression" dxfId="299" priority="299" stopIfTrue="1">
      <formula>IF($T15=0,$F15&gt;0.5*$H15,0)</formula>
    </cfRule>
  </conditionalFormatting>
  <conditionalFormatting sqref="AE82">
    <cfRule type="expression" dxfId="298" priority="297">
      <formula>$Z$82="not listed"</formula>
    </cfRule>
  </conditionalFormatting>
  <conditionalFormatting sqref="AC82">
    <cfRule type="expression" dxfId="297" priority="296">
      <formula>$Z$82="not listed"</formula>
    </cfRule>
  </conditionalFormatting>
  <conditionalFormatting sqref="AD82">
    <cfRule type="expression" dxfId="296" priority="295">
      <formula>$Z$82="not listed"</formula>
    </cfRule>
  </conditionalFormatting>
  <conditionalFormatting sqref="E127">
    <cfRule type="expression" dxfId="295" priority="294">
      <formula>$C$92="not listed"</formula>
    </cfRule>
  </conditionalFormatting>
  <conditionalFormatting sqref="AF63">
    <cfRule type="expression" dxfId="294" priority="292">
      <formula>VLOOKUP(K63,HostMatch,9,FALSE)</formula>
    </cfRule>
    <cfRule type="expression" dxfId="293" priority="293">
      <formula>AF62=""</formula>
    </cfRule>
  </conditionalFormatting>
  <conditionalFormatting sqref="C23">
    <cfRule type="expression" dxfId="292" priority="291" stopIfTrue="1">
      <formula>IF(OR($A21=0,$I22=$J$163),FALSE,TRUE)</formula>
    </cfRule>
  </conditionalFormatting>
  <conditionalFormatting sqref="B23">
    <cfRule type="expression" dxfId="291" priority="290" stopIfTrue="1">
      <formula>IF(OR($A21=0,$I22=$J$163),FALSE,TRUE)</formula>
    </cfRule>
  </conditionalFormatting>
  <conditionalFormatting sqref="B27">
    <cfRule type="expression" dxfId="290" priority="289" stopIfTrue="1">
      <formula>IF(OR($A25=0,$I26=$J$163),FALSE,TRUE)</formula>
    </cfRule>
  </conditionalFormatting>
  <conditionalFormatting sqref="B31">
    <cfRule type="expression" dxfId="289" priority="288" stopIfTrue="1">
      <formula>IF(OR($A29=0,$I30=$J$163),FALSE,TRUE)</formula>
    </cfRule>
  </conditionalFormatting>
  <conditionalFormatting sqref="B35">
    <cfRule type="expression" dxfId="288" priority="287" stopIfTrue="1">
      <formula>IF(OR($A33=0,$I34=$J$163),FALSE,TRUE)</formula>
    </cfRule>
  </conditionalFormatting>
  <conditionalFormatting sqref="B39">
    <cfRule type="expression" dxfId="287" priority="286" stopIfTrue="1">
      <formula>IF(OR($A37=0,$I38=$J$163),FALSE,TRUE)</formula>
    </cfRule>
  </conditionalFormatting>
  <conditionalFormatting sqref="B44">
    <cfRule type="expression" dxfId="286" priority="285" stopIfTrue="1">
      <formula>IF(OR($A42=0,$I43=$J$163),FALSE,TRUE)</formula>
    </cfRule>
  </conditionalFormatting>
  <conditionalFormatting sqref="B48">
    <cfRule type="expression" dxfId="285" priority="284" stopIfTrue="1">
      <formula>IF(OR($A46=0,$I47=$J$163),FALSE,TRUE)</formula>
    </cfRule>
  </conditionalFormatting>
  <conditionalFormatting sqref="B52">
    <cfRule type="expression" dxfId="284" priority="283" stopIfTrue="1">
      <formula>IF(OR($A50=0,$I51=$J$163),FALSE,TRUE)</formula>
    </cfRule>
  </conditionalFormatting>
  <conditionalFormatting sqref="B56">
    <cfRule type="expression" dxfId="283" priority="282" stopIfTrue="1">
      <formula>IF(OR($A54=0,$I55=$J$163),FALSE,TRUE)</formula>
    </cfRule>
  </conditionalFormatting>
  <conditionalFormatting sqref="B60">
    <cfRule type="expression" dxfId="282" priority="281" stopIfTrue="1">
      <formula>IF(OR($A58=0,$I59=$J$163),FALSE,TRUE)</formula>
    </cfRule>
  </conditionalFormatting>
  <conditionalFormatting sqref="B65">
    <cfRule type="expression" dxfId="281" priority="280" stopIfTrue="1">
      <formula>IF(OR($A63=0,$I64=$J$163),FALSE,TRUE)</formula>
    </cfRule>
  </conditionalFormatting>
  <conditionalFormatting sqref="B69">
    <cfRule type="expression" dxfId="280" priority="279" stopIfTrue="1">
      <formula>IF(OR($A67=0,$I68=$J$163),FALSE,TRUE)</formula>
    </cfRule>
  </conditionalFormatting>
  <conditionalFormatting sqref="B73">
    <cfRule type="expression" dxfId="279" priority="278" stopIfTrue="1">
      <formula>IF(OR($A71=0,$I72=$J$163),FALSE,TRUE)</formula>
    </cfRule>
  </conditionalFormatting>
  <conditionalFormatting sqref="B77">
    <cfRule type="expression" dxfId="278" priority="277" stopIfTrue="1">
      <formula>IF(OR($A75=0,$I76=$J$163),FALSE,TRUE)</formula>
    </cfRule>
  </conditionalFormatting>
  <conditionalFormatting sqref="B81">
    <cfRule type="expression" dxfId="277" priority="276" stopIfTrue="1">
      <formula>IF(OR($A79=0,$I80=$J$163),FALSE,TRUE)</formula>
    </cfRule>
  </conditionalFormatting>
  <conditionalFormatting sqref="C27">
    <cfRule type="expression" dxfId="276" priority="275" stopIfTrue="1">
      <formula>IF(OR($A25=0,$I26=$J$163),FALSE,TRUE)</formula>
    </cfRule>
  </conditionalFormatting>
  <conditionalFormatting sqref="C31">
    <cfRule type="expression" dxfId="275" priority="274" stopIfTrue="1">
      <formula>IF(OR($A29=0,$I30=$J$163),FALSE,TRUE)</formula>
    </cfRule>
  </conditionalFormatting>
  <conditionalFormatting sqref="C35">
    <cfRule type="expression" dxfId="274" priority="273" stopIfTrue="1">
      <formula>IF(OR($A33=0,$I34=$J$163),FALSE,TRUE)</formula>
    </cfRule>
  </conditionalFormatting>
  <conditionalFormatting sqref="C39">
    <cfRule type="expression" dxfId="273" priority="272" stopIfTrue="1">
      <formula>IF(OR($A37=0,$I38=$J$163),FALSE,TRUE)</formula>
    </cfRule>
  </conditionalFormatting>
  <conditionalFormatting sqref="C44">
    <cfRule type="expression" dxfId="272" priority="271" stopIfTrue="1">
      <formula>IF(OR($A42=0,$I43=$J$163),FALSE,TRUE)</formula>
    </cfRule>
  </conditionalFormatting>
  <conditionalFormatting sqref="C48">
    <cfRule type="expression" dxfId="271" priority="270" stopIfTrue="1">
      <formula>IF(OR($A46=0,$I47=$J$163),FALSE,TRUE)</formula>
    </cfRule>
  </conditionalFormatting>
  <conditionalFormatting sqref="C52">
    <cfRule type="expression" dxfId="270" priority="269" stopIfTrue="1">
      <formula>IF(OR($A50=0,$I51=$J$163),FALSE,TRUE)</formula>
    </cfRule>
  </conditionalFormatting>
  <conditionalFormatting sqref="C56">
    <cfRule type="expression" dxfId="269" priority="268" stopIfTrue="1">
      <formula>IF(OR($A54=0,$I55=$J$163),FALSE,TRUE)</formula>
    </cfRule>
  </conditionalFormatting>
  <conditionalFormatting sqref="C60">
    <cfRule type="expression" dxfId="268" priority="267" stopIfTrue="1">
      <formula>IF(OR($A58=0,$I59=$J$163),FALSE,TRUE)</formula>
    </cfRule>
  </conditionalFormatting>
  <conditionalFormatting sqref="C65">
    <cfRule type="expression" dxfId="267" priority="266" stopIfTrue="1">
      <formula>IF(OR($A63=0,$I64=$J$163),FALSE,TRUE)</formula>
    </cfRule>
  </conditionalFormatting>
  <conditionalFormatting sqref="C69">
    <cfRule type="expression" dxfId="266" priority="265" stopIfTrue="1">
      <formula>IF(OR($A67=0,$I68=$J$163),FALSE,TRUE)</formula>
    </cfRule>
  </conditionalFormatting>
  <conditionalFormatting sqref="C73">
    <cfRule type="expression" dxfId="265" priority="264" stopIfTrue="1">
      <formula>IF(OR($A71=0,$I72=$J$163),FALSE,TRUE)</formula>
    </cfRule>
  </conditionalFormatting>
  <conditionalFormatting sqref="C77">
    <cfRule type="expression" dxfId="264" priority="263" stopIfTrue="1">
      <formula>IF(OR($A75=0,$I76=$J$163),FALSE,TRUE)</formula>
    </cfRule>
  </conditionalFormatting>
  <conditionalFormatting sqref="C81">
    <cfRule type="expression" dxfId="263" priority="262" stopIfTrue="1">
      <formula>IF(OR($A79=0,$I80=$J$163),FALSE,TRUE)</formula>
    </cfRule>
  </conditionalFormatting>
  <conditionalFormatting sqref="S62">
    <cfRule type="expression" dxfId="262" priority="261">
      <formula>LEFT(B63,3)=S63</formula>
    </cfRule>
  </conditionalFormatting>
  <conditionalFormatting sqref="B94">
    <cfRule type="expression" dxfId="261" priority="259" stopIfTrue="1">
      <formula>IF(OR(K93=1,A93&gt;1),1,0)</formula>
    </cfRule>
    <cfRule type="expression" dxfId="260" priority="260" stopIfTrue="1">
      <formula>$E93&gt;$L93*$F94</formula>
    </cfRule>
  </conditionalFormatting>
  <conditionalFormatting sqref="B97">
    <cfRule type="expression" dxfId="259" priority="257" stopIfTrue="1">
      <formula>IF(OR(K96=1,A96&gt;1),1,0)</formula>
    </cfRule>
    <cfRule type="expression" dxfId="258" priority="258" stopIfTrue="1">
      <formula>$E96&gt;$L96*$F97</formula>
    </cfRule>
  </conditionalFormatting>
  <conditionalFormatting sqref="D68">
    <cfRule type="expression" dxfId="257" priority="255">
      <formula>J69&gt;100</formula>
    </cfRule>
    <cfRule type="expression" dxfId="256" priority="256">
      <formula>J68=$H$188</formula>
    </cfRule>
  </conditionalFormatting>
  <conditionalFormatting sqref="D72">
    <cfRule type="expression" dxfId="255" priority="253">
      <formula>J73&gt;100</formula>
    </cfRule>
    <cfRule type="expression" dxfId="254" priority="254">
      <formula>J72=$H$188</formula>
    </cfRule>
  </conditionalFormatting>
  <conditionalFormatting sqref="D76">
    <cfRule type="expression" dxfId="253" priority="251">
      <formula>J77&gt;100</formula>
    </cfRule>
    <cfRule type="expression" dxfId="252" priority="252">
      <formula>J76=$H$188</formula>
    </cfRule>
  </conditionalFormatting>
  <conditionalFormatting sqref="D38">
    <cfRule type="expression" dxfId="251" priority="249">
      <formula>J39&gt;100</formula>
    </cfRule>
    <cfRule type="expression" dxfId="250" priority="250">
      <formula>J38=$H$188</formula>
    </cfRule>
  </conditionalFormatting>
  <conditionalFormatting sqref="D30">
    <cfRule type="expression" dxfId="249" priority="247">
      <formula>J31&gt;100</formula>
    </cfRule>
    <cfRule type="expression" dxfId="248" priority="248">
      <formula>J30=$H$188</formula>
    </cfRule>
  </conditionalFormatting>
  <conditionalFormatting sqref="D22">
    <cfRule type="expression" dxfId="247" priority="245">
      <formula>J23&gt;100</formula>
    </cfRule>
    <cfRule type="expression" dxfId="246" priority="246">
      <formula>J22=$H$188</formula>
    </cfRule>
  </conditionalFormatting>
  <conditionalFormatting sqref="D34">
    <cfRule type="expression" dxfId="245" priority="243">
      <formula>J35&gt;100</formula>
    </cfRule>
    <cfRule type="expression" dxfId="244" priority="244">
      <formula>J34=$H$188</formula>
    </cfRule>
  </conditionalFormatting>
  <conditionalFormatting sqref="D26">
    <cfRule type="expression" dxfId="243" priority="241">
      <formula>J27&gt;100</formula>
    </cfRule>
    <cfRule type="expression" dxfId="242" priority="242">
      <formula>J26=$H$188</formula>
    </cfRule>
  </conditionalFormatting>
  <conditionalFormatting sqref="C21 C25 C29 C33 C37 C42 C46 C50 C54 C58 C63 C67 C71 C75 C79">
    <cfRule type="expression" dxfId="241" priority="240">
      <formula>IF(S21=0,0,C21&gt;S23)</formula>
    </cfRule>
  </conditionalFormatting>
  <conditionalFormatting sqref="S66">
    <cfRule type="expression" dxfId="240" priority="239">
      <formula>LEFT(B67,3)=S67</formula>
    </cfRule>
  </conditionalFormatting>
  <conditionalFormatting sqref="S70">
    <cfRule type="expression" dxfId="239" priority="238">
      <formula>LEFT(B71,3)=S71</formula>
    </cfRule>
  </conditionalFormatting>
  <conditionalFormatting sqref="S74">
    <cfRule type="expression" dxfId="238" priority="237">
      <formula>LEFT(B75,3)=S75</formula>
    </cfRule>
  </conditionalFormatting>
  <conditionalFormatting sqref="S78">
    <cfRule type="expression" dxfId="237" priority="236">
      <formula>LEFT(B79,3)=S79</formula>
    </cfRule>
  </conditionalFormatting>
  <conditionalFormatting sqref="S20">
    <cfRule type="expression" dxfId="236" priority="235">
      <formula>LEFT(B21,3)=S21</formula>
    </cfRule>
  </conditionalFormatting>
  <conditionalFormatting sqref="S24">
    <cfRule type="expression" dxfId="235" priority="234">
      <formula>LEFT(B25,3)=S25</formula>
    </cfRule>
  </conditionalFormatting>
  <conditionalFormatting sqref="S28">
    <cfRule type="expression" dxfId="234" priority="233">
      <formula>LEFT(B29,3)=S29</formula>
    </cfRule>
  </conditionalFormatting>
  <conditionalFormatting sqref="S32">
    <cfRule type="expression" dxfId="233" priority="232">
      <formula>LEFT(B33,3)=S33</formula>
    </cfRule>
  </conditionalFormatting>
  <conditionalFormatting sqref="S36">
    <cfRule type="expression" dxfId="232" priority="231">
      <formula>LEFT(B37,3)=S37</formula>
    </cfRule>
  </conditionalFormatting>
  <conditionalFormatting sqref="S41">
    <cfRule type="expression" dxfId="231" priority="230">
      <formula>LEFT(B42,3)=S42</formula>
    </cfRule>
  </conditionalFormatting>
  <conditionalFormatting sqref="S45">
    <cfRule type="expression" dxfId="230" priority="229">
      <formula>LEFT(B46,3)=S46</formula>
    </cfRule>
  </conditionalFormatting>
  <conditionalFormatting sqref="S49">
    <cfRule type="expression" dxfId="229" priority="228">
      <formula>LEFT(B50,3)=S50</formula>
    </cfRule>
  </conditionalFormatting>
  <conditionalFormatting sqref="S53">
    <cfRule type="expression" dxfId="228" priority="227">
      <formula>LEFT(B54,3)=S54</formula>
    </cfRule>
  </conditionalFormatting>
  <conditionalFormatting sqref="S57">
    <cfRule type="expression" dxfId="227" priority="226">
      <formula>LEFT(B58,3)=S58</formula>
    </cfRule>
  </conditionalFormatting>
  <conditionalFormatting sqref="D43">
    <cfRule type="expression" dxfId="226" priority="224">
      <formula>J44&gt;100</formula>
    </cfRule>
    <cfRule type="expression" dxfId="225" priority="225">
      <formula>J43=$H$188</formula>
    </cfRule>
  </conditionalFormatting>
  <conditionalFormatting sqref="D47">
    <cfRule type="expression" dxfId="224" priority="222">
      <formula>J48&gt;100</formula>
    </cfRule>
    <cfRule type="expression" dxfId="223" priority="223">
      <formula>J47=$H$188</formula>
    </cfRule>
  </conditionalFormatting>
  <conditionalFormatting sqref="D51">
    <cfRule type="expression" dxfId="222" priority="220">
      <formula>J52&gt;100</formula>
    </cfRule>
    <cfRule type="expression" dxfId="221" priority="221">
      <formula>J51=$H$188</formula>
    </cfRule>
  </conditionalFormatting>
  <conditionalFormatting sqref="D55">
    <cfRule type="expression" dxfId="220" priority="218">
      <formula>J56&gt;100</formula>
    </cfRule>
    <cfRule type="expression" dxfId="219" priority="219">
      <formula>J55=$H$188</formula>
    </cfRule>
  </conditionalFormatting>
  <conditionalFormatting sqref="D59">
    <cfRule type="expression" dxfId="218" priority="216">
      <formula>J60&gt;100</formula>
    </cfRule>
    <cfRule type="expression" dxfId="217" priority="217">
      <formula>J59=$H$188</formula>
    </cfRule>
  </conditionalFormatting>
  <conditionalFormatting sqref="J5 J8:J16">
    <cfRule type="expression" dxfId="216" priority="214" stopIfTrue="1">
      <formula>IF(R5=0,0,IF(ISERROR(VLOOKUP(J5,$A$163:$A$179,1,FALSE)),TRUE,FALSE))</formula>
    </cfRule>
    <cfRule type="expression" dxfId="215" priority="215" stopIfTrue="1">
      <formula>IF(V5=0,0,BH5&gt;0)</formula>
    </cfRule>
  </conditionalFormatting>
  <conditionalFormatting sqref="K5 K8:K16">
    <cfRule type="expression" dxfId="214" priority="212" stopIfTrue="1">
      <formula>IF(R5=0,0,IF(ISERROR(VLOOKUP(K5,$A$163:$A$186,1,FALSE)),TRUE,FALSE))</formula>
    </cfRule>
    <cfRule type="expression" dxfId="213" priority="213" stopIfTrue="1">
      <formula>IF(V5=0,0,BI5&gt;0)</formula>
    </cfRule>
  </conditionalFormatting>
  <conditionalFormatting sqref="L5 L8:L16">
    <cfRule type="expression" dxfId="212" priority="210" stopIfTrue="1">
      <formula>IF(R5=0,0,IF(ISERROR(VLOOKUP(L5,$A$163:$A$180,1,FALSE)),TRUE,FALSE))</formula>
    </cfRule>
    <cfRule type="expression" dxfId="211" priority="211" stopIfTrue="1">
      <formula>IF(V5=0,0,BJ5&gt;0)</formula>
    </cfRule>
  </conditionalFormatting>
  <conditionalFormatting sqref="M5 M8:M16">
    <cfRule type="expression" dxfId="210" priority="208" stopIfTrue="1">
      <formula>IF(R5=0,0,IF(ISERROR(VLOOKUP(M5,$A$163:$A$180,1,FALSE)),TRUE,FALSE))</formula>
    </cfRule>
    <cfRule type="expression" dxfId="209" priority="209" stopIfTrue="1">
      <formula>IF(V5=0,0,BK5&gt;0)</formula>
    </cfRule>
  </conditionalFormatting>
  <conditionalFormatting sqref="N5 N8:N16">
    <cfRule type="expression" dxfId="208" priority="206" stopIfTrue="1">
      <formula>IF(R5=0,0,IF(ISERROR(VLOOKUP(N5,$A$163:$A$180,1,FALSE)),TRUE,FALSE))</formula>
    </cfRule>
    <cfRule type="expression" dxfId="207" priority="207" stopIfTrue="1">
      <formula>IF(V5=0,0,BL5&gt;0)</formula>
    </cfRule>
  </conditionalFormatting>
  <conditionalFormatting sqref="O5 O8:O16">
    <cfRule type="expression" dxfId="206" priority="203" stopIfTrue="1">
      <formula>IF(R5=0,0,IF(ISERROR(VLOOKUP(O5,$A$163:$A$186,1,FALSE)),TRUE,FALSE))</formula>
    </cfRule>
    <cfRule type="expression" dxfId="205" priority="204" stopIfTrue="1">
      <formula>SUM(CY5:CZ5)&gt;0</formula>
    </cfRule>
    <cfRule type="expression" dxfId="204" priority="205" stopIfTrue="1">
      <formula>IF(CW5=0,0,IF(OR(CW5=" imagery",BO5&gt;0),TRUE,FALSE))</formula>
    </cfRule>
  </conditionalFormatting>
  <conditionalFormatting sqref="Q5 Q8:Q16">
    <cfRule type="expression" dxfId="203" priority="201">
      <formula>IF(R5=0,0,IF(ISERROR(VLOOKUP(Q5,$A$163:$A$180,1,FALSE)),1,0))</formula>
    </cfRule>
    <cfRule type="expression" dxfId="202" priority="202">
      <formula>IF(V5=0,0,BO5&gt;0)</formula>
    </cfRule>
  </conditionalFormatting>
  <conditionalFormatting sqref="I64 I68 I72 I76 I80 I59 I55 I51 I47 I43 I38 I34 I30 I22 I26">
    <cfRule type="expression" dxfId="201" priority="198">
      <formula>IF(LEFT(B21,3)=S21,I22=$H$185)</formula>
    </cfRule>
    <cfRule type="expression" dxfId="200" priority="199" stopIfTrue="1">
      <formula>SUM(M23:N23)&gt;0</formula>
    </cfRule>
    <cfRule type="expression" dxfId="199" priority="200" stopIfTrue="1">
      <formula>IF(I22=$J$163,FALSE,TRUE)</formula>
    </cfRule>
  </conditionalFormatting>
  <conditionalFormatting sqref="D80">
    <cfRule type="expression" dxfId="198" priority="196">
      <formula>J81&gt;100</formula>
    </cfRule>
    <cfRule type="expression" dxfId="197" priority="197">
      <formula>J80=$H$188</formula>
    </cfRule>
  </conditionalFormatting>
  <conditionalFormatting sqref="BX6">
    <cfRule type="expression" dxfId="196" priority="195" stopIfTrue="1">
      <formula>IF(CW6&gt;0,BX6&gt;0,0)</formula>
    </cfRule>
  </conditionalFormatting>
  <conditionalFormatting sqref="CG6">
    <cfRule type="expression" dxfId="195" priority="194" stopIfTrue="1">
      <formula>IF(CW6&gt;0,CG6&gt;0,0)</formula>
    </cfRule>
  </conditionalFormatting>
  <conditionalFormatting sqref="T6">
    <cfRule type="expression" dxfId="194" priority="193" stopIfTrue="1">
      <formula>T6=CP6</formula>
    </cfRule>
  </conditionalFormatting>
  <conditionalFormatting sqref="CF6">
    <cfRule type="expression" dxfId="193" priority="192" stopIfTrue="1">
      <formula>IF(CW6&gt;0,CF6&gt;0,0)</formula>
    </cfRule>
  </conditionalFormatting>
  <conditionalFormatting sqref="BR6">
    <cfRule type="expression" dxfId="192" priority="191" stopIfTrue="1">
      <formula>IF(CW6&gt;0,BR6&gt;0,0)</formula>
    </cfRule>
  </conditionalFormatting>
  <conditionalFormatting sqref="CE6">
    <cfRule type="expression" dxfId="191" priority="190" stopIfTrue="1">
      <formula>IF(CW6&gt;0,CE6&gt;0,0)</formula>
    </cfRule>
  </conditionalFormatting>
  <conditionalFormatting sqref="BS6">
    <cfRule type="expression" dxfId="190" priority="189" stopIfTrue="1">
      <formula>IF(CW6&gt;0,BS6&gt;0,0)</formula>
    </cfRule>
  </conditionalFormatting>
  <conditionalFormatting sqref="BF6">
    <cfRule type="expression" dxfId="189" priority="188" stopIfTrue="1">
      <formula>IF(V6&gt;0,BF6&gt;0,0)</formula>
    </cfRule>
  </conditionalFormatting>
  <conditionalFormatting sqref="BE6">
    <cfRule type="expression" dxfId="188" priority="187" stopIfTrue="1">
      <formula>IF(V6&gt;0,BE6&gt;0,0)</formula>
    </cfRule>
  </conditionalFormatting>
  <conditionalFormatting sqref="BD6">
    <cfRule type="expression" dxfId="187" priority="186" stopIfTrue="1">
      <formula>IF(V6&gt;0,BD6&gt;0,0)</formula>
    </cfRule>
  </conditionalFormatting>
  <conditionalFormatting sqref="BC6">
    <cfRule type="expression" dxfId="186" priority="185" stopIfTrue="1">
      <formula>IF(V6&gt;0,BC6&gt;0,0)</formula>
    </cfRule>
  </conditionalFormatting>
  <conditionalFormatting sqref="BA6">
    <cfRule type="expression" dxfId="185" priority="184" stopIfTrue="1">
      <formula>IF(V6&gt;0,BA6&gt;0,0)</formula>
    </cfRule>
  </conditionalFormatting>
  <conditionalFormatting sqref="AA6">
    <cfRule type="expression" dxfId="184" priority="183" stopIfTrue="1">
      <formula>IF(V6&gt;0,AA6&gt;0,0)</formula>
    </cfRule>
  </conditionalFormatting>
  <conditionalFormatting sqref="AC6">
    <cfRule type="expression" dxfId="183" priority="182" stopIfTrue="1">
      <formula>IF(V6&gt;0,AC6&gt;0,0)</formula>
    </cfRule>
  </conditionalFormatting>
  <conditionalFormatting sqref="AG6">
    <cfRule type="expression" dxfId="182" priority="181" stopIfTrue="1">
      <formula>IF(V6&gt;0,AG6&gt;0,0)</formula>
    </cfRule>
  </conditionalFormatting>
  <conditionalFormatting sqref="AS6">
    <cfRule type="expression" dxfId="181" priority="180" stopIfTrue="1">
      <formula>IF(V6&gt;0,AS6&gt;0,0)</formula>
    </cfRule>
  </conditionalFormatting>
  <conditionalFormatting sqref="AU6">
    <cfRule type="expression" dxfId="180" priority="179" stopIfTrue="1">
      <formula>IF(V6&gt;0,AU6&gt;0,0)</formula>
    </cfRule>
  </conditionalFormatting>
  <conditionalFormatting sqref="AW6">
    <cfRule type="expression" dxfId="179" priority="178" stopIfTrue="1">
      <formula>IF(V6&gt;0,AW6&gt;0,0)</formula>
    </cfRule>
  </conditionalFormatting>
  <conditionalFormatting sqref="AY6">
    <cfRule type="expression" dxfId="178" priority="177" stopIfTrue="1">
      <formula>IF(V6&gt;0,AY6&gt;0,0)</formula>
    </cfRule>
  </conditionalFormatting>
  <conditionalFormatting sqref="AD6">
    <cfRule type="expression" dxfId="177" priority="176" stopIfTrue="1">
      <formula>IF(V6&gt;0,AD6&gt;0,0)</formula>
    </cfRule>
  </conditionalFormatting>
  <conditionalFormatting sqref="AE6">
    <cfRule type="expression" dxfId="176" priority="175" stopIfTrue="1">
      <formula>IF(V6&gt;0,AE6&gt;0,0)</formula>
    </cfRule>
  </conditionalFormatting>
  <conditionalFormatting sqref="R6">
    <cfRule type="expression" dxfId="175" priority="174" stopIfTrue="1">
      <formula>CX6&gt;0</formula>
    </cfRule>
  </conditionalFormatting>
  <conditionalFormatting sqref="BW6">
    <cfRule type="expression" dxfId="174" priority="173" stopIfTrue="1">
      <formula>IF(CW6&gt;0,BW6&gt;0,0)</formula>
    </cfRule>
  </conditionalFormatting>
  <conditionalFormatting sqref="CC6">
    <cfRule type="expression" dxfId="173" priority="172" stopIfTrue="1">
      <formula>IF(CW6&gt;0,CC6&gt;0,0)</formula>
    </cfRule>
  </conditionalFormatting>
  <conditionalFormatting sqref="CD6">
    <cfRule type="expression" dxfId="172" priority="171" stopIfTrue="1">
      <formula>IF(CW6&gt;0,CD6&gt;0,0)</formula>
    </cfRule>
  </conditionalFormatting>
  <conditionalFormatting sqref="BV6">
    <cfRule type="expression" dxfId="171" priority="170" stopIfTrue="1">
      <formula>IF(CW6&gt;0,BV6&gt;0,0)</formula>
    </cfRule>
  </conditionalFormatting>
  <conditionalFormatting sqref="BU6">
    <cfRule type="expression" dxfId="170" priority="169" stopIfTrue="1">
      <formula>IF(CW6&gt;0,BU6&gt;0,0)</formula>
    </cfRule>
  </conditionalFormatting>
  <conditionalFormatting sqref="BT6">
    <cfRule type="expression" dxfId="169" priority="168" stopIfTrue="1">
      <formula>IF(CW6&gt;0,BT6&gt;0,0)</formula>
    </cfRule>
  </conditionalFormatting>
  <conditionalFormatting sqref="BQ6">
    <cfRule type="expression" dxfId="168" priority="167" stopIfTrue="1">
      <formula>IF(CW6&gt;0,BQ6&gt;0,0)</formula>
    </cfRule>
  </conditionalFormatting>
  <conditionalFormatting sqref="AJ6 AL6 AN6 AP6 AR6 BB6 AZ6 AX6 AV6 AT6 AH6 AF6 Z6 AB6">
    <cfRule type="expression" dxfId="167" priority="166" stopIfTrue="1">
      <formula>IF($V6&gt;0,Z6&gt;0,0)</formula>
    </cfRule>
  </conditionalFormatting>
  <conditionalFormatting sqref="F6:G6">
    <cfRule type="expression" dxfId="166" priority="164" stopIfTrue="1">
      <formula>IF($T6=0,$F6&gt;$H6,0)</formula>
    </cfRule>
    <cfRule type="expression" dxfId="165" priority="165" stopIfTrue="1">
      <formula>IF($T6=0,$F6&gt;0.5*$H6,0)</formula>
    </cfRule>
  </conditionalFormatting>
  <conditionalFormatting sqref="P6">
    <cfRule type="expression" dxfId="164" priority="163" stopIfTrue="1">
      <formula>IF(R6=0,0,BO6&gt;0)</formula>
    </cfRule>
  </conditionalFormatting>
  <conditionalFormatting sqref="Y6">
    <cfRule type="expression" dxfId="163" priority="162" stopIfTrue="1">
      <formula>IF(V6&gt;0,Y6&gt;0,0)</formula>
    </cfRule>
  </conditionalFormatting>
  <conditionalFormatting sqref="E6">
    <cfRule type="expression" dxfId="162" priority="160">
      <formula>IF(OR(D6&lt;1000,NOT($D$4=$CI$2)),IF($V6=0,0,IF(C6+D6=0,0,IF(ABS(U6-T6)&lt;0.05,0,IF(U6-T6&lt;0.05,1,IF(U6&lt;0.01,TRUE,T6&lt;0.01))))),0)</formula>
    </cfRule>
    <cfRule type="expression" dxfId="161" priority="161">
      <formula>IF($T6=0,0,IF(C6+D6=0,0,E6&lt;X6))</formula>
    </cfRule>
  </conditionalFormatting>
  <conditionalFormatting sqref="X6">
    <cfRule type="expression" dxfId="160" priority="158" stopIfTrue="1">
      <formula>IF(OR(D6&lt;1000,NOT($D$4=$CI$2)),IF($V6=0,0,IF(C6+D6=0,0,IF(ABS($T6-$U6)&lt;0.05,0,IF(U6&lt;0.01,TRUE,T6&lt;0.01)))),0)</formula>
    </cfRule>
    <cfRule type="expression" dxfId="159" priority="159" stopIfTrue="1">
      <formula>IF($T6=0,0,X6=CQ6)</formula>
    </cfRule>
  </conditionalFormatting>
  <conditionalFormatting sqref="I6">
    <cfRule type="expression" dxfId="158" priority="156" stopIfTrue="1">
      <formula>IF(R6="",I6&gt;0.99,0)</formula>
    </cfRule>
    <cfRule type="expression" dxfId="157" priority="157" stopIfTrue="1">
      <formula>I6=BG6</formula>
    </cfRule>
  </conditionalFormatting>
  <conditionalFormatting sqref="CB6">
    <cfRule type="expression" dxfId="156" priority="155" stopIfTrue="1">
      <formula>IF(CW6&gt;0,CB6&gt;0,0)</formula>
    </cfRule>
  </conditionalFormatting>
  <conditionalFormatting sqref="CA6">
    <cfRule type="expression" dxfId="155" priority="154" stopIfTrue="1">
      <formula>IF(CW6&gt;0,CA6&gt;0,0)</formula>
    </cfRule>
  </conditionalFormatting>
  <conditionalFormatting sqref="BZ6">
    <cfRule type="expression" dxfId="154" priority="153" stopIfTrue="1">
      <formula>IF(CW6&gt;0,BZ6&gt;0,0)</formula>
    </cfRule>
  </conditionalFormatting>
  <conditionalFormatting sqref="BY6">
    <cfRule type="expression" dxfId="153" priority="152" stopIfTrue="1">
      <formula>IF(CW6&gt;0,BY6&gt;0,0)</formula>
    </cfRule>
  </conditionalFormatting>
  <conditionalFormatting sqref="AQ6">
    <cfRule type="expression" dxfId="152" priority="151" stopIfTrue="1">
      <formula>IF(T6&gt;0,AQ6&gt;0,0)</formula>
    </cfRule>
  </conditionalFormatting>
  <conditionalFormatting sqref="AO6">
    <cfRule type="expression" dxfId="151" priority="150" stopIfTrue="1">
      <formula>IF(R6&gt;0,AO6&gt;0,0)</formula>
    </cfRule>
  </conditionalFormatting>
  <conditionalFormatting sqref="AM6">
    <cfRule type="expression" dxfId="150" priority="149" stopIfTrue="1">
      <formula>IF(P6&gt;0,AM6&gt;0,0)</formula>
    </cfRule>
  </conditionalFormatting>
  <conditionalFormatting sqref="AK6">
    <cfRule type="expression" dxfId="149" priority="148" stopIfTrue="1">
      <formula>IF(N6&gt;0,AK6&gt;0,0)</formula>
    </cfRule>
  </conditionalFormatting>
  <conditionalFormatting sqref="AI6">
    <cfRule type="expression" dxfId="148" priority="147" stopIfTrue="1">
      <formula>IF(L6&gt;0,AI6&gt;0,0)</formula>
    </cfRule>
  </conditionalFormatting>
  <conditionalFormatting sqref="C6">
    <cfRule type="expression" dxfId="147" priority="145" stopIfTrue="1">
      <formula>IF($V6=0,0,IF(C6=0,0,ABS($T6-$U6)&lt;0.05))</formula>
    </cfRule>
    <cfRule type="expression" dxfId="146" priority="146" stopIfTrue="1">
      <formula>IF(C6=0,0,OR(U6&lt;T6,T6=0))</formula>
    </cfRule>
  </conditionalFormatting>
  <conditionalFormatting sqref="D6">
    <cfRule type="expression" dxfId="145" priority="143" stopIfTrue="1">
      <formula>IF($V6=0,0,IF(D6=0,0,ABS($T6-$U6)&lt;0.05))</formula>
    </cfRule>
    <cfRule type="expression" dxfId="144" priority="144" stopIfTrue="1">
      <formula>OR(IF(D6&lt;1000,0,V6/BP6&gt;100),IF(OR(D6=0,D6="Services"),0,OR(U6&lt;T6,T6=0)))</formula>
    </cfRule>
  </conditionalFormatting>
  <conditionalFormatting sqref="J6">
    <cfRule type="expression" dxfId="143" priority="141" stopIfTrue="1">
      <formula>IF(R6=0,0,IF(ISERROR(VLOOKUP(J6,$A$163:$A$179,1,FALSE)),TRUE,FALSE))</formula>
    </cfRule>
    <cfRule type="expression" dxfId="142" priority="142" stopIfTrue="1">
      <formula>IF(V6=0,0,BH6&gt;0)</formula>
    </cfRule>
  </conditionalFormatting>
  <conditionalFormatting sqref="K6">
    <cfRule type="expression" dxfId="141" priority="139" stopIfTrue="1">
      <formula>IF(R6=0,0,IF(ISERROR(VLOOKUP(K6,$A$163:$A$186,1,FALSE)),TRUE,FALSE))</formula>
    </cfRule>
    <cfRule type="expression" dxfId="140" priority="140" stopIfTrue="1">
      <formula>IF(V6=0,0,BI6&gt;0)</formula>
    </cfRule>
  </conditionalFormatting>
  <conditionalFormatting sqref="L6">
    <cfRule type="expression" dxfId="139" priority="137" stopIfTrue="1">
      <formula>IF(R6=0,0,IF(ISERROR(VLOOKUP(L6,$A$163:$A$180,1,FALSE)),TRUE,FALSE))</formula>
    </cfRule>
    <cfRule type="expression" dxfId="138" priority="138" stopIfTrue="1">
      <formula>IF(V6=0,0,BJ6&gt;0)</formula>
    </cfRule>
  </conditionalFormatting>
  <conditionalFormatting sqref="M6">
    <cfRule type="expression" dxfId="137" priority="135" stopIfTrue="1">
      <formula>IF(R6=0,0,IF(ISERROR(VLOOKUP(M6,$A$163:$A$180,1,FALSE)),TRUE,FALSE))</formula>
    </cfRule>
    <cfRule type="expression" dxfId="136" priority="136" stopIfTrue="1">
      <formula>IF(V6=0,0,BK6&gt;0)</formula>
    </cfRule>
  </conditionalFormatting>
  <conditionalFormatting sqref="N6">
    <cfRule type="expression" dxfId="135" priority="133" stopIfTrue="1">
      <formula>IF(R6=0,0,IF(ISERROR(VLOOKUP(N6,$A$163:$A$180,1,FALSE)),TRUE,FALSE))</formula>
    </cfRule>
    <cfRule type="expression" dxfId="134" priority="134" stopIfTrue="1">
      <formula>IF(V6=0,0,BL6&gt;0)</formula>
    </cfRule>
  </conditionalFormatting>
  <conditionalFormatting sqref="O6">
    <cfRule type="expression" dxfId="133" priority="130" stopIfTrue="1">
      <formula>IF(R6=0,0,IF(ISERROR(VLOOKUP(O6,$A$163:$A$186,1,FALSE)),TRUE,FALSE))</formula>
    </cfRule>
    <cfRule type="expression" dxfId="132" priority="131" stopIfTrue="1">
      <formula>SUM(CY6:CZ6)&gt;0</formula>
    </cfRule>
    <cfRule type="expression" dxfId="131" priority="132" stopIfTrue="1">
      <formula>IF(CW6=0,0,IF(OR(CW6=" imagery",BO6&gt;0),TRUE,FALSE))</formula>
    </cfRule>
  </conditionalFormatting>
  <conditionalFormatting sqref="Q6">
    <cfRule type="expression" dxfId="130" priority="128">
      <formula>IF(R6=0,0,IF(ISERROR(VLOOKUP(Q6,$A$163:$A$180,1,FALSE)),1,0))</formula>
    </cfRule>
    <cfRule type="expression" dxfId="129" priority="129">
      <formula>IF(V6=0,0,BO6&gt;0)</formula>
    </cfRule>
  </conditionalFormatting>
  <conditionalFormatting sqref="BX7">
    <cfRule type="expression" dxfId="128" priority="127" stopIfTrue="1">
      <formula>IF(CW7&gt;0,BX7&gt;0,0)</formula>
    </cfRule>
  </conditionalFormatting>
  <conditionalFormatting sqref="CG7">
    <cfRule type="expression" dxfId="127" priority="126" stopIfTrue="1">
      <formula>IF(CW7&gt;0,CG7&gt;0,0)</formula>
    </cfRule>
  </conditionalFormatting>
  <conditionalFormatting sqref="T7">
    <cfRule type="expression" dxfId="126" priority="125" stopIfTrue="1">
      <formula>T7=CP7</formula>
    </cfRule>
  </conditionalFormatting>
  <conditionalFormatting sqref="CF7">
    <cfRule type="expression" dxfId="125" priority="124" stopIfTrue="1">
      <formula>IF(CW7&gt;0,CF7&gt;0,0)</formula>
    </cfRule>
  </conditionalFormatting>
  <conditionalFormatting sqref="BR7">
    <cfRule type="expression" dxfId="124" priority="123" stopIfTrue="1">
      <formula>IF(CW7&gt;0,BR7&gt;0,0)</formula>
    </cfRule>
  </conditionalFormatting>
  <conditionalFormatting sqref="CE7">
    <cfRule type="expression" dxfId="123" priority="122" stopIfTrue="1">
      <formula>IF(CW7&gt;0,CE7&gt;0,0)</formula>
    </cfRule>
  </conditionalFormatting>
  <conditionalFormatting sqref="BS7">
    <cfRule type="expression" dxfId="122" priority="121" stopIfTrue="1">
      <formula>IF(CW7&gt;0,BS7&gt;0,0)</formula>
    </cfRule>
  </conditionalFormatting>
  <conditionalFormatting sqref="BF7">
    <cfRule type="expression" dxfId="121" priority="120" stopIfTrue="1">
      <formula>IF(V7&gt;0,BF7&gt;0,0)</formula>
    </cfRule>
  </conditionalFormatting>
  <conditionalFormatting sqref="BE7">
    <cfRule type="expression" dxfId="120" priority="119" stopIfTrue="1">
      <formula>IF(V7&gt;0,BE7&gt;0,0)</formula>
    </cfRule>
  </conditionalFormatting>
  <conditionalFormatting sqref="BD7">
    <cfRule type="expression" dxfId="119" priority="118" stopIfTrue="1">
      <formula>IF(V7&gt;0,BD7&gt;0,0)</formula>
    </cfRule>
  </conditionalFormatting>
  <conditionalFormatting sqref="BC7">
    <cfRule type="expression" dxfId="118" priority="117" stopIfTrue="1">
      <formula>IF(V7&gt;0,BC7&gt;0,0)</formula>
    </cfRule>
  </conditionalFormatting>
  <conditionalFormatting sqref="BA7">
    <cfRule type="expression" dxfId="117" priority="116" stopIfTrue="1">
      <formula>IF(V7&gt;0,BA7&gt;0,0)</formula>
    </cfRule>
  </conditionalFormatting>
  <conditionalFormatting sqref="AA7">
    <cfRule type="expression" dxfId="116" priority="115" stopIfTrue="1">
      <formula>IF(V7&gt;0,AA7&gt;0,0)</formula>
    </cfRule>
  </conditionalFormatting>
  <conditionalFormatting sqref="AC7">
    <cfRule type="expression" dxfId="115" priority="114" stopIfTrue="1">
      <formula>IF(V7&gt;0,AC7&gt;0,0)</formula>
    </cfRule>
  </conditionalFormatting>
  <conditionalFormatting sqref="AG7">
    <cfRule type="expression" dxfId="114" priority="113" stopIfTrue="1">
      <formula>IF(V7&gt;0,AG7&gt;0,0)</formula>
    </cfRule>
  </conditionalFormatting>
  <conditionalFormatting sqref="AS7">
    <cfRule type="expression" dxfId="113" priority="112" stopIfTrue="1">
      <formula>IF(V7&gt;0,AS7&gt;0,0)</formula>
    </cfRule>
  </conditionalFormatting>
  <conditionalFormatting sqref="AU7">
    <cfRule type="expression" dxfId="112" priority="111" stopIfTrue="1">
      <formula>IF(V7&gt;0,AU7&gt;0,0)</formula>
    </cfRule>
  </conditionalFormatting>
  <conditionalFormatting sqref="AW7">
    <cfRule type="expression" dxfId="111" priority="110" stopIfTrue="1">
      <formula>IF(V7&gt;0,AW7&gt;0,0)</formula>
    </cfRule>
  </conditionalFormatting>
  <conditionalFormatting sqref="AY7">
    <cfRule type="expression" dxfId="110" priority="109" stopIfTrue="1">
      <formula>IF(V7&gt;0,AY7&gt;0,0)</formula>
    </cfRule>
  </conditionalFormatting>
  <conditionalFormatting sqref="AD7">
    <cfRule type="expression" dxfId="109" priority="108" stopIfTrue="1">
      <formula>IF(V7&gt;0,AD7&gt;0,0)</formula>
    </cfRule>
  </conditionalFormatting>
  <conditionalFormatting sqref="AE7">
    <cfRule type="expression" dxfId="108" priority="107" stopIfTrue="1">
      <formula>IF(V7&gt;0,AE7&gt;0,0)</formula>
    </cfRule>
  </conditionalFormatting>
  <conditionalFormatting sqref="R7">
    <cfRule type="expression" dxfId="107" priority="106" stopIfTrue="1">
      <formula>CX7&gt;0</formula>
    </cfRule>
  </conditionalFormatting>
  <conditionalFormatting sqref="BW7">
    <cfRule type="expression" dxfId="106" priority="105" stopIfTrue="1">
      <formula>IF(CW7&gt;0,BW7&gt;0,0)</formula>
    </cfRule>
  </conditionalFormatting>
  <conditionalFormatting sqref="CC7">
    <cfRule type="expression" dxfId="105" priority="104" stopIfTrue="1">
      <formula>IF(CW7&gt;0,CC7&gt;0,0)</formula>
    </cfRule>
  </conditionalFormatting>
  <conditionalFormatting sqref="CD7">
    <cfRule type="expression" dxfId="104" priority="103" stopIfTrue="1">
      <formula>IF(CW7&gt;0,CD7&gt;0,0)</formula>
    </cfRule>
  </conditionalFormatting>
  <conditionalFormatting sqref="BV7">
    <cfRule type="expression" dxfId="103" priority="102" stopIfTrue="1">
      <formula>IF(CW7&gt;0,BV7&gt;0,0)</formula>
    </cfRule>
  </conditionalFormatting>
  <conditionalFormatting sqref="BU7">
    <cfRule type="expression" dxfId="102" priority="101" stopIfTrue="1">
      <formula>IF(CW7&gt;0,BU7&gt;0,0)</formula>
    </cfRule>
  </conditionalFormatting>
  <conditionalFormatting sqref="BT7">
    <cfRule type="expression" dxfId="101" priority="100" stopIfTrue="1">
      <formula>IF(CW7&gt;0,BT7&gt;0,0)</formula>
    </cfRule>
  </conditionalFormatting>
  <conditionalFormatting sqref="BQ7">
    <cfRule type="expression" dxfId="100" priority="99" stopIfTrue="1">
      <formula>IF(CW7&gt;0,BQ7&gt;0,0)</formula>
    </cfRule>
  </conditionalFormatting>
  <conditionalFormatting sqref="AJ7 AL7 AN7 AP7 AR7 BB7 AZ7 AX7 AV7 AT7 AH7 AF7 Z7 AB7">
    <cfRule type="expression" dxfId="99" priority="98" stopIfTrue="1">
      <formula>IF($V7&gt;0,Z7&gt;0,0)</formula>
    </cfRule>
  </conditionalFormatting>
  <conditionalFormatting sqref="F7:G7">
    <cfRule type="expression" dxfId="98" priority="96" stopIfTrue="1">
      <formula>IF($T7=0,$F7&gt;$H7,0)</formula>
    </cfRule>
    <cfRule type="expression" dxfId="97" priority="97" stopIfTrue="1">
      <formula>IF($T7=0,$F7&gt;0.5*$H7,0)</formula>
    </cfRule>
  </conditionalFormatting>
  <conditionalFormatting sqref="P7">
    <cfRule type="expression" dxfId="96" priority="95" stopIfTrue="1">
      <formula>IF(R7=0,0,BO7&gt;0)</formula>
    </cfRule>
  </conditionalFormatting>
  <conditionalFormatting sqref="Y7">
    <cfRule type="expression" dxfId="95" priority="94" stopIfTrue="1">
      <formula>IF(V7&gt;0,Y7&gt;0,0)</formula>
    </cfRule>
  </conditionalFormatting>
  <conditionalFormatting sqref="E7">
    <cfRule type="expression" dxfId="94" priority="92">
      <formula>IF(OR(D7&lt;1000,NOT($D$4=$CI$2)),IF($V7=0,0,IF(C7+D7=0,0,IF(ABS(U7-T7)&lt;0.05,0,IF(U7-T7&lt;0.05,1,IF(U7&lt;0.01,TRUE,T7&lt;0.01))))),0)</formula>
    </cfRule>
    <cfRule type="expression" dxfId="93" priority="93">
      <formula>IF($T7=0,0,IF(C7+D7=0,0,E7&lt;X7))</formula>
    </cfRule>
  </conditionalFormatting>
  <conditionalFormatting sqref="X7">
    <cfRule type="expression" dxfId="92" priority="90" stopIfTrue="1">
      <formula>IF(OR(D7&lt;1000,NOT($D$4=$CI$2)),IF($V7=0,0,IF(C7+D7=0,0,IF(ABS($T7-$U7)&lt;0.05,0,IF(U7&lt;0.01,TRUE,T7&lt;0.01)))),0)</formula>
    </cfRule>
    <cfRule type="expression" dxfId="91" priority="91" stopIfTrue="1">
      <formula>IF($T7=0,0,X7=CQ7)</formula>
    </cfRule>
  </conditionalFormatting>
  <conditionalFormatting sqref="I7">
    <cfRule type="expression" dxfId="90" priority="88" stopIfTrue="1">
      <formula>IF(R7="",I7&gt;0.99,0)</formula>
    </cfRule>
    <cfRule type="expression" dxfId="89" priority="89" stopIfTrue="1">
      <formula>I7=BG7</formula>
    </cfRule>
  </conditionalFormatting>
  <conditionalFormatting sqref="CB7">
    <cfRule type="expression" dxfId="88" priority="87" stopIfTrue="1">
      <formula>IF(CW7&gt;0,CB7&gt;0,0)</formula>
    </cfRule>
  </conditionalFormatting>
  <conditionalFormatting sqref="CA7">
    <cfRule type="expression" dxfId="87" priority="86" stopIfTrue="1">
      <formula>IF(CW7&gt;0,CA7&gt;0,0)</formula>
    </cfRule>
  </conditionalFormatting>
  <conditionalFormatting sqref="BZ7">
    <cfRule type="expression" dxfId="86" priority="85" stopIfTrue="1">
      <formula>IF(CW7&gt;0,BZ7&gt;0,0)</formula>
    </cfRule>
  </conditionalFormatting>
  <conditionalFormatting sqref="BY7">
    <cfRule type="expression" dxfId="85" priority="84" stopIfTrue="1">
      <formula>IF(CW7&gt;0,BY7&gt;0,0)</formula>
    </cfRule>
  </conditionalFormatting>
  <conditionalFormatting sqref="AQ7">
    <cfRule type="expression" dxfId="84" priority="83" stopIfTrue="1">
      <formula>IF(T7&gt;0,AQ7&gt;0,0)</formula>
    </cfRule>
  </conditionalFormatting>
  <conditionalFormatting sqref="AO7">
    <cfRule type="expression" dxfId="83" priority="82" stopIfTrue="1">
      <formula>IF(R7&gt;0,AO7&gt;0,0)</formula>
    </cfRule>
  </conditionalFormatting>
  <conditionalFormatting sqref="AM7">
    <cfRule type="expression" dxfId="82" priority="81" stopIfTrue="1">
      <formula>IF(P7&gt;0,AM7&gt;0,0)</formula>
    </cfRule>
  </conditionalFormatting>
  <conditionalFormatting sqref="AK7">
    <cfRule type="expression" dxfId="81" priority="80" stopIfTrue="1">
      <formula>IF(N7&gt;0,AK7&gt;0,0)</formula>
    </cfRule>
  </conditionalFormatting>
  <conditionalFormatting sqref="AI7">
    <cfRule type="expression" dxfId="80" priority="79" stopIfTrue="1">
      <formula>IF(L7&gt;0,AI7&gt;0,0)</formula>
    </cfRule>
  </conditionalFormatting>
  <conditionalFormatting sqref="C7">
    <cfRule type="expression" dxfId="79" priority="77" stopIfTrue="1">
      <formula>IF($V7=0,0,IF(C7=0,0,ABS($T7-$U7)&lt;0.05))</formula>
    </cfRule>
    <cfRule type="expression" dxfId="78" priority="78" stopIfTrue="1">
      <formula>IF(C7=0,0,OR(U7&lt;T7,T7=0))</formula>
    </cfRule>
  </conditionalFormatting>
  <conditionalFormatting sqref="D7">
    <cfRule type="expression" dxfId="77" priority="75" stopIfTrue="1">
      <formula>IF($V7=0,0,IF(D7=0,0,ABS($T7-$U7)&lt;0.05))</formula>
    </cfRule>
    <cfRule type="expression" dxfId="76" priority="76" stopIfTrue="1">
      <formula>OR(IF(D7&lt;1000,0,V7/BP7&gt;100),IF(OR(D7=0,D7="Services"),0,OR(U7&lt;T7,T7=0)))</formula>
    </cfRule>
  </conditionalFormatting>
  <conditionalFormatting sqref="J7">
    <cfRule type="expression" dxfId="75" priority="73" stopIfTrue="1">
      <formula>IF(R7=0,0,IF(ISERROR(VLOOKUP(J7,$A$163:$A$179,1,FALSE)),TRUE,FALSE))</formula>
    </cfRule>
    <cfRule type="expression" dxfId="74" priority="74" stopIfTrue="1">
      <formula>IF(V7=0,0,BH7&gt;0)</formula>
    </cfRule>
  </conditionalFormatting>
  <conditionalFormatting sqref="K7">
    <cfRule type="expression" dxfId="73" priority="71" stopIfTrue="1">
      <formula>IF(R7=0,0,IF(ISERROR(VLOOKUP(K7,$A$163:$A$186,1,FALSE)),TRUE,FALSE))</formula>
    </cfRule>
    <cfRule type="expression" dxfId="72" priority="72" stopIfTrue="1">
      <formula>IF(V7=0,0,BI7&gt;0)</formula>
    </cfRule>
  </conditionalFormatting>
  <conditionalFormatting sqref="L7">
    <cfRule type="expression" dxfId="71" priority="69" stopIfTrue="1">
      <formula>IF(R7=0,0,IF(ISERROR(VLOOKUP(L7,$A$163:$A$180,1,FALSE)),TRUE,FALSE))</formula>
    </cfRule>
    <cfRule type="expression" dxfId="70" priority="70" stopIfTrue="1">
      <formula>IF(V7=0,0,BJ7&gt;0)</formula>
    </cfRule>
  </conditionalFormatting>
  <conditionalFormatting sqref="M7">
    <cfRule type="expression" dxfId="69" priority="67" stopIfTrue="1">
      <formula>IF(R7=0,0,IF(ISERROR(VLOOKUP(M7,$A$163:$A$180,1,FALSE)),TRUE,FALSE))</formula>
    </cfRule>
    <cfRule type="expression" dxfId="68" priority="68" stopIfTrue="1">
      <formula>IF(V7=0,0,BK7&gt;0)</formula>
    </cfRule>
  </conditionalFormatting>
  <conditionalFormatting sqref="N7">
    <cfRule type="expression" dxfId="67" priority="65" stopIfTrue="1">
      <formula>IF(R7=0,0,IF(ISERROR(VLOOKUP(N7,$A$163:$A$180,1,FALSE)),TRUE,FALSE))</formula>
    </cfRule>
    <cfRule type="expression" dxfId="66" priority="66" stopIfTrue="1">
      <formula>IF(V7=0,0,BL7&gt;0)</formula>
    </cfRule>
  </conditionalFormatting>
  <conditionalFormatting sqref="O7">
    <cfRule type="expression" dxfId="65" priority="62" stopIfTrue="1">
      <formula>IF(R7=0,0,IF(ISERROR(VLOOKUP(O7,$A$163:$A$186,1,FALSE)),TRUE,FALSE))</formula>
    </cfRule>
    <cfRule type="expression" dxfId="64" priority="63" stopIfTrue="1">
      <formula>SUM(CY7:CZ7)&gt;0</formula>
    </cfRule>
    <cfRule type="expression" dxfId="63" priority="64" stopIfTrue="1">
      <formula>IF(CW7=0,0,IF(OR(CW7=" imagery",BO7&gt;0),TRUE,FALSE))</formula>
    </cfRule>
  </conditionalFormatting>
  <conditionalFormatting sqref="Q7">
    <cfRule type="expression" dxfId="62" priority="60">
      <formula>IF(R7=0,0,IF(ISERROR(VLOOKUP(Q7,$A$163:$A$180,1,FALSE)),1,0))</formula>
    </cfRule>
    <cfRule type="expression" dxfId="61" priority="61">
      <formula>IF(V7=0,0,BO7&gt;0)</formula>
    </cfRule>
  </conditionalFormatting>
  <conditionalFormatting sqref="S67">
    <cfRule type="expression" dxfId="60" priority="59">
      <formula>LEFT(B67,3)=S67</formula>
    </cfRule>
  </conditionalFormatting>
  <conditionalFormatting sqref="S21">
    <cfRule type="expression" dxfId="59" priority="58">
      <formula>LEFT(B21,3)=S21</formula>
    </cfRule>
  </conditionalFormatting>
  <conditionalFormatting sqref="S25">
    <cfRule type="expression" dxfId="58" priority="57">
      <formula>LEFT(B25,3)=S25</formula>
    </cfRule>
  </conditionalFormatting>
  <conditionalFormatting sqref="S29">
    <cfRule type="expression" dxfId="57" priority="56">
      <formula>LEFT(B29,3)=S29</formula>
    </cfRule>
  </conditionalFormatting>
  <conditionalFormatting sqref="S33">
    <cfRule type="expression" dxfId="56" priority="55">
      <formula>LEFT(B33,3)=S33</formula>
    </cfRule>
  </conditionalFormatting>
  <conditionalFormatting sqref="S37">
    <cfRule type="expression" dxfId="55" priority="54">
      <formula>LEFT(B37,3)=S37</formula>
    </cfRule>
  </conditionalFormatting>
  <conditionalFormatting sqref="S42">
    <cfRule type="expression" dxfId="54" priority="53">
      <formula>LEFT(B42,3)=S42</formula>
    </cfRule>
  </conditionalFormatting>
  <conditionalFormatting sqref="S46">
    <cfRule type="expression" dxfId="53" priority="52">
      <formula>LEFT(B46,3)=S46</formula>
    </cfRule>
  </conditionalFormatting>
  <conditionalFormatting sqref="S50">
    <cfRule type="expression" dxfId="52" priority="51">
      <formula>LEFT(B50,3)=S50</formula>
    </cfRule>
  </conditionalFormatting>
  <conditionalFormatting sqref="S54">
    <cfRule type="expression" dxfId="51" priority="50">
      <formula>LEFT(B54,3)=S54</formula>
    </cfRule>
  </conditionalFormatting>
  <conditionalFormatting sqref="S58">
    <cfRule type="expression" dxfId="50" priority="49">
      <formula>LEFT(B58,3)=S58</formula>
    </cfRule>
  </conditionalFormatting>
  <conditionalFormatting sqref="S63">
    <cfRule type="expression" dxfId="49" priority="48">
      <formula>LEFT(B63,3)=S63</formula>
    </cfRule>
  </conditionalFormatting>
  <conditionalFormatting sqref="S71">
    <cfRule type="expression" dxfId="48" priority="47">
      <formula>LEFT(B71,3)=S71</formula>
    </cfRule>
  </conditionalFormatting>
  <conditionalFormatting sqref="S75">
    <cfRule type="expression" dxfId="47" priority="46">
      <formula>LEFT(B75,3)=S75</formula>
    </cfRule>
  </conditionalFormatting>
  <conditionalFormatting sqref="S79">
    <cfRule type="expression" dxfId="46" priority="45">
      <formula>LEFT(B79,3)=S79</formula>
    </cfRule>
  </conditionalFormatting>
  <conditionalFormatting sqref="H5:H15">
    <cfRule type="expression" dxfId="45" priority="40" stopIfTrue="1">
      <formula>CX5&gt;0</formula>
    </cfRule>
    <cfRule type="expression" dxfId="44" priority="41">
      <formula>BK5&gt;0</formula>
    </cfRule>
  </conditionalFormatting>
  <conditionalFormatting sqref="B5:B15">
    <cfRule type="expression" dxfId="43" priority="39">
      <formula>BK5&gt;0</formula>
    </cfRule>
  </conditionalFormatting>
  <conditionalFormatting sqref="AF71">
    <cfRule type="expression" dxfId="42" priority="37">
      <formula>VLOOKUP(K71,HostMatch,9,FALSE)</formula>
    </cfRule>
    <cfRule type="expression" dxfId="41" priority="38">
      <formula>AF70=""</formula>
    </cfRule>
  </conditionalFormatting>
  <conditionalFormatting sqref="AF75">
    <cfRule type="expression" dxfId="40" priority="35">
      <formula>VLOOKUP(K75,HostMatch,9,FALSE)</formula>
    </cfRule>
    <cfRule type="expression" dxfId="39" priority="36">
      <formula>AF74=""</formula>
    </cfRule>
  </conditionalFormatting>
  <conditionalFormatting sqref="AF79">
    <cfRule type="expression" dxfId="38" priority="33">
      <formula>VLOOKUP(K79,HostMatch,9,FALSE)</formula>
    </cfRule>
    <cfRule type="expression" dxfId="37" priority="34">
      <formula>AF78=""</formula>
    </cfRule>
  </conditionalFormatting>
  <conditionalFormatting sqref="AF25">
    <cfRule type="expression" dxfId="36" priority="31">
      <formula>VLOOKUP(K25,HostMatch,9,FALSE)</formula>
    </cfRule>
    <cfRule type="expression" dxfId="35" priority="32">
      <formula>AF24=""</formula>
    </cfRule>
  </conditionalFormatting>
  <conditionalFormatting sqref="AF21">
    <cfRule type="expression" dxfId="34" priority="29">
      <formula>VLOOKUP(K21,HostMatch,9,FALSE)</formula>
    </cfRule>
    <cfRule type="expression" dxfId="33" priority="30">
      <formula>AF20=""</formula>
    </cfRule>
  </conditionalFormatting>
  <conditionalFormatting sqref="AF29">
    <cfRule type="expression" dxfId="32" priority="27">
      <formula>VLOOKUP(K29,HostMatch,9,FALSE)</formula>
    </cfRule>
    <cfRule type="expression" dxfId="31" priority="28">
      <formula>AF28=""</formula>
    </cfRule>
  </conditionalFormatting>
  <conditionalFormatting sqref="AF33">
    <cfRule type="expression" dxfId="30" priority="25">
      <formula>VLOOKUP(K33,HostMatch,9,FALSE)</formula>
    </cfRule>
    <cfRule type="expression" dxfId="29" priority="26">
      <formula>AF32=""</formula>
    </cfRule>
  </conditionalFormatting>
  <conditionalFormatting sqref="AF37">
    <cfRule type="expression" dxfId="28" priority="23">
      <formula>VLOOKUP(K37,HostMatch,9,FALSE)</formula>
    </cfRule>
    <cfRule type="expression" dxfId="27" priority="24">
      <formula>AF36=""</formula>
    </cfRule>
  </conditionalFormatting>
  <conditionalFormatting sqref="AF42">
    <cfRule type="expression" dxfId="26" priority="21">
      <formula>VLOOKUP(K42,HostMatch,9,FALSE)</formula>
    </cfRule>
    <cfRule type="expression" dxfId="25" priority="22">
      <formula>AF41=""</formula>
    </cfRule>
  </conditionalFormatting>
  <conditionalFormatting sqref="AF46">
    <cfRule type="expression" dxfId="24" priority="19">
      <formula>VLOOKUP(K46,HostMatch,9,FALSE)</formula>
    </cfRule>
    <cfRule type="expression" dxfId="23" priority="20">
      <formula>AF45=""</formula>
    </cfRule>
  </conditionalFormatting>
  <conditionalFormatting sqref="AF50">
    <cfRule type="expression" dxfId="22" priority="17">
      <formula>VLOOKUP(K50,HostMatch,9,FALSE)</formula>
    </cfRule>
    <cfRule type="expression" dxfId="21" priority="18">
      <formula>AF49=""</formula>
    </cfRule>
  </conditionalFormatting>
  <conditionalFormatting sqref="AF54">
    <cfRule type="expression" dxfId="20" priority="15">
      <formula>VLOOKUP(K54,HostMatch,9,FALSE)</formula>
    </cfRule>
    <cfRule type="expression" dxfId="19" priority="16">
      <formula>AF53=""</formula>
    </cfRule>
  </conditionalFormatting>
  <conditionalFormatting sqref="AF58">
    <cfRule type="expression" dxfId="18" priority="13">
      <formula>VLOOKUP(K58,HostMatch,9,FALSE)</formula>
    </cfRule>
    <cfRule type="expression" dxfId="17" priority="14">
      <formula>AF57=""</formula>
    </cfRule>
  </conditionalFormatting>
  <conditionalFormatting sqref="AF67">
    <cfRule type="expression" dxfId="16" priority="11">
      <formula>VLOOKUP(K67,HostMatch,9,FALSE)</formula>
    </cfRule>
    <cfRule type="expression" dxfId="15" priority="12">
      <formula>AF66=""</formula>
    </cfRule>
  </conditionalFormatting>
  <conditionalFormatting sqref="AF85">
    <cfRule type="expression" dxfId="14" priority="9">
      <formula>VLOOKUP(K85,HostMatch,9,FALSE)</formula>
    </cfRule>
    <cfRule type="expression" dxfId="13" priority="10">
      <formula>AF84=""</formula>
    </cfRule>
  </conditionalFormatting>
  <conditionalFormatting sqref="AF88">
    <cfRule type="expression" dxfId="12" priority="7">
      <formula>VLOOKUP(K88,HostMatch,9,FALSE)</formula>
    </cfRule>
    <cfRule type="expression" dxfId="11" priority="8">
      <formula>AF87=""</formula>
    </cfRule>
  </conditionalFormatting>
  <conditionalFormatting sqref="AF91">
    <cfRule type="expression" dxfId="10" priority="5">
      <formula>VLOOKUP(K91,HostMatch,9,FALSE)</formula>
    </cfRule>
    <cfRule type="expression" dxfId="9" priority="6">
      <formula>AF90=""</formula>
    </cfRule>
  </conditionalFormatting>
  <conditionalFormatting sqref="AF94">
    <cfRule type="expression" dxfId="8" priority="3">
      <formula>VLOOKUP(K94,HostMatch,9,FALSE)</formula>
    </cfRule>
    <cfRule type="expression" dxfId="7" priority="4">
      <formula>AF93=""</formula>
    </cfRule>
  </conditionalFormatting>
  <conditionalFormatting sqref="AF97">
    <cfRule type="expression" dxfId="6" priority="1">
      <formula>VLOOKUP(K97,HostMatch,9,FALSE)</formula>
    </cfRule>
    <cfRule type="expression" dxfId="5" priority="2">
      <formula>AF96=""</formula>
    </cfRule>
  </conditionalFormatting>
  <conditionalFormatting sqref="M9:M15">
    <cfRule type="expression" dxfId="4" priority="110493" stopIfTrue="1">
      <formula>IF(M9=0,0,IF(ISERROR(VLOOKUP(M9,$A$163:$A$186,1,FALSE)),TRUE,FALSE))</formula>
    </cfRule>
    <cfRule type="expression" dxfId="3" priority="110494" stopIfTrue="1">
      <formula>IF(CW9&gt;0,BK9&gt;0,0)</formula>
    </cfRule>
  </conditionalFormatting>
  <conditionalFormatting sqref="D1">
    <cfRule type="expression" dxfId="2" priority="110497">
      <formula>AND($D$1=$H$169,$T$2=$H$173)</formula>
    </cfRule>
    <cfRule type="expression" dxfId="1" priority="110498" stopIfTrue="1">
      <formula>$D$1=$H$171</formula>
    </cfRule>
  </conditionalFormatting>
  <conditionalFormatting sqref="T2">
    <cfRule type="expression" dxfId="0" priority="110499" stopIfTrue="1">
      <formula>$T$2=$H$175</formula>
    </cfRule>
  </conditionalFormatting>
  <dataValidations count="29">
    <dataValidation type="list" allowBlank="1" showInputMessage="1" showErrorMessage="1" sqref="B58 B97 B94 B91 B88 B85 B71 B63 B54 B50 B46 B42 B37 B33 B29 B25 B21 B79 B75 B67">
      <formula1>IF($A$16=$G$182,Project,  IF($A$16=$G$183,Windows,  IF($A$16=$G$184,AmazonVM,  IF($A$16=$G$185,AzureVM,  IF($A$16=$G$186,UNIX,SADS)))))</formula1>
    </dataValidation>
    <dataValidation type="list" allowBlank="1" showInputMessage="1" showErrorMessage="1" sqref="A16">
      <formula1>$G$182:$G$187</formula1>
    </dataValidation>
    <dataValidation type="list" allowBlank="1" showInputMessage="1" showErrorMessage="1" sqref="B18">
      <formula1>IF($A$16=$H$167,hwFAVORITES,HWList)</formula1>
    </dataValidation>
    <dataValidation type="list" allowBlank="1" showInputMessage="1" showErrorMessage="1" sqref="AF50 AF25 AF46 AF94 AF79 AF21 AF29 AF19 AF33 AF37 AF42 AF54 AF58 AF63 AF67 AF71 AF75 AF85 AF88 AF91 AF97">
      <formula1>GPU_Clients</formula1>
    </dataValidation>
    <dataValidation type="list" allowBlank="1" showInputMessage="1" showErrorMessage="1" sqref="R10:R12 R6:R8 R14">
      <formula1>IF(CW6=" Imagery",ImageryDataList,MapDataList)</formula1>
    </dataValidation>
    <dataValidation type="list" allowBlank="1" showInputMessage="1" showErrorMessage="1" sqref="I57 I78 I66 I70 I53 I49 I45 I41 I36 I28 I24 I32 I62 I20 I74">
      <formula1>$J$181:$J$185</formula1>
    </dataValidation>
    <dataValidation type="list" allowBlank="1" showInputMessage="1" showErrorMessage="1" sqref="D1">
      <formula1>$H$169:$H$171</formula1>
    </dataValidation>
    <dataValidation type="list" allowBlank="1" showInputMessage="1" showErrorMessage="1" sqref="O14 O6:O8 O10:O12">
      <formula1>$A$163:$A$182</formula1>
    </dataValidation>
    <dataValidation type="list" allowBlank="1" showInputMessage="1" showErrorMessage="1" sqref="W14 W6:W8 W10:W12">
      <formula1>$BB$18:$BB$19</formula1>
    </dataValidation>
    <dataValidation type="list" allowBlank="1" showInputMessage="1" showErrorMessage="1" sqref="BB68 BB66">
      <formula1>$BB$66:$BB$67</formula1>
    </dataValidation>
    <dataValidation type="list" allowBlank="1" showInputMessage="1" showErrorMessage="1" sqref="J76 J64 J55 J47 J80 J72 J68 J43 J38 J34 J30 J26 J22 I18 J51 J59">
      <formula1>$H$188:$H$189</formula1>
    </dataValidation>
    <dataValidation type="list" allowBlank="1" showInputMessage="1" showErrorMessage="1" sqref="J10:N12 J6:N8 Q6:Q8 Q14 Q10:Q12 J14:N14">
      <formula1>$A$163:$A$180</formula1>
    </dataValidation>
    <dataValidation type="list" allowBlank="1" showInputMessage="1" showErrorMessage="1" sqref="D4">
      <formula1>UserNeed</formula1>
    </dataValidation>
    <dataValidation type="list" allowBlank="1" showInputMessage="1" showErrorMessage="1" sqref="A4">
      <formula1>$H$163:$H$164</formula1>
    </dataValidation>
    <dataValidation type="list" allowBlank="1" showInputMessage="1" showErrorMessage="1" sqref="J5">
      <formula1>$A$164:$A$179</formula1>
    </dataValidation>
    <dataValidation type="list" allowBlank="1" showInputMessage="1" showErrorMessage="1" sqref="K5:N5 Q5">
      <formula1>$A$165:$A$180</formula1>
    </dataValidation>
    <dataValidation type="list" allowBlank="1" showInputMessage="1" showErrorMessage="1" sqref="BH2">
      <formula1>ServerCandidates</formula1>
    </dataValidation>
    <dataValidation type="list" allowBlank="1" showInputMessage="1" showErrorMessage="1" sqref="DG1">
      <formula1>$DG$2:$DG$3</formula1>
    </dataValidation>
    <dataValidation type="list" allowBlank="1" showInputMessage="1" showErrorMessage="1" sqref="J19">
      <formula1>VMset</formula1>
    </dataValidation>
    <dataValidation type="list" allowBlank="1" showInputMessage="1" showErrorMessage="1" sqref="H81 H39 H92 H31 H52 H23 H19 H48 H77 H73 H35 H27 H69 H98 H89 H86 H65 H44 H56 H95 H60">
      <formula1>$I$186:$I$187</formula1>
    </dataValidation>
    <dataValidation type="list" allowBlank="1" showInputMessage="1" showErrorMessage="1" sqref="B4">
      <formula1>$H$166:$H$167</formula1>
    </dataValidation>
    <dataValidation type="list" allowBlank="1" showInputMessage="1" showErrorMessage="1" sqref="I68 I76 I64 I43 I38 I34 I30 I22 I80 I72 I47 I51 I55 I59 I26">
      <formula1>VAlist</formula1>
    </dataValidation>
    <dataValidation type="list" allowBlank="1" showInputMessage="1" showErrorMessage="1" sqref="R90 R24 R28 R32 R36 R41 R66 R70 R74 R78 R84 R87 R20 R45 R49 R53 R57 R62 R93 R96">
      <formula1>IF(NOT(M21=""),osWorkstation,IF(NOT(N21=""),osWTS,IF(NOT(O20=""),osSOC,osDBMS)))</formula1>
    </dataValidation>
    <dataValidation type="list" allowBlank="1" showInputMessage="1" showErrorMessage="1" sqref="T2">
      <formula1>$H$173:$H$176</formula1>
    </dataValidation>
    <dataValidation type="list" allowBlank="1" showInputMessage="1" showErrorMessage="1" sqref="U89 U39 U92 U31 U52 U65 U86 U48 U98 U23 U27 U35 U73 U69 U77 U44 U56 U95 U60">
      <formula1>$I$188:$I$189</formula1>
    </dataValidation>
    <dataValidation type="list" allowBlank="1" showInputMessage="1" showErrorMessage="1" sqref="U2">
      <formula1>$H$178:$H$184</formula1>
    </dataValidation>
    <dataValidation type="list" allowBlank="1" showInputMessage="1" showErrorMessage="1" sqref="T96:T97 T20 T57 T59 T49 T51 T22 T24 T26 T28 T30 T32 T34 T36 T38 T41 T43 T66 T68 T70 T72 T74 T76 T78 T80 T82 T84:T85 T87:T88 T90:T91 T99 T45 T47 T53 T55 T62 T64 T93:T94">
      <formula1>$CK$20:$CK$105</formula1>
    </dataValidation>
    <dataValidation type="list" allowBlank="1" showInputMessage="1" showErrorMessage="1" sqref="H15 H5 H9 H13">
      <formula1>$HA$4:$HA$36</formula1>
    </dataValidation>
    <dataValidation type="list" allowBlank="1" showInputMessage="1" showErrorMessage="1" sqref="B14 B6:B8 B10:B12">
      <formula1>IF($B$4=$H$167,wfFavorites,wfList)</formula1>
    </dataValidation>
  </dataValidations>
  <hyperlinks>
    <hyperlink ref="V100" r:id="rId1" display=" - Enterprise GIS Resource Center"/>
    <hyperlink ref="V100:W100" r:id="rId2" display=" - System Design Strategies TRD"/>
  </hyperlinks>
  <pageMargins left="0.75" right="0.75" top="1" bottom="1" header="0.5" footer="0.5"/>
  <pageSetup scale="11" orientation="landscape" r:id="rId3"/>
  <headerFooter alignWithMargins="0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SP070118</vt:lpstr>
      <vt:lpstr>Favorites</vt:lpstr>
      <vt:lpstr>Needs</vt:lpstr>
      <vt:lpstr>HWPricing</vt:lpstr>
      <vt:lpstr>Test</vt:lpstr>
      <vt:lpstr>Hardware</vt:lpstr>
      <vt:lpstr>WFBaseline</vt:lpstr>
      <vt:lpstr>Hardware (2)</vt:lpstr>
      <vt:lpstr>PCCalc</vt:lpstr>
      <vt:lpstr>Calculator</vt:lpstr>
      <vt:lpstr>Workflow</vt:lpstr>
      <vt:lpstr>Design</vt:lpstr>
      <vt:lpstr>Design1</vt:lpstr>
    </vt:vector>
  </TitlesOfParts>
  <Company>ICTP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Arc07 Capacity Planning Tool</dc:title>
  <dc:subject>Capacity Planning</dc:subject>
  <dc:creator>David Peters</dc:creator>
  <cp:keywords>System Design</cp:keywords>
  <cp:lastModifiedBy>Microsoft Office User</cp:lastModifiedBy>
  <cp:lastPrinted>2010-09-18T05:30:33Z</cp:lastPrinted>
  <dcterms:created xsi:type="dcterms:W3CDTF">2006-09-05T00:18:20Z</dcterms:created>
  <dcterms:modified xsi:type="dcterms:W3CDTF">2019-11-12T14:44:30Z</dcterms:modified>
  <cp:category>System Architecture Design</cp:category>
</cp:coreProperties>
</file>