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TH 220\Utilities\"/>
    </mc:Choice>
  </mc:AlternateContent>
  <xr:revisionPtr revIDLastSave="0" documentId="13_ncr:1_{CD7E024A-4CEB-4CAB-963A-513A264326E6}" xr6:coauthVersionLast="36" xr6:coauthVersionMax="36" xr10:uidLastSave="{00000000-0000-0000-0000-000000000000}"/>
  <bookViews>
    <workbookView xWindow="12105" yWindow="-15" windowWidth="11910" windowHeight="1465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2" i="3" l="1"/>
  <c r="J15" i="2" l="1"/>
  <c r="I20" i="2" l="1"/>
  <c r="J20" i="2"/>
  <c r="K20" i="2" l="1"/>
  <c r="L20" i="2" s="1"/>
  <c r="H5" i="2"/>
  <c r="M7" i="2" l="1"/>
  <c r="M8" i="2" s="1"/>
  <c r="M9" i="2" s="1"/>
  <c r="C2" i="3"/>
  <c r="A55" i="3"/>
  <c r="A6" i="3"/>
  <c r="B3" i="3" l="1"/>
  <c r="A3" i="3"/>
  <c r="A7" i="3"/>
  <c r="D5" i="1"/>
  <c r="K10" i="2" l="1"/>
  <c r="I10" i="2"/>
  <c r="B5" i="3"/>
  <c r="J10" i="2"/>
  <c r="B6" i="3"/>
  <c r="A8" i="3"/>
  <c r="B7" i="3"/>
  <c r="D10" i="1"/>
  <c r="L10" i="2" l="1"/>
  <c r="A9" i="3"/>
  <c r="B8" i="3"/>
  <c r="C15" i="1"/>
  <c r="C10" i="1"/>
  <c r="C5" i="1"/>
  <c r="E9" i="2"/>
  <c r="C9" i="2"/>
  <c r="D9" i="2"/>
  <c r="I15" i="2" s="1"/>
  <c r="I6" i="1"/>
  <c r="I11" i="1"/>
  <c r="I12" i="1" s="1"/>
  <c r="I13" i="1" s="1"/>
  <c r="G6" i="1"/>
  <c r="D15" i="1"/>
  <c r="C9" i="1"/>
  <c r="C14" i="1" s="1"/>
  <c r="C8" i="1"/>
  <c r="C13" i="1"/>
  <c r="D3" i="2" l="1"/>
  <c r="F13" i="2" s="1"/>
  <c r="K15" i="2"/>
  <c r="L15" i="2" s="1"/>
  <c r="F9" i="2"/>
  <c r="A10" i="3"/>
  <c r="B9" i="3"/>
  <c r="E3" i="2" l="1"/>
  <c r="D11" i="2"/>
  <c r="C13" i="2"/>
  <c r="E12" i="2"/>
  <c r="E13" i="2"/>
  <c r="D14" i="2"/>
  <c r="C14" i="2" s="1"/>
  <c r="E14" i="2" s="1"/>
  <c r="F14" i="2" s="1"/>
  <c r="L24" i="2" s="1"/>
  <c r="C12" i="2"/>
  <c r="D13" i="2"/>
  <c r="A11" i="3"/>
  <c r="B10" i="3"/>
  <c r="I24" i="2" l="1"/>
  <c r="A12" i="3"/>
  <c r="B11" i="3"/>
  <c r="A13" i="3" l="1"/>
  <c r="B12" i="3"/>
  <c r="A14" i="3" l="1"/>
  <c r="B13" i="3"/>
  <c r="A15" i="3" l="1"/>
  <c r="B14" i="3"/>
  <c r="A16" i="3" l="1"/>
  <c r="B15" i="3"/>
  <c r="A17" i="3" l="1"/>
  <c r="B16" i="3"/>
  <c r="A18" i="3" l="1"/>
  <c r="B17" i="3"/>
  <c r="A19" i="3" l="1"/>
  <c r="B18" i="3"/>
  <c r="A20" i="3" l="1"/>
  <c r="B19" i="3"/>
  <c r="A21" i="3" l="1"/>
  <c r="B20" i="3"/>
  <c r="A22" i="3" l="1"/>
  <c r="B21" i="3"/>
  <c r="A23" i="3" l="1"/>
  <c r="B22" i="3"/>
  <c r="A24" i="3" l="1"/>
  <c r="B23" i="3"/>
  <c r="A25" i="3" l="1"/>
  <c r="B24" i="3"/>
  <c r="A26" i="3" l="1"/>
  <c r="B25" i="3"/>
  <c r="A27" i="3" l="1"/>
  <c r="B26" i="3"/>
  <c r="A28" i="3" l="1"/>
  <c r="B27" i="3"/>
  <c r="A29" i="3" l="1"/>
  <c r="B28" i="3"/>
  <c r="A30" i="3" l="1"/>
  <c r="B29" i="3"/>
  <c r="A31" i="3" l="1"/>
  <c r="B30" i="3"/>
  <c r="A32" i="3" l="1"/>
  <c r="B31" i="3"/>
  <c r="A33" i="3" l="1"/>
  <c r="B32" i="3"/>
  <c r="A34" i="3" l="1"/>
  <c r="B33" i="3"/>
  <c r="A35" i="3" l="1"/>
  <c r="B34" i="3"/>
  <c r="A36" i="3" l="1"/>
  <c r="B35" i="3"/>
  <c r="A37" i="3" l="1"/>
  <c r="B36" i="3"/>
  <c r="A38" i="3" l="1"/>
  <c r="B37" i="3"/>
  <c r="A39" i="3" l="1"/>
  <c r="B38" i="3"/>
  <c r="A40" i="3" l="1"/>
  <c r="B39" i="3"/>
  <c r="A41" i="3" l="1"/>
  <c r="B40" i="3"/>
  <c r="A42" i="3" l="1"/>
  <c r="B41" i="3"/>
  <c r="A43" i="3" l="1"/>
  <c r="B42" i="3"/>
  <c r="A44" i="3" l="1"/>
  <c r="B43" i="3"/>
  <c r="A45" i="3" l="1"/>
  <c r="B44" i="3"/>
  <c r="A46" i="3" l="1"/>
  <c r="B45" i="3"/>
  <c r="A47" i="3" l="1"/>
  <c r="B46" i="3"/>
  <c r="A48" i="3" l="1"/>
  <c r="B47" i="3"/>
  <c r="A49" i="3" l="1"/>
  <c r="B48" i="3"/>
  <c r="A50" i="3" l="1"/>
  <c r="B49" i="3"/>
  <c r="A51" i="3" l="1"/>
  <c r="B50" i="3"/>
  <c r="A52" i="3" l="1"/>
  <c r="B51" i="3"/>
  <c r="A53" i="3" l="1"/>
  <c r="B52" i="3"/>
  <c r="B53" i="3" l="1"/>
  <c r="A54" i="3"/>
  <c r="B54" i="3" l="1"/>
  <c r="B55" i="3"/>
</calcChain>
</file>

<file path=xl/sharedStrings.xml><?xml version="1.0" encoding="utf-8"?>
<sst xmlns="http://schemas.openxmlformats.org/spreadsheetml/2006/main" count="101" uniqueCount="44">
  <si>
    <t>Binomial Probabilities</t>
  </si>
  <si>
    <t>Exact</t>
  </si>
  <si>
    <t>Input</t>
  </si>
  <si>
    <t>Number</t>
  </si>
  <si>
    <t>n(Success)</t>
  </si>
  <si>
    <t xml:space="preserve">of </t>
  </si>
  <si>
    <t>n(Success-Lo)</t>
  </si>
  <si>
    <t>P[Success]</t>
  </si>
  <si>
    <t>Successes</t>
  </si>
  <si>
    <t>n(Success-Hi)</t>
  </si>
  <si>
    <t>Output</t>
  </si>
  <si>
    <t>Between</t>
  </si>
  <si>
    <t>At Least</t>
  </si>
  <si>
    <t>Binomial Parameters</t>
  </si>
  <si>
    <t>of</t>
  </si>
  <si>
    <t>Mean</t>
  </si>
  <si>
    <t>At Most</t>
  </si>
  <si>
    <t>Variance</t>
  </si>
  <si>
    <t>Std Deviation</t>
  </si>
  <si>
    <t>Binomial Confidence Intervals for Population Proportion</t>
  </si>
  <si>
    <t>Inputs</t>
  </si>
  <si>
    <t>Alpha</t>
  </si>
  <si>
    <t>Obs Successes</t>
  </si>
  <si>
    <t>Sample Size</t>
  </si>
  <si>
    <t>Lower</t>
  </si>
  <si>
    <t>Upper</t>
  </si>
  <si>
    <t>Limit</t>
  </si>
  <si>
    <t>Estimate</t>
  </si>
  <si>
    <t>n</t>
  </si>
  <si>
    <t>Exact Interval</t>
  </si>
  <si>
    <t>Bayesian Interval</t>
  </si>
  <si>
    <t>Prior:</t>
  </si>
  <si>
    <t>x</t>
  </si>
  <si>
    <t>f(x)</t>
  </si>
  <si>
    <t>Beta Parameters</t>
  </si>
  <si>
    <t>alpha</t>
  </si>
  <si>
    <t>beta</t>
  </si>
  <si>
    <t>No Info</t>
  </si>
  <si>
    <t>With Info</t>
  </si>
  <si>
    <t>Wilson Interval</t>
  </si>
  <si>
    <t>Width</t>
  </si>
  <si>
    <t>Minimum Width Interval</t>
  </si>
  <si>
    <t>Confidence Level</t>
  </si>
  <si>
    <t>Agresti-Coull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</si>
</sst>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/>
    <xf numFmtId="0" fontId="2" fillId="2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9" fontId="8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Prior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Sheet3!$A$5:$A$55</c:f>
              <c:numCache>
                <c:formatCode>General</c:formatCode>
                <c:ptCount val="51"/>
                <c:pt idx="0">
                  <c:v>1.0000000000000001E-5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0.99999000000000005</c:v>
                </c:pt>
              </c:numCache>
            </c:numRef>
          </c:xVal>
          <c:yVal>
            <c:numRef>
              <c:f>Sheet3!$B$5:$B$55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B4-4437-A4CB-13FAC44E0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586735"/>
        <c:axId val="726897375"/>
      </c:scatterChart>
      <c:valAx>
        <c:axId val="80458673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97375"/>
        <c:crosses val="autoZero"/>
        <c:crossBetween val="midCat"/>
      </c:valAx>
      <c:valAx>
        <c:axId val="7268973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8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138112</xdr:colOff>
      <xdr:row>10</xdr:row>
      <xdr:rowOff>38100</xdr:rowOff>
    </xdr:from>
    <xdr:to>
      <xdr:col>19</xdr:col>
      <xdr:colOff>309562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A946AC-1D46-4940-A60E-55C4106B5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RowColHeaders="0" tabSelected="1" zoomScale="140" zoomScaleNormal="140" workbookViewId="0"/>
  </sheetViews>
  <sheetFormatPr defaultRowHeight="15" x14ac:dyDescent="0.25"/>
  <cols>
    <col min="2" max="2" width="9.7109375" customWidth="1"/>
    <col min="3" max="3" width="15.28515625" customWidth="1"/>
    <col min="8" max="8" width="13.42578125" customWidth="1"/>
    <col min="11" max="11" width="12" bestFit="1" customWidth="1"/>
  </cols>
  <sheetData>
    <row r="1" spans="1:10" ht="15.75" x14ac:dyDescent="0.25">
      <c r="A1" s="2" t="s">
        <v>0</v>
      </c>
    </row>
    <row r="2" spans="1:10" x14ac:dyDescent="0.25">
      <c r="B2" s="1" t="s">
        <v>1</v>
      </c>
      <c r="C2" s="9" t="s">
        <v>28</v>
      </c>
      <c r="D2" s="10">
        <v>45</v>
      </c>
      <c r="E2" s="3" t="s">
        <v>2</v>
      </c>
      <c r="G2" s="1" t="s">
        <v>3</v>
      </c>
      <c r="H2" s="9" t="s">
        <v>28</v>
      </c>
      <c r="I2" s="10">
        <v>19</v>
      </c>
      <c r="J2" s="3" t="s">
        <v>2</v>
      </c>
    </row>
    <row r="3" spans="1:10" x14ac:dyDescent="0.25">
      <c r="B3" s="1" t="s">
        <v>3</v>
      </c>
      <c r="C3" s="9" t="s">
        <v>4</v>
      </c>
      <c r="D3" s="10">
        <v>16</v>
      </c>
      <c r="E3" s="3" t="s">
        <v>2</v>
      </c>
      <c r="G3" s="1" t="s">
        <v>5</v>
      </c>
      <c r="H3" s="9" t="s">
        <v>6</v>
      </c>
      <c r="I3" s="10">
        <v>5</v>
      </c>
      <c r="J3" s="3" t="s">
        <v>2</v>
      </c>
    </row>
    <row r="4" spans="1:10" x14ac:dyDescent="0.25">
      <c r="B4" s="1" t="s">
        <v>5</v>
      </c>
      <c r="C4" s="9" t="s">
        <v>7</v>
      </c>
      <c r="D4" s="10">
        <v>0.5</v>
      </c>
      <c r="E4" s="3" t="s">
        <v>2</v>
      </c>
      <c r="G4" s="1" t="s">
        <v>8</v>
      </c>
      <c r="H4" s="9" t="s">
        <v>9</v>
      </c>
      <c r="I4" s="10">
        <v>14</v>
      </c>
      <c r="J4" s="3" t="s">
        <v>2</v>
      </c>
    </row>
    <row r="5" spans="1:10" x14ac:dyDescent="0.25">
      <c r="B5" s="1" t="s">
        <v>8</v>
      </c>
      <c r="C5" s="9" t="str">
        <f>CONCATENATE("P[X=",D3," in ",D2,"]")</f>
        <v>P[X=16 in 45]</v>
      </c>
      <c r="D5" s="11">
        <f>MAX(0,COMBIN(D2,D3)*(D4^D3)*((1-D4)^(D2-D3)))</f>
        <v>1.8378228303674859E-2</v>
      </c>
      <c r="E5" s="4" t="s">
        <v>10</v>
      </c>
      <c r="G5" s="1" t="s">
        <v>11</v>
      </c>
      <c r="H5" s="9" t="s">
        <v>7</v>
      </c>
      <c r="I5" s="10">
        <v>0.5</v>
      </c>
      <c r="J5" s="3" t="s">
        <v>2</v>
      </c>
    </row>
    <row r="6" spans="1:10" x14ac:dyDescent="0.25">
      <c r="B6" s="5"/>
      <c r="C6" s="5"/>
      <c r="D6" s="5"/>
      <c r="E6" s="5"/>
      <c r="G6" s="27" t="str">
        <f>CONCATENATE("P[",I3,"&lt;=X&lt;=",I4," in ",I2,"]")</f>
        <v>P[5&lt;=X&lt;=14 in 19]</v>
      </c>
      <c r="H6" s="28"/>
      <c r="I6" s="11">
        <f>BINOMDIST(I4,I2,I5,TRUE) - IF(I3=0,0,BINOMDIST(I3-1,I2,I5,TRUE))</f>
        <v>0.9807891845703125</v>
      </c>
      <c r="J6" s="4" t="s">
        <v>10</v>
      </c>
    </row>
    <row r="7" spans="1:10" x14ac:dyDescent="0.25">
      <c r="B7" s="1" t="s">
        <v>12</v>
      </c>
      <c r="C7" s="9" t="s">
        <v>28</v>
      </c>
      <c r="D7" s="10">
        <v>45</v>
      </c>
      <c r="E7" s="3" t="s">
        <v>2</v>
      </c>
    </row>
    <row r="8" spans="1:10" ht="15.75" x14ac:dyDescent="0.25">
      <c r="B8" s="1" t="s">
        <v>3</v>
      </c>
      <c r="C8" s="9" t="str">
        <f>C3</f>
        <v>n(Success)</v>
      </c>
      <c r="D8" s="10">
        <v>16</v>
      </c>
      <c r="E8" s="3" t="s">
        <v>2</v>
      </c>
      <c r="G8" s="6" t="s">
        <v>13</v>
      </c>
    </row>
    <row r="9" spans="1:10" x14ac:dyDescent="0.25">
      <c r="B9" s="1" t="s">
        <v>14</v>
      </c>
      <c r="C9" s="9" t="str">
        <f>C4</f>
        <v>P[Success]</v>
      </c>
      <c r="D9" s="10">
        <v>0.5</v>
      </c>
      <c r="E9" s="3" t="s">
        <v>2</v>
      </c>
      <c r="H9" s="9" t="s">
        <v>28</v>
      </c>
      <c r="I9" s="10">
        <v>500</v>
      </c>
      <c r="J9" s="3" t="s">
        <v>2</v>
      </c>
    </row>
    <row r="10" spans="1:10" x14ac:dyDescent="0.25">
      <c r="B10" s="1" t="s">
        <v>8</v>
      </c>
      <c r="C10" s="9" t="str">
        <f>CONCATENATE("P[X&gt;=",D8," in ",D7,"]")</f>
        <v>P[X&gt;=16 in 45]</v>
      </c>
      <c r="D10" s="11">
        <f>IF(D8&lt;=0,1,1 - BINOMDIST(D8-1,D7,D9,TRUE))</f>
        <v>0.98215109822240265</v>
      </c>
      <c r="E10" s="4" t="s">
        <v>10</v>
      </c>
      <c r="H10" s="9" t="s">
        <v>7</v>
      </c>
      <c r="I10" s="10">
        <v>0.4</v>
      </c>
      <c r="J10" s="3" t="s">
        <v>2</v>
      </c>
    </row>
    <row r="11" spans="1:10" x14ac:dyDescent="0.25">
      <c r="B11" s="5"/>
      <c r="C11" s="5"/>
      <c r="D11" s="5"/>
      <c r="E11" s="5"/>
      <c r="H11" s="9" t="s">
        <v>15</v>
      </c>
      <c r="I11" s="11">
        <f>I9*I10</f>
        <v>200</v>
      </c>
      <c r="J11" s="4" t="s">
        <v>10</v>
      </c>
    </row>
    <row r="12" spans="1:10" x14ac:dyDescent="0.25">
      <c r="B12" s="1" t="s">
        <v>16</v>
      </c>
      <c r="C12" s="9" t="s">
        <v>28</v>
      </c>
      <c r="D12" s="10">
        <v>45</v>
      </c>
      <c r="E12" s="3" t="s">
        <v>2</v>
      </c>
      <c r="H12" s="9" t="s">
        <v>17</v>
      </c>
      <c r="I12" s="11">
        <f>I11*(1-I10)</f>
        <v>120</v>
      </c>
      <c r="J12" s="4" t="s">
        <v>10</v>
      </c>
    </row>
    <row r="13" spans="1:10" x14ac:dyDescent="0.25">
      <c r="B13" s="1" t="s">
        <v>3</v>
      </c>
      <c r="C13" s="9" t="str">
        <f>C8</f>
        <v>n(Success)</v>
      </c>
      <c r="D13" s="10">
        <v>16</v>
      </c>
      <c r="E13" s="3" t="s">
        <v>2</v>
      </c>
      <c r="H13" s="9" t="s">
        <v>18</v>
      </c>
      <c r="I13" s="11">
        <f>SQRT(I12)</f>
        <v>10.954451150103322</v>
      </c>
      <c r="J13" s="4" t="s">
        <v>10</v>
      </c>
    </row>
    <row r="14" spans="1:10" x14ac:dyDescent="0.25">
      <c r="B14" s="1" t="s">
        <v>14</v>
      </c>
      <c r="C14" s="9" t="str">
        <f>C9</f>
        <v>P[Success]</v>
      </c>
      <c r="D14" s="10">
        <v>0.5</v>
      </c>
      <c r="E14" s="3" t="s">
        <v>2</v>
      </c>
    </row>
    <row r="15" spans="1:10" x14ac:dyDescent="0.25">
      <c r="B15" s="1" t="s">
        <v>8</v>
      </c>
      <c r="C15" s="9" t="str">
        <f>CONCATENATE("P[X&lt;=",D13," in ",D12,"]")</f>
        <v>P[X&lt;=16 in 45]</v>
      </c>
      <c r="D15" s="11">
        <f>BINOMDIST(D13,D12,D14,TRUE)</f>
        <v>3.6227130081272256E-2</v>
      </c>
      <c r="E15" s="4" t="s">
        <v>10</v>
      </c>
    </row>
  </sheetData>
  <mergeCells count="1"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B6" sqref="B6"/>
    </sheetView>
  </sheetViews>
  <sheetFormatPr defaultRowHeight="15" x14ac:dyDescent="0.25"/>
  <cols>
    <col min="1" max="1" width="13.85546875" customWidth="1"/>
    <col min="12" max="12" width="9.42578125" customWidth="1"/>
    <col min="13" max="13" width="11.140625" customWidth="1"/>
  </cols>
  <sheetData>
    <row r="1" spans="1:14" ht="15.75" x14ac:dyDescent="0.25">
      <c r="A1" s="2" t="s">
        <v>19</v>
      </c>
    </row>
    <row r="2" spans="1:14" x14ac:dyDescent="0.25">
      <c r="A2" s="27" t="s">
        <v>20</v>
      </c>
      <c r="B2" s="30"/>
    </row>
    <row r="3" spans="1:14" x14ac:dyDescent="0.25">
      <c r="A3" s="7" t="s">
        <v>21</v>
      </c>
      <c r="B3" s="8">
        <v>0.05</v>
      </c>
      <c r="D3" s="13">
        <f>SQRT(B5*MIN(D9,1-D9)/MAX(D9,1-D9))</f>
        <v>4.9827287912243987</v>
      </c>
      <c r="E3" t="str">
        <f>IF(D3&lt;=3,"This interval more approriate than interval based on Normal approximation","Normal approximation interval should be similar")</f>
        <v>Normal approximation interval should be similar</v>
      </c>
    </row>
    <row r="4" spans="1:14" x14ac:dyDescent="0.25">
      <c r="A4" s="7" t="s">
        <v>22</v>
      </c>
      <c r="B4" s="8">
        <v>16</v>
      </c>
    </row>
    <row r="5" spans="1:14" x14ac:dyDescent="0.25">
      <c r="A5" s="7" t="s">
        <v>23</v>
      </c>
      <c r="B5" s="8">
        <v>45</v>
      </c>
      <c r="F5" s="29" t="s">
        <v>42</v>
      </c>
      <c r="G5" s="29"/>
      <c r="H5" s="26">
        <f>1-B3</f>
        <v>0.95</v>
      </c>
    </row>
    <row r="6" spans="1:14" x14ac:dyDescent="0.25">
      <c r="A6" s="7"/>
      <c r="B6" s="7"/>
      <c r="C6" s="31" t="s">
        <v>29</v>
      </c>
      <c r="D6" s="31"/>
      <c r="E6" s="31"/>
      <c r="I6" s="29" t="s">
        <v>30</v>
      </c>
      <c r="J6" s="29"/>
      <c r="K6" s="29"/>
    </row>
    <row r="7" spans="1:14" x14ac:dyDescent="0.25">
      <c r="C7" s="11" t="s">
        <v>24</v>
      </c>
      <c r="D7" s="11"/>
      <c r="E7" s="11" t="s">
        <v>25</v>
      </c>
      <c r="I7" s="21"/>
      <c r="J7" s="23" t="s">
        <v>31</v>
      </c>
      <c r="K7" s="17" t="s">
        <v>37</v>
      </c>
      <c r="L7" s="19" t="s">
        <v>37</v>
      </c>
      <c r="M7" s="29" t="str">
        <f>IF(LEFT(K7,1)="W","Prior Information","No Prior Information")</f>
        <v>No Prior Information</v>
      </c>
      <c r="N7" s="29"/>
    </row>
    <row r="8" spans="1:14" x14ac:dyDescent="0.25">
      <c r="C8" s="11" t="s">
        <v>26</v>
      </c>
      <c r="D8" s="11" t="s">
        <v>27</v>
      </c>
      <c r="E8" s="11" t="s">
        <v>26</v>
      </c>
      <c r="F8" s="18" t="s">
        <v>40</v>
      </c>
      <c r="I8" s="16" t="s">
        <v>24</v>
      </c>
      <c r="J8" s="16"/>
      <c r="K8" s="16" t="s">
        <v>25</v>
      </c>
      <c r="L8" s="19" t="s">
        <v>38</v>
      </c>
      <c r="M8" s="14" t="str">
        <f>IF(LEFT(M7,1)="N","","Expected")</f>
        <v/>
      </c>
      <c r="N8" s="15"/>
    </row>
    <row r="9" spans="1:14" x14ac:dyDescent="0.25">
      <c r="C9" s="11">
        <f>IF(B4 = 0,0,B4/(B4+(B5-B4+1)*FINV(IF(B4=B5,B3,B3/2),2*(B5-B4+1),2*B4)))</f>
        <v>0.21868401073558566</v>
      </c>
      <c r="D9" s="11">
        <f>B4/B5</f>
        <v>0.35555555555555557</v>
      </c>
      <c r="E9" s="11">
        <f>IF(B4=B5,1,1-(B5-B4)/(B5-B4+(B4+1)*FINV(IF(B4=0,B3,B3/2),2*(B4+1),2*(B5-B4))))</f>
        <v>0.51219899485185372</v>
      </c>
      <c r="F9" s="20">
        <f>E9-C9</f>
        <v>0.29351498411626809</v>
      </c>
      <c r="I9" s="16" t="s">
        <v>26</v>
      </c>
      <c r="J9" s="16" t="s">
        <v>27</v>
      </c>
      <c r="K9" s="16" t="s">
        <v>26</v>
      </c>
      <c r="L9" s="18" t="s">
        <v>40</v>
      </c>
      <c r="M9" s="22" t="str">
        <f>IF(M8="","",CONCATENATE("Half-",L9))</f>
        <v/>
      </c>
      <c r="N9" s="15"/>
    </row>
    <row r="10" spans="1:14" x14ac:dyDescent="0.25">
      <c r="I10" s="17">
        <f>_xlfn.BETA.INV(B3/2,B4+Sheet3!A3,B5-B4+Sheet3!B3)</f>
        <v>0.23206571879994423</v>
      </c>
      <c r="J10" s="17">
        <f>(B5/(B5+Sheet3!A3+Sheet3!B3))*B4/B5 + (Sheet3!C2)*(1 - B5/(B5+Sheet3!A3+Sheet3!B3))</f>
        <v>0.36170212765957444</v>
      </c>
      <c r="K10" s="17">
        <f>_xlfn.BETA.INV(1-B3/2,B4+Sheet3!A3,B5-B4+Sheet3!B3)</f>
        <v>0.50249005067296348</v>
      </c>
      <c r="L10" s="20">
        <f>K10-I10</f>
        <v>0.27042433187301929</v>
      </c>
    </row>
    <row r="11" spans="1:14" x14ac:dyDescent="0.25">
      <c r="D11" s="17" t="str">
        <f>IF(D3&gt;3,"Approximate Interval","")</f>
        <v>Approximate Interval</v>
      </c>
    </row>
    <row r="12" spans="1:14" x14ac:dyDescent="0.25">
      <c r="C12" s="12" t="str">
        <f>IF($D$3&gt;3,C7,"")</f>
        <v>Lower</v>
      </c>
      <c r="D12" s="12"/>
      <c r="E12" s="12" t="str">
        <f>IF($D$3&gt;3,E7,"")</f>
        <v>Upper</v>
      </c>
      <c r="I12" s="29" t="s">
        <v>39</v>
      </c>
      <c r="J12" s="29"/>
      <c r="K12" s="29"/>
    </row>
    <row r="13" spans="1:14" x14ac:dyDescent="0.25">
      <c r="C13" s="12" t="str">
        <f>IF($D$3&gt;3,C8,"")</f>
        <v>Limit</v>
      </c>
      <c r="D13" s="12" t="str">
        <f t="shared" ref="D13:F14" si="0">IF($D$3&gt;3,D8,"")</f>
        <v>Estimate</v>
      </c>
      <c r="E13" s="12" t="str">
        <f t="shared" si="0"/>
        <v>Limit</v>
      </c>
      <c r="F13" s="18" t="str">
        <f t="shared" si="0"/>
        <v>Width</v>
      </c>
      <c r="I13" s="20" t="s">
        <v>24</v>
      </c>
      <c r="J13" s="20"/>
      <c r="K13" s="20" t="s">
        <v>25</v>
      </c>
    </row>
    <row r="14" spans="1:14" x14ac:dyDescent="0.25">
      <c r="C14" s="12">
        <f>IF(D14="","",D14 + _xlfn.NORM.S.INV(B3/2)*SQRT(D14*(1-D14)/B5))</f>
        <v>0.21569723442449981</v>
      </c>
      <c r="D14" s="12">
        <f t="shared" si="0"/>
        <v>0.35555555555555557</v>
      </c>
      <c r="E14" s="12">
        <f>IF(D14="","",2*D14-C14)</f>
        <v>0.4954138766866113</v>
      </c>
      <c r="F14" s="18">
        <f>IF(E14="","",E14-C14)</f>
        <v>0.27971664226211146</v>
      </c>
      <c r="I14" s="20" t="s">
        <v>26</v>
      </c>
      <c r="J14" s="20" t="s">
        <v>27</v>
      </c>
      <c r="K14" s="20" t="s">
        <v>26</v>
      </c>
      <c r="L14" s="18" t="s">
        <v>40</v>
      </c>
    </row>
    <row r="15" spans="1:14" x14ac:dyDescent="0.25">
      <c r="I15" s="20">
        <f>J15-_xlfn.NORM.S.INV(1-B3/2)*SQRT((1/(B5+(_xlfn.NORM.S.INV(1-B3/2))^2))*(D9*(1-D9)*B5/(B5+(_xlfn.NORM.S.INV(1-B3/2))^2) + (_xlfn.NORM.S.INV(1-B3/2)^2)/(4*(B5+(_xlfn.NORM.S.INV(1-B3/2))^2))))</f>
        <v>0.23219082604215871</v>
      </c>
      <c r="J15" s="20">
        <f>(B4+(_xlfn.NORM.S.INV(1-B3/2)^2)/2)/(B5+(_xlfn.NORM.S.INV(1-B3/2)^2))</f>
        <v>0.36691634203919499</v>
      </c>
      <c r="K15" s="20">
        <f>2*J15-I15</f>
        <v>0.50164185803623129</v>
      </c>
      <c r="L15" s="20">
        <f>K15-I15</f>
        <v>0.26945103199407261</v>
      </c>
    </row>
    <row r="17" spans="9:12" x14ac:dyDescent="0.25">
      <c r="I17" s="29" t="s">
        <v>43</v>
      </c>
      <c r="J17" s="29"/>
      <c r="K17" s="29"/>
    </row>
    <row r="18" spans="9:12" x14ac:dyDescent="0.25">
      <c r="I18" s="25" t="s">
        <v>24</v>
      </c>
      <c r="J18" s="25"/>
      <c r="K18" s="25" t="s">
        <v>25</v>
      </c>
    </row>
    <row r="19" spans="9:12" x14ac:dyDescent="0.25">
      <c r="I19" s="25" t="s">
        <v>26</v>
      </c>
      <c r="J19" s="25" t="s">
        <v>27</v>
      </c>
      <c r="K19" s="25" t="s">
        <v>26</v>
      </c>
      <c r="L19" s="24" t="s">
        <v>40</v>
      </c>
    </row>
    <row r="20" spans="9:12" x14ac:dyDescent="0.25">
      <c r="I20" s="25">
        <f>J15-_xlfn.NORM.S.INV(1-B3/2)*SQRT(J15*(1-J15)/(B5+(_xlfn.NORM.S.INV(1-B3/2))^2))</f>
        <v>0.23175021918523492</v>
      </c>
      <c r="J20" s="25">
        <f>J15</f>
        <v>0.36691634203919499</v>
      </c>
      <c r="K20" s="25">
        <f>2*J20-I20</f>
        <v>0.502082464893155</v>
      </c>
      <c r="L20" s="25">
        <f>K20-I20</f>
        <v>0.27033224570792008</v>
      </c>
    </row>
    <row r="23" spans="9:12" x14ac:dyDescent="0.25">
      <c r="I23" s="29" t="s">
        <v>41</v>
      </c>
      <c r="J23" s="29"/>
      <c r="K23" s="29"/>
      <c r="L23" s="20" t="s">
        <v>40</v>
      </c>
    </row>
    <row r="24" spans="9:12" x14ac:dyDescent="0.25">
      <c r="I24" s="29" t="str">
        <f>IF(F9=L24,C6,IF(L10=L24,I6,IF(L15=L24,I12,D11)))</f>
        <v>Wilson Interval</v>
      </c>
      <c r="J24" s="29"/>
      <c r="K24" s="29"/>
      <c r="L24" s="20">
        <f>MIN(F9,L10,L15,L20,F14)</f>
        <v>0.26945103199407261</v>
      </c>
    </row>
  </sheetData>
  <mergeCells count="9">
    <mergeCell ref="I24:K24"/>
    <mergeCell ref="F5:G5"/>
    <mergeCell ref="A2:B2"/>
    <mergeCell ref="C6:E6"/>
    <mergeCell ref="M7:N7"/>
    <mergeCell ref="I6:K6"/>
    <mergeCell ref="I12:K12"/>
    <mergeCell ref="I17:K17"/>
    <mergeCell ref="I23:K23"/>
  </mergeCells>
  <conditionalFormatting sqref="D3">
    <cfRule type="cellIs" dxfId="2" priority="1" operator="equal">
      <formula>3</formula>
    </cfRule>
    <cfRule type="cellIs" dxfId="1" priority="2" operator="greaterThan">
      <formula>3</formula>
    </cfRule>
    <cfRule type="cellIs" dxfId="0" priority="3" operator="lessThan">
      <formula>3</formula>
    </cfRule>
  </conditionalFormatting>
  <dataValidations count="1">
    <dataValidation type="list" allowBlank="1" showInputMessage="1" showErrorMessage="1" sqref="K7" xr:uid="{778F1306-33CB-4D95-9FCC-5874726C3024}">
      <formula1>$L$7:$L$8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workbookViewId="0"/>
  </sheetViews>
  <sheetFormatPr defaultRowHeight="15" x14ac:dyDescent="0.25"/>
  <sheetData>
    <row r="1" spans="1:4" x14ac:dyDescent="0.25">
      <c r="A1" t="s">
        <v>34</v>
      </c>
      <c r="C1" t="s">
        <v>15</v>
      </c>
      <c r="D1" t="s">
        <v>17</v>
      </c>
    </row>
    <row r="2" spans="1:4" x14ac:dyDescent="0.25">
      <c r="A2" t="s">
        <v>35</v>
      </c>
      <c r="B2" t="s">
        <v>36</v>
      </c>
      <c r="C2">
        <f>IF(Sheet2!N8="",0.5,Sheet2!N8)</f>
        <v>0.5</v>
      </c>
      <c r="D2">
        <f>IF(Sheet2!N9="",IF(Sheet2!N8="",1/12,(IF(Sheet2!N8&gt;0.5,1-Sheet2!N8,Sheet2!N8)/2)^2),(Sheet2!N9/2)^2)</f>
        <v>8.3333333333333329E-2</v>
      </c>
    </row>
    <row r="3" spans="1:4" x14ac:dyDescent="0.25">
      <c r="A3">
        <f>C2*((1-C2)*C2/D2 - 1)</f>
        <v>1</v>
      </c>
      <c r="B3">
        <f>(1-C2)*((1-C2)*C2/D2 - 1)</f>
        <v>1</v>
      </c>
    </row>
    <row r="4" spans="1:4" x14ac:dyDescent="0.25">
      <c r="A4" t="s">
        <v>32</v>
      </c>
      <c r="B4" t="s">
        <v>33</v>
      </c>
    </row>
    <row r="5" spans="1:4" x14ac:dyDescent="0.25">
      <c r="A5">
        <v>1.0000000000000001E-5</v>
      </c>
      <c r="B5">
        <f>_xlfn.BETA.DIST(A5,A$3,B$3,FALSE)</f>
        <v>1</v>
      </c>
    </row>
    <row r="6" spans="1:4" x14ac:dyDescent="0.25">
      <c r="A6">
        <f>0.02</f>
        <v>0.02</v>
      </c>
      <c r="B6">
        <f t="shared" ref="B6:B55" si="0">_xlfn.BETA.DIST(A6,A$3,B$3,FALSE)</f>
        <v>1</v>
      </c>
    </row>
    <row r="7" spans="1:4" x14ac:dyDescent="0.25">
      <c r="A7">
        <f t="shared" ref="A7:A53" si="1">A6+0.02</f>
        <v>0.04</v>
      </c>
      <c r="B7">
        <f t="shared" si="0"/>
        <v>1</v>
      </c>
    </row>
    <row r="8" spans="1:4" x14ac:dyDescent="0.25">
      <c r="A8">
        <f t="shared" si="1"/>
        <v>0.06</v>
      </c>
      <c r="B8">
        <f t="shared" si="0"/>
        <v>1</v>
      </c>
    </row>
    <row r="9" spans="1:4" x14ac:dyDescent="0.25">
      <c r="A9">
        <f t="shared" si="1"/>
        <v>0.08</v>
      </c>
      <c r="B9">
        <f t="shared" si="0"/>
        <v>1</v>
      </c>
    </row>
    <row r="10" spans="1:4" x14ac:dyDescent="0.25">
      <c r="A10">
        <f t="shared" si="1"/>
        <v>0.1</v>
      </c>
      <c r="B10">
        <f t="shared" si="0"/>
        <v>1</v>
      </c>
    </row>
    <row r="11" spans="1:4" x14ac:dyDescent="0.25">
      <c r="A11">
        <f t="shared" si="1"/>
        <v>0.12000000000000001</v>
      </c>
      <c r="B11">
        <f t="shared" si="0"/>
        <v>1</v>
      </c>
    </row>
    <row r="12" spans="1:4" x14ac:dyDescent="0.25">
      <c r="A12">
        <f t="shared" si="1"/>
        <v>0.14000000000000001</v>
      </c>
      <c r="B12">
        <f t="shared" si="0"/>
        <v>1</v>
      </c>
    </row>
    <row r="13" spans="1:4" x14ac:dyDescent="0.25">
      <c r="A13">
        <f t="shared" si="1"/>
        <v>0.16</v>
      </c>
      <c r="B13">
        <f t="shared" si="0"/>
        <v>1</v>
      </c>
    </row>
    <row r="14" spans="1:4" x14ac:dyDescent="0.25">
      <c r="A14">
        <f t="shared" si="1"/>
        <v>0.18</v>
      </c>
      <c r="B14">
        <f t="shared" si="0"/>
        <v>1</v>
      </c>
    </row>
    <row r="15" spans="1:4" x14ac:dyDescent="0.25">
      <c r="A15">
        <f t="shared" si="1"/>
        <v>0.19999999999999998</v>
      </c>
      <c r="B15">
        <f t="shared" si="0"/>
        <v>1</v>
      </c>
    </row>
    <row r="16" spans="1:4" x14ac:dyDescent="0.25">
      <c r="A16">
        <f t="shared" si="1"/>
        <v>0.21999999999999997</v>
      </c>
      <c r="B16">
        <f t="shared" si="0"/>
        <v>1</v>
      </c>
    </row>
    <row r="17" spans="1:2" x14ac:dyDescent="0.25">
      <c r="A17">
        <f t="shared" si="1"/>
        <v>0.23999999999999996</v>
      </c>
      <c r="B17">
        <f t="shared" si="0"/>
        <v>1</v>
      </c>
    </row>
    <row r="18" spans="1:2" x14ac:dyDescent="0.25">
      <c r="A18">
        <f t="shared" si="1"/>
        <v>0.25999999999999995</v>
      </c>
      <c r="B18">
        <f t="shared" si="0"/>
        <v>1</v>
      </c>
    </row>
    <row r="19" spans="1:2" x14ac:dyDescent="0.25">
      <c r="A19">
        <f t="shared" si="1"/>
        <v>0.27999999999999997</v>
      </c>
      <c r="B19">
        <f t="shared" si="0"/>
        <v>1</v>
      </c>
    </row>
    <row r="20" spans="1:2" x14ac:dyDescent="0.25">
      <c r="A20">
        <f t="shared" si="1"/>
        <v>0.3</v>
      </c>
      <c r="B20">
        <f t="shared" si="0"/>
        <v>1</v>
      </c>
    </row>
    <row r="21" spans="1:2" x14ac:dyDescent="0.25">
      <c r="A21">
        <f t="shared" si="1"/>
        <v>0.32</v>
      </c>
      <c r="B21">
        <f t="shared" si="0"/>
        <v>1</v>
      </c>
    </row>
    <row r="22" spans="1:2" x14ac:dyDescent="0.25">
      <c r="A22">
        <f t="shared" si="1"/>
        <v>0.34</v>
      </c>
      <c r="B22">
        <f t="shared" si="0"/>
        <v>1</v>
      </c>
    </row>
    <row r="23" spans="1:2" x14ac:dyDescent="0.25">
      <c r="A23">
        <f t="shared" si="1"/>
        <v>0.36000000000000004</v>
      </c>
      <c r="B23">
        <f t="shared" si="0"/>
        <v>1</v>
      </c>
    </row>
    <row r="24" spans="1:2" x14ac:dyDescent="0.25">
      <c r="A24">
        <f t="shared" si="1"/>
        <v>0.38000000000000006</v>
      </c>
      <c r="B24">
        <f t="shared" si="0"/>
        <v>1</v>
      </c>
    </row>
    <row r="25" spans="1:2" x14ac:dyDescent="0.25">
      <c r="A25">
        <f t="shared" si="1"/>
        <v>0.40000000000000008</v>
      </c>
      <c r="B25">
        <f t="shared" si="0"/>
        <v>1</v>
      </c>
    </row>
    <row r="26" spans="1:2" x14ac:dyDescent="0.25">
      <c r="A26">
        <f t="shared" si="1"/>
        <v>0.4200000000000001</v>
      </c>
      <c r="B26">
        <f t="shared" si="0"/>
        <v>1</v>
      </c>
    </row>
    <row r="27" spans="1:2" x14ac:dyDescent="0.25">
      <c r="A27">
        <f t="shared" si="1"/>
        <v>0.44000000000000011</v>
      </c>
      <c r="B27">
        <f t="shared" si="0"/>
        <v>1</v>
      </c>
    </row>
    <row r="28" spans="1:2" x14ac:dyDescent="0.25">
      <c r="A28">
        <f t="shared" si="1"/>
        <v>0.46000000000000013</v>
      </c>
      <c r="B28">
        <f t="shared" si="0"/>
        <v>1</v>
      </c>
    </row>
    <row r="29" spans="1:2" x14ac:dyDescent="0.25">
      <c r="A29">
        <f t="shared" si="1"/>
        <v>0.48000000000000015</v>
      </c>
      <c r="B29">
        <f t="shared" si="0"/>
        <v>1</v>
      </c>
    </row>
    <row r="30" spans="1:2" x14ac:dyDescent="0.25">
      <c r="A30">
        <f t="shared" si="1"/>
        <v>0.50000000000000011</v>
      </c>
      <c r="B30">
        <f t="shared" si="0"/>
        <v>1</v>
      </c>
    </row>
    <row r="31" spans="1:2" x14ac:dyDescent="0.25">
      <c r="A31">
        <f t="shared" si="1"/>
        <v>0.52000000000000013</v>
      </c>
      <c r="B31">
        <f t="shared" si="0"/>
        <v>1</v>
      </c>
    </row>
    <row r="32" spans="1:2" x14ac:dyDescent="0.25">
      <c r="A32">
        <f t="shared" si="1"/>
        <v>0.54000000000000015</v>
      </c>
      <c r="B32">
        <f t="shared" si="0"/>
        <v>1</v>
      </c>
    </row>
    <row r="33" spans="1:2" x14ac:dyDescent="0.25">
      <c r="A33">
        <f t="shared" si="1"/>
        <v>0.56000000000000016</v>
      </c>
      <c r="B33">
        <f t="shared" si="0"/>
        <v>1</v>
      </c>
    </row>
    <row r="34" spans="1:2" x14ac:dyDescent="0.25">
      <c r="A34">
        <f t="shared" si="1"/>
        <v>0.58000000000000018</v>
      </c>
      <c r="B34">
        <f t="shared" si="0"/>
        <v>1</v>
      </c>
    </row>
    <row r="35" spans="1:2" x14ac:dyDescent="0.25">
      <c r="A35">
        <f t="shared" si="1"/>
        <v>0.6000000000000002</v>
      </c>
      <c r="B35">
        <f t="shared" si="0"/>
        <v>1</v>
      </c>
    </row>
    <row r="36" spans="1:2" x14ac:dyDescent="0.25">
      <c r="A36">
        <f t="shared" si="1"/>
        <v>0.62000000000000022</v>
      </c>
      <c r="B36">
        <f t="shared" si="0"/>
        <v>1</v>
      </c>
    </row>
    <row r="37" spans="1:2" x14ac:dyDescent="0.25">
      <c r="A37">
        <f t="shared" si="1"/>
        <v>0.64000000000000024</v>
      </c>
      <c r="B37">
        <f t="shared" si="0"/>
        <v>1</v>
      </c>
    </row>
    <row r="38" spans="1:2" x14ac:dyDescent="0.25">
      <c r="A38">
        <f t="shared" si="1"/>
        <v>0.66000000000000025</v>
      </c>
      <c r="B38">
        <f t="shared" si="0"/>
        <v>1</v>
      </c>
    </row>
    <row r="39" spans="1:2" x14ac:dyDescent="0.25">
      <c r="A39">
        <f t="shared" si="1"/>
        <v>0.68000000000000027</v>
      </c>
      <c r="B39">
        <f t="shared" si="0"/>
        <v>1</v>
      </c>
    </row>
    <row r="40" spans="1:2" x14ac:dyDescent="0.25">
      <c r="A40">
        <f t="shared" si="1"/>
        <v>0.70000000000000029</v>
      </c>
      <c r="B40">
        <f t="shared" si="0"/>
        <v>1</v>
      </c>
    </row>
    <row r="41" spans="1:2" x14ac:dyDescent="0.25">
      <c r="A41">
        <f t="shared" si="1"/>
        <v>0.72000000000000031</v>
      </c>
      <c r="B41">
        <f t="shared" si="0"/>
        <v>1</v>
      </c>
    </row>
    <row r="42" spans="1:2" x14ac:dyDescent="0.25">
      <c r="A42">
        <f t="shared" si="1"/>
        <v>0.74000000000000032</v>
      </c>
      <c r="B42">
        <f t="shared" si="0"/>
        <v>1</v>
      </c>
    </row>
    <row r="43" spans="1:2" x14ac:dyDescent="0.25">
      <c r="A43">
        <f t="shared" si="1"/>
        <v>0.76000000000000034</v>
      </c>
      <c r="B43">
        <f t="shared" si="0"/>
        <v>1</v>
      </c>
    </row>
    <row r="44" spans="1:2" x14ac:dyDescent="0.25">
      <c r="A44">
        <f t="shared" si="1"/>
        <v>0.78000000000000036</v>
      </c>
      <c r="B44">
        <f t="shared" si="0"/>
        <v>1</v>
      </c>
    </row>
    <row r="45" spans="1:2" x14ac:dyDescent="0.25">
      <c r="A45">
        <f t="shared" si="1"/>
        <v>0.80000000000000038</v>
      </c>
      <c r="B45">
        <f t="shared" si="0"/>
        <v>1</v>
      </c>
    </row>
    <row r="46" spans="1:2" x14ac:dyDescent="0.25">
      <c r="A46">
        <f t="shared" si="1"/>
        <v>0.8200000000000004</v>
      </c>
      <c r="B46">
        <f t="shared" si="0"/>
        <v>1</v>
      </c>
    </row>
    <row r="47" spans="1:2" x14ac:dyDescent="0.25">
      <c r="A47">
        <f t="shared" si="1"/>
        <v>0.84000000000000041</v>
      </c>
      <c r="B47">
        <f t="shared" si="0"/>
        <v>1</v>
      </c>
    </row>
    <row r="48" spans="1:2" x14ac:dyDescent="0.25">
      <c r="A48">
        <f t="shared" si="1"/>
        <v>0.86000000000000043</v>
      </c>
      <c r="B48">
        <f t="shared" si="0"/>
        <v>1</v>
      </c>
    </row>
    <row r="49" spans="1:2" x14ac:dyDescent="0.25">
      <c r="A49">
        <f t="shared" si="1"/>
        <v>0.88000000000000045</v>
      </c>
      <c r="B49">
        <f t="shared" si="0"/>
        <v>1</v>
      </c>
    </row>
    <row r="50" spans="1:2" x14ac:dyDescent="0.25">
      <c r="A50">
        <f t="shared" si="1"/>
        <v>0.90000000000000047</v>
      </c>
      <c r="B50">
        <f t="shared" si="0"/>
        <v>1</v>
      </c>
    </row>
    <row r="51" spans="1:2" x14ac:dyDescent="0.25">
      <c r="A51">
        <f t="shared" si="1"/>
        <v>0.92000000000000048</v>
      </c>
      <c r="B51">
        <f t="shared" si="0"/>
        <v>1</v>
      </c>
    </row>
    <row r="52" spans="1:2" x14ac:dyDescent="0.25">
      <c r="A52">
        <f t="shared" si="1"/>
        <v>0.9400000000000005</v>
      </c>
      <c r="B52">
        <f t="shared" si="0"/>
        <v>1</v>
      </c>
    </row>
    <row r="53" spans="1:2" x14ac:dyDescent="0.25">
      <c r="A53">
        <f t="shared" si="1"/>
        <v>0.96000000000000052</v>
      </c>
      <c r="B53">
        <f t="shared" si="0"/>
        <v>1</v>
      </c>
    </row>
    <row r="54" spans="1:2" x14ac:dyDescent="0.25">
      <c r="A54">
        <f>A53+0.02</f>
        <v>0.98000000000000054</v>
      </c>
      <c r="B54">
        <f t="shared" si="0"/>
        <v>1</v>
      </c>
    </row>
    <row r="55" spans="1:2" x14ac:dyDescent="0.25">
      <c r="A55">
        <f>1-A5</f>
        <v>0.99999000000000005</v>
      </c>
      <c r="B55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SFASU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hendersork</dc:creator>
  <cp:keywords/>
  <dc:description/>
  <cp:lastModifiedBy>SFA User</cp:lastModifiedBy>
  <cp:revision/>
  <dcterms:created xsi:type="dcterms:W3CDTF">2009-10-01T19:38:49Z</dcterms:created>
  <dcterms:modified xsi:type="dcterms:W3CDTF">2022-01-27T21:30:18Z</dcterms:modified>
  <cp:category/>
  <cp:contentStatus/>
</cp:coreProperties>
</file>