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.Filip\Documents\VST104\PSpiceModels\"/>
    </mc:Choice>
  </mc:AlternateContent>
  <xr:revisionPtr revIDLastSave="0" documentId="8_{DC2E3F74-A1E1-458D-9FE4-B373494E81E9}" xr6:coauthVersionLast="45" xr6:coauthVersionMax="45" xr10:uidLastSave="{00000000-0000-0000-0000-000000000000}"/>
  <bookViews>
    <workbookView xWindow="-5925" yWindow="60" windowWidth="21600" windowHeight="11385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_ext">'Calculation Sheet'!$D$55</definedName>
    <definedName name="Cdvdt_ext_cal1">'Calculation Sheet'!$D$52</definedName>
    <definedName name="Cext">'Calculation Sheet'!$H$11</definedName>
    <definedName name="Cext_dvdt_cal2">'Calculation Sheet'!$D$53</definedName>
    <definedName name="Cexttol">'Calculation Sheet'!$H$12</definedName>
    <definedName name="Cgs_gate">'Calculation Sheet'!$D$90</definedName>
    <definedName name="Cint">'Calculation Sheet'!$H$10</definedName>
    <definedName name="Cout">'Calculation Sheet'!$D$8</definedName>
    <definedName name="Coutp">'Calculation Sheet'!$H$7</definedName>
    <definedName name="Ctot">'Calculation Sheet'!$H$15</definedName>
    <definedName name="Gain_dvdt">'Calculation Sheet'!$D$48</definedName>
    <definedName name="GainCdvdt">'Calculation Sheet'!$O$5</definedName>
    <definedName name="I_dvdt">'Calculation Sheet'!$D$47</definedName>
    <definedName name="Icharge">'Calculation Sheet'!$D$57</definedName>
    <definedName name="Icharge_req">'Calculation Sheet'!$D$51</definedName>
    <definedName name="Ichgmax">'Calculation Sheet'!$H$9</definedName>
    <definedName name="Igs_gate">'Calculation Sheet'!$D$91</definedName>
    <definedName name="Ilimit">'Calculation Sheet'!$D$14</definedName>
    <definedName name="Ilimit_final">'Calculation Sheet'!$D$40</definedName>
    <definedName name="Ilimit_offset">'Calculation Sheet'!$D$110</definedName>
    <definedName name="Ilimit_vset">'Calculation Sheet'!$D$109</definedName>
    <definedName name="Imax">'Calculation Sheet'!$D$12</definedName>
    <definedName name="Imon_chg">'Calculation Sheet'!$D$107</definedName>
    <definedName name="Imon_gain">'Calculation Sheet'!$D$107</definedName>
    <definedName name="OVref">'Calculation Sheet'!$D$104</definedName>
    <definedName name="OVset">'Calculation Sheet'!$D$7</definedName>
    <definedName name="PGTH">'Calculation Sheet'!$D$13</definedName>
    <definedName name="PGTH_REF">'Calculation Sheet'!$D$108</definedName>
    <definedName name="Rdson_125deg">'Calculation Sheet'!$D$89</definedName>
    <definedName name="Rdson_25deg">'Calculation Sheet'!$D$87</definedName>
    <definedName name="Rdson_85deg">'Calculation Sheet'!$D$88</definedName>
    <definedName name="Rilim">'Calculation Sheet'!$D$39</definedName>
    <definedName name="Rlimit">'Calculation Sheet'!$D$39</definedName>
    <definedName name="Rlstart">'Calculation Sheet'!$D$11</definedName>
    <definedName name="RMON_sel">'Calculation Sheet'!$D$74</definedName>
    <definedName name="RpPGTH">'Calculation Sheet'!$D$18</definedName>
    <definedName name="RpUVLO">'Calculation Sheet'!$D$17</definedName>
    <definedName name="Rtheta_ja_max">'Calculation Sheet'!$B$77</definedName>
    <definedName name="Tch">'Calculation Sheet'!$H$19</definedName>
    <definedName name="Tchg_dvdt">'Calculation Sheet'!$D$56</definedName>
    <definedName name="Tchg_req">'Calculation Sheet'!$D$50</definedName>
    <definedName name="Tchmin">'Calculation Sheet'!$D$105</definedName>
    <definedName name="Tj_max">'Calculation Sheet'!$B$71</definedName>
    <definedName name="UVref">'Calculation Sheet'!$D$103</definedName>
    <definedName name="UVset">'Calculation Sheet'!$D$6</definedName>
    <definedName name="Vcc_max">'Calculation Sheet'!$D$5</definedName>
    <definedName name="Vsys">'Calculation Sheet'!$H$6</definedName>
    <definedName name="Ztheta_jc_tran">'Calculation Sheet'!$B$73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M18" i="1" l="1"/>
  <c r="M17" i="1"/>
  <c r="J21" i="1" l="1"/>
  <c r="D21" i="1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F40" i="1" l="1"/>
  <c r="F42" i="1" s="1"/>
  <c r="C33" i="1" l="1"/>
  <c r="C28" i="1"/>
  <c r="C26" i="1"/>
  <c r="F25" i="1"/>
  <c r="F23" i="1"/>
  <c r="F24" i="1" s="1"/>
  <c r="F75" i="1" l="1"/>
  <c r="F56" i="1"/>
  <c r="F57" i="1" s="1"/>
  <c r="F41" i="1"/>
  <c r="F108" i="1"/>
  <c r="F33" i="1" s="1"/>
  <c r="F32" i="1" s="1"/>
  <c r="F104" i="1"/>
  <c r="F28" i="1" s="1"/>
  <c r="F29" i="1" s="1"/>
  <c r="F26" i="1"/>
  <c r="F27" i="1" s="1"/>
  <c r="B74" i="13"/>
  <c r="B73" i="13" s="1"/>
  <c r="B71" i="13"/>
  <c r="B70" i="13" s="1"/>
  <c r="B69" i="13" s="1"/>
  <c r="B67" i="13"/>
  <c r="B66" i="13"/>
  <c r="B65" i="13"/>
  <c r="B63" i="13"/>
  <c r="B62" i="13"/>
  <c r="B61" i="13" s="1"/>
  <c r="B59" i="13"/>
  <c r="B58" i="13" s="1"/>
  <c r="B57" i="13" s="1"/>
  <c r="B55" i="13"/>
  <c r="B54" i="13"/>
  <c r="B53" i="13" s="1"/>
  <c r="B51" i="13"/>
  <c r="B50" i="13"/>
  <c r="B49" i="13"/>
  <c r="B47" i="13"/>
  <c r="B46" i="13" s="1"/>
  <c r="B45" i="13" s="1"/>
  <c r="B43" i="13"/>
  <c r="B42" i="13" s="1"/>
  <c r="B41" i="13" s="1"/>
  <c r="B39" i="13"/>
  <c r="B38" i="13"/>
  <c r="B37" i="13" s="1"/>
  <c r="B35" i="13"/>
  <c r="B34" i="13"/>
  <c r="B33" i="13"/>
  <c r="B31" i="13"/>
  <c r="B30" i="13"/>
  <c r="B29" i="13" s="1"/>
  <c r="C74" i="13"/>
  <c r="C73" i="13" s="1"/>
  <c r="C71" i="13"/>
  <c r="C70" i="13"/>
  <c r="C69" i="13" s="1"/>
  <c r="C67" i="13"/>
  <c r="C66" i="13" s="1"/>
  <c r="C65" i="13" s="1"/>
  <c r="C63" i="13"/>
  <c r="C62" i="13" s="1"/>
  <c r="C61" i="13" s="1"/>
  <c r="C59" i="13"/>
  <c r="C58" i="13"/>
  <c r="C57" i="13"/>
  <c r="C55" i="13"/>
  <c r="C54" i="13"/>
  <c r="C53" i="13" s="1"/>
  <c r="C51" i="13"/>
  <c r="C50" i="13" s="1"/>
  <c r="C49" i="13" s="1"/>
  <c r="C47" i="13"/>
  <c r="C46" i="13"/>
  <c r="C45" i="13" s="1"/>
  <c r="C43" i="13"/>
  <c r="C42" i="13"/>
  <c r="C41" i="13" s="1"/>
  <c r="C39" i="13"/>
  <c r="C38" i="13"/>
  <c r="C37" i="13" s="1"/>
  <c r="C35" i="13"/>
  <c r="C34" i="13"/>
  <c r="C33" i="13"/>
  <c r="C31" i="13"/>
  <c r="C30" i="13"/>
  <c r="C29" i="13"/>
  <c r="C27" i="13"/>
  <c r="C26" i="13"/>
  <c r="C25" i="13" s="1"/>
  <c r="C23" i="13"/>
  <c r="C22" i="13"/>
  <c r="C21" i="13" s="1"/>
  <c r="C19" i="13"/>
  <c r="C18" i="13" s="1"/>
  <c r="C17" i="13" s="1"/>
  <c r="D61" i="1"/>
  <c r="D53" i="1"/>
  <c r="D14" i="1"/>
  <c r="D37" i="1" l="1"/>
  <c r="M37" i="1" s="1"/>
  <c r="M39" i="1" s="1"/>
  <c r="G39" i="1" s="1"/>
  <c r="D39" i="1" s="1"/>
  <c r="M21" i="1"/>
  <c r="M25" i="1" s="1"/>
  <c r="G25" i="1" s="1"/>
  <c r="D25" i="1" s="1"/>
  <c r="D31" i="1" l="1"/>
  <c r="D40" i="1"/>
  <c r="M19" i="1"/>
  <c r="M23" i="1" s="1"/>
  <c r="G23" i="1" s="1"/>
  <c r="D23" i="1" s="1"/>
  <c r="G73" i="1" l="1"/>
  <c r="M73" i="1" s="1"/>
  <c r="M74" i="1" s="1"/>
  <c r="G74" i="1" s="1"/>
  <c r="D74" i="1" s="1"/>
  <c r="D73" i="1"/>
  <c r="D42" i="1"/>
  <c r="J39" i="1" s="1"/>
  <c r="J38" i="1"/>
  <c r="D33" i="1"/>
  <c r="M20" i="1"/>
  <c r="M24" i="1" s="1"/>
  <c r="G24" i="1" s="1"/>
  <c r="D24" i="1" s="1"/>
  <c r="D49" i="1"/>
  <c r="D32" i="1" l="1"/>
  <c r="J18" i="1"/>
  <c r="D28" i="1"/>
  <c r="D52" i="1"/>
  <c r="D29" i="1" l="1"/>
  <c r="J22" i="1"/>
  <c r="D30" i="1"/>
  <c r="D26" i="1"/>
  <c r="G55" i="1"/>
  <c r="D55" i="1" s="1"/>
  <c r="D56" i="1" s="1"/>
  <c r="C31" i="14" s="1"/>
  <c r="D27" i="1" l="1"/>
  <c r="J20" i="1" s="1"/>
  <c r="J19" i="1"/>
  <c r="D57" i="1"/>
  <c r="D63" i="1"/>
  <c r="D75" i="1"/>
  <c r="D76" i="1" s="1"/>
  <c r="D41" i="1"/>
  <c r="D58" i="1" l="1"/>
  <c r="D62" i="1" s="1"/>
  <c r="B31" i="14" s="1"/>
  <c r="J37" i="1"/>
  <c r="D68" i="1"/>
  <c r="D69" i="1"/>
  <c r="D64" i="1" l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a0393740</author>
    <author>a0176617</author>
  </authors>
  <commentList>
    <comment ref="D13" authorId="0" shapeId="0" xr:uid="{00000000-0006-0000-0000-000001000000}">
      <text>
        <r>
          <rPr>
            <sz val="9"/>
            <color indexed="81"/>
            <rFont val="Tahoma"/>
            <family val="2"/>
          </rPr>
          <t>Generally it is set to 0.9*Vout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>Higher value will limit the input current drawn from source</t>
        </r>
      </text>
    </comment>
    <comment ref="C18" authorId="0" shapeId="0" xr:uid="{00000000-0006-0000-0000-000003000000}">
      <text>
        <r>
          <rPr>
            <sz val="9"/>
            <color indexed="81"/>
            <rFont val="Tahoma"/>
            <family val="2"/>
          </rPr>
          <t>Higher value will limit the input current drawn from source;</t>
        </r>
      </text>
    </comment>
    <comment ref="C9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Assumption:</t>
        </r>
        <r>
          <rPr>
            <sz val="8"/>
            <color indexed="81"/>
            <rFont val="Tahoma"/>
            <family val="2"/>
          </rPr>
          <t xml:space="preserve">
Depends on application PCB</t>
        </r>
      </text>
    </comment>
  </commentList>
</comments>
</file>

<file path=xl/sharedStrings.xml><?xml version="1.0" encoding="utf-8"?>
<sst xmlns="http://schemas.openxmlformats.org/spreadsheetml/2006/main" count="292" uniqueCount="217">
  <si>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</si>
  <si>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</si>
  <si>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</si>
  <si>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</si>
  <si>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</si>
  <si>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</si>
  <si>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</si>
  <si>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</si>
  <si>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nF</t>
  </si>
  <si>
    <t>VCC (max)</t>
  </si>
  <si>
    <t>Maximum system input voltage (magnitude)</t>
  </si>
  <si>
    <t>Cout</t>
  </si>
  <si>
    <t>Load Capacitance</t>
  </si>
  <si>
    <t>uF</t>
  </si>
  <si>
    <t>Imax</t>
  </si>
  <si>
    <t>Maximum continuous load current (magnitude)</t>
  </si>
  <si>
    <t>Ilimit</t>
  </si>
  <si>
    <t>Ilimit_final</t>
  </si>
  <si>
    <t>Final current Limit Set Point</t>
  </si>
  <si>
    <t>Calculated current limit resistor</t>
  </si>
  <si>
    <t>kOhm</t>
  </si>
  <si>
    <t>Operating temperature</t>
  </si>
  <si>
    <t>degC</t>
  </si>
  <si>
    <t xml:space="preserve">Max Ambient Temperature </t>
  </si>
  <si>
    <t>TJ(Max)</t>
  </si>
  <si>
    <t>TA(max)</t>
  </si>
  <si>
    <t>Parameters internal to Device</t>
  </si>
  <si>
    <t>VDSS (min)</t>
  </si>
  <si>
    <t>FET drain-source voltage rating (minimum)</t>
  </si>
  <si>
    <t>ID(min)</t>
  </si>
  <si>
    <t>FET drain-source current rating (minimum)</t>
  </si>
  <si>
    <t>VDSS (max)</t>
  </si>
  <si>
    <t>FET drain-source voltage rating (maximum)</t>
  </si>
  <si>
    <t>ID(max)</t>
  </si>
  <si>
    <t>FET drain-source current rating (maximum)</t>
  </si>
  <si>
    <t>FET maximum Rds(on) at 125degC</t>
  </si>
  <si>
    <t>Rds(on)_max</t>
  </si>
  <si>
    <t>mOhm</t>
  </si>
  <si>
    <t>Rds(on)</t>
  </si>
  <si>
    <t>FET maximum Rds(on) at 25degC</t>
  </si>
  <si>
    <t>Rds(on)_85degC</t>
  </si>
  <si>
    <t>FET maximum Rds(on) at 85degC</t>
  </si>
  <si>
    <t>Tj(max)</t>
  </si>
  <si>
    <t>Maximum ambient temperature of the application</t>
  </si>
  <si>
    <t>W</t>
  </si>
  <si>
    <t>Deice maximum junction temperature</t>
  </si>
  <si>
    <t>Junction to case (top) Thermal Resistance</t>
  </si>
  <si>
    <t>Junction to ambient thermal resistance</t>
  </si>
  <si>
    <t xml:space="preserve">Junction-to-case(bottom) thermal resistance </t>
  </si>
  <si>
    <t>Calculations for dV/dt control (external cap on dv/dt pin)</t>
  </si>
  <si>
    <t>Gain_dvdt</t>
  </si>
  <si>
    <t>Internal Gain for dv/dt</t>
  </si>
  <si>
    <t>I_dvdt</t>
  </si>
  <si>
    <t>Tchg_dvdt</t>
  </si>
  <si>
    <t>Charging time set</t>
  </si>
  <si>
    <t>Charging Current as per dv/dt setting</t>
  </si>
  <si>
    <t>Pd_dvdt</t>
  </si>
  <si>
    <t>Tcharge_Ilimit</t>
  </si>
  <si>
    <t>Calculations for Ilimit (resistor on Ilimit Pin)</t>
  </si>
  <si>
    <t>Thermal Parameters</t>
  </si>
  <si>
    <t>Internal FET Parameters</t>
  </si>
  <si>
    <t>Vdrop</t>
  </si>
  <si>
    <t>mV</t>
  </si>
  <si>
    <t>Pdiss_ss</t>
  </si>
  <si>
    <t>Maximum voltage drop across device @ 25 degC</t>
  </si>
  <si>
    <t xml:space="preserve">Steady state power dissipation with Max current @ 25degC </t>
  </si>
  <si>
    <t>mW</t>
  </si>
  <si>
    <t>Pdiss_ocp</t>
  </si>
  <si>
    <t xml:space="preserve">Power dissipation during Over current fault </t>
  </si>
  <si>
    <t>Constants Cells</t>
  </si>
  <si>
    <t>Input/SelectCells</t>
  </si>
  <si>
    <t>Calculation Cells</t>
  </si>
  <si>
    <t>Steady state Voltage drop &amp; Power dissipation</t>
  </si>
  <si>
    <t>Total Power dissipation at Start-up</t>
  </si>
  <si>
    <t>Rlstart</t>
  </si>
  <si>
    <t>Load at start-up (assumed to be resistive)</t>
  </si>
  <si>
    <t>Ohm</t>
  </si>
  <si>
    <t>Pd_Rlstart</t>
  </si>
  <si>
    <t>Total power dissipation at start-up</t>
  </si>
  <si>
    <t>Pd_startup</t>
  </si>
  <si>
    <t>Internal Undervoltage reference</t>
  </si>
  <si>
    <t>Internal Over voltage reference</t>
  </si>
  <si>
    <t>Internal References</t>
  </si>
  <si>
    <t>R2</t>
  </si>
  <si>
    <t>R3</t>
  </si>
  <si>
    <t>PGTH</t>
  </si>
  <si>
    <t>Select the closest possible value as R2_cal</t>
  </si>
  <si>
    <t>Select the closest possible value as R3_cal</t>
  </si>
  <si>
    <t>Kohm</t>
  </si>
  <si>
    <t>PGTH_final</t>
  </si>
  <si>
    <t>Calculations for CURRENT MONITOR</t>
  </si>
  <si>
    <t>KOhm</t>
  </si>
  <si>
    <t>Calculated value of Resistor at UVLO pin</t>
  </si>
  <si>
    <t>Calculated value of Resistor at OV pin</t>
  </si>
  <si>
    <t xml:space="preserve">Calculated value of Resistor at PGTH pin </t>
  </si>
  <si>
    <t>Cgs</t>
  </si>
  <si>
    <t>Tchmin</t>
  </si>
  <si>
    <t>Minimum charging time</t>
  </si>
  <si>
    <t>Imon</t>
  </si>
  <si>
    <t>reference voltage for setting the current limit</t>
  </si>
  <si>
    <t>Mosfet capacitance b/w gate &amp; source terminals</t>
  </si>
  <si>
    <t>Tchg_min</t>
  </si>
  <si>
    <t>when no external capacitor  is connected( dv/dt(max.))</t>
  </si>
  <si>
    <t>pF</t>
  </si>
  <si>
    <t>Tchg_req</t>
  </si>
  <si>
    <t>The charging time required</t>
  </si>
  <si>
    <t>The external capacitor connecetd across dv/dt pin</t>
  </si>
  <si>
    <t>SELECT THE VALUE OF RESISTORS AS CLOSEST AVAILABLE VALUE OF R2,R3 &amp; R8 (refer schematics)</t>
  </si>
  <si>
    <t>OV_final</t>
  </si>
  <si>
    <t>UV_final</t>
  </si>
  <si>
    <t>Ilimit_offset</t>
  </si>
  <si>
    <t>Offset at the Ilimit pin</t>
  </si>
  <si>
    <t>Ilimit_vset</t>
  </si>
  <si>
    <t>Igs_Gate</t>
  </si>
  <si>
    <t>Gate Charging current</t>
  </si>
  <si>
    <t>RIMON_max</t>
  </si>
  <si>
    <t>Maximum allowed resistance at IMON pin</t>
  </si>
  <si>
    <t>RIMON_sel</t>
  </si>
  <si>
    <t>Resistor value selected at IMON pin</t>
  </si>
  <si>
    <t>Maximum voltage at IMON for maximum load current</t>
  </si>
  <si>
    <t>VMON_imax</t>
  </si>
  <si>
    <t>The range of voltage output at IMON pin will be from 0V to VMON_imax</t>
  </si>
  <si>
    <t>Capacitor Charging internal current</t>
  </si>
  <si>
    <t>Gain of the current monitoring circuit</t>
  </si>
  <si>
    <t>Imon_Gain</t>
  </si>
  <si>
    <t>PGTH_ref</t>
  </si>
  <si>
    <t>Internal reference for power good threshold</t>
  </si>
  <si>
    <t>Current Limit, 20% higher than maximum continuous load current</t>
  </si>
  <si>
    <t>SELECT A ILIMIT RESISTOR WITH THE CLOSEST AVAILABLE VALUE OF Rilim_Cal</t>
  </si>
  <si>
    <t>Charging current required to charge load capacitor</t>
  </si>
  <si>
    <t>calculated value of capacitor at dvdt pin for required Tcharge</t>
  </si>
  <si>
    <t>Cext_dvdt_cal1</t>
  </si>
  <si>
    <t>Cext_dvdt_cal2</t>
  </si>
  <si>
    <t>calculated value of capacitor at dvdt pin for required Icharge</t>
  </si>
  <si>
    <t>Icharge_req</t>
  </si>
  <si>
    <t>SELECT A CAPACITOR WITH THE CLOSEST POSSIBLE VALUE to max(Cext_dvdt_cal1, Cext_dvdt_cal2)</t>
  </si>
  <si>
    <t>Icharge</t>
  </si>
  <si>
    <t>Power dissipation due to load cap at start-up</t>
  </si>
  <si>
    <t>Power dissipation due to load resistance at start-up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</si>
  <si>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</si>
  <si>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</si>
  <si>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</si>
  <si>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</si>
  <si>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</si>
  <si>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</si>
  <si>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</si>
  <si>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</si>
  <si>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</si>
  <si>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</si>
  <si>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End Values Required for Processing</t>
  </si>
  <si>
    <t>µF</t>
  </si>
  <si>
    <t>Standard Capacitor Values</t>
  </si>
  <si>
    <t>V/V</t>
  </si>
  <si>
    <t>mF</t>
  </si>
  <si>
    <t>R1: Pullup at UVLO Pin</t>
  </si>
  <si>
    <t>R4: Pullup for PGTH</t>
  </si>
  <si>
    <t>R2_cal</t>
  </si>
  <si>
    <t>R3_cal</t>
  </si>
  <si>
    <t>R5_cal</t>
  </si>
  <si>
    <t>Select the closest possible value as R5_cal</t>
  </si>
  <si>
    <t>Current in R1, R2, R3 Branch</t>
  </si>
  <si>
    <t>I_R45</t>
  </si>
  <si>
    <t>Current in R4, R5 Branch</t>
  </si>
  <si>
    <r>
      <t></t>
    </r>
    <r>
      <rPr>
        <sz val="11"/>
        <color theme="1"/>
        <rFont val="Calibri"/>
        <family val="2"/>
        <scheme val="minor"/>
      </rPr>
      <t>C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</si>
  <si>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</t>
    </r>
  </si>
  <si>
    <r>
      <t></t>
    </r>
    <r>
      <rPr>
        <sz val="11"/>
        <color theme="1"/>
        <rFont val="Calibri"/>
        <family val="2"/>
        <scheme val="minor"/>
      </rPr>
      <t>C/W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</si>
  <si>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JA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</si>
  <si>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JCbot</t>
    </r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</si>
  <si>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</si>
  <si>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</si>
  <si>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TPS2594x Design Calculation Tool</t>
  </si>
  <si>
    <t>UVref</t>
  </si>
  <si>
    <t>OVref</t>
  </si>
  <si>
    <t>Calculated, but can be over-ridden by user</t>
  </si>
  <si>
    <t>UVset</t>
  </si>
  <si>
    <t>OVset</t>
  </si>
  <si>
    <r>
      <t>Select the closest available value of 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</si>
  <si>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</si>
  <si>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Over Voltage Cut-Off Threshold (VIN Rising)</t>
  </si>
  <si>
    <t>EN_final</t>
  </si>
  <si>
    <t>Release UVLO, Enable Chip (VIN Rising)</t>
  </si>
  <si>
    <t>OVf_final</t>
  </si>
  <si>
    <t>Release OV (VIN Falling)</t>
  </si>
  <si>
    <r>
      <t>V</t>
    </r>
    <r>
      <rPr>
        <sz val="7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 Power good threshold for indication on PGOOD pin (VOUT Rising)</t>
    </r>
  </si>
  <si>
    <t>PGTHf_final</t>
  </si>
  <si>
    <t>VOUT: PGOOD Falling Threshold</t>
  </si>
  <si>
    <t>Power Failure Detection Threshold (VIN  Falling)</t>
  </si>
  <si>
    <t>R5</t>
  </si>
  <si>
    <t>Thermal Shutdown Time Vs. Power Dissipation</t>
  </si>
  <si>
    <t>Title of Graph</t>
  </si>
  <si>
    <t xml:space="preserve">Power Dissipation </t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</si>
  <si>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-40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</si>
  <si>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</si>
  <si>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85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</si>
  <si>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125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</si>
  <si>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t>Lable</t>
  </si>
  <si>
    <t xml:space="preserve">X-Axis </t>
  </si>
  <si>
    <t xml:space="preserve"> Power Dissipation (W)</t>
  </si>
  <si>
    <t>Y-Axis</t>
  </si>
  <si>
    <t>Thermal Shutdown time (ms)</t>
  </si>
  <si>
    <t>Will the system have glitch-free startup?</t>
  </si>
  <si>
    <t>Max power dissipation allowed for glitch-free startup for the programmed startup time</t>
  </si>
  <si>
    <t>Tstart</t>
  </si>
  <si>
    <t>Pd</t>
  </si>
  <si>
    <t>Power Fail 
(VIN Falling)</t>
  </si>
  <si>
    <t>UVLO 
(VIN Rising)</t>
  </si>
  <si>
    <t>OV 
(VIN Rising)</t>
  </si>
  <si>
    <t>PGOOD
(Rising)</t>
  </si>
  <si>
    <t>Inrush Charging 
Current</t>
  </si>
  <si>
    <t>Overload Curr
Limit</t>
  </si>
  <si>
    <t>Ifstrip</t>
  </si>
  <si>
    <t>Fast-Trip Current Limit to detect short circuit</t>
  </si>
  <si>
    <t>Fastrip Curr
Limit</t>
  </si>
  <si>
    <t>UVLO,OV &amp; PGTH set point calculations</t>
  </si>
  <si>
    <t>Fastest possible Charging time with inrush current = current limit</t>
  </si>
  <si>
    <t>Select a value &gt; 100K to keep I_R123 low</t>
  </si>
  <si>
    <t>Select a value &gt;100K to keep I_R45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</si>
</sst>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 vertical="center" indent="1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4" fillId="11" borderId="8" xfId="0" applyFont="1" applyFill="1" applyBorder="1" applyAlignment="1">
      <alignment horizontal="center" vertical="center" wrapText="1"/>
    </xf>
    <xf numFmtId="164" fontId="15" fillId="0" borderId="8" xfId="0" applyNumberFormat="1" applyFont="1" applyBorder="1" applyAlignment="1">
      <alignment vertical="center" wrapText="1"/>
    </xf>
    <xf numFmtId="0" fontId="17" fillId="0" borderId="0" xfId="2" applyFont="1" applyAlignment="1"/>
    <xf numFmtId="164" fontId="0" fillId="0" borderId="0" xfId="0" applyNumberFormat="1"/>
    <xf numFmtId="2" fontId="19" fillId="5" borderId="1" xfId="0" applyNumberFormat="1" applyFont="1" applyFill="1" applyBorder="1" applyAlignment="1" applyProtection="1">
      <alignment horizontal="right" vertical="center" indent="1"/>
    </xf>
    <xf numFmtId="2" fontId="19" fillId="2" borderId="1" xfId="0" applyNumberFormat="1" applyFont="1" applyFill="1" applyBorder="1" applyAlignment="1" applyProtection="1">
      <alignment horizontal="right" vertical="center" indent="1"/>
    </xf>
    <xf numFmtId="2" fontId="19" fillId="17" borderId="1" xfId="0" applyNumberFormat="1" applyFont="1" applyFill="1" applyBorder="1" applyAlignment="1" applyProtection="1">
      <alignment horizontal="right" vertical="center" indent="1"/>
    </xf>
    <xf numFmtId="2" fontId="19" fillId="8" borderId="1" xfId="0" applyNumberFormat="1" applyFont="1" applyFill="1" applyBorder="1" applyAlignment="1" applyProtection="1">
      <alignment horizontal="right" vertical="center" indent="1"/>
    </xf>
    <xf numFmtId="165" fontId="19" fillId="17" borderId="1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2" fontId="0" fillId="0" borderId="0" xfId="0" applyNumberFormat="1" applyFont="1" applyAlignment="1" applyProtection="1">
      <alignment horizontal="right" vertical="center" indent="1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left" vertical="center"/>
    </xf>
    <xf numFmtId="2" fontId="6" fillId="10" borderId="1" xfId="0" applyNumberFormat="1" applyFont="1" applyFill="1" applyBorder="1" applyAlignment="1" applyProtection="1">
      <alignment vertical="center"/>
    </xf>
    <xf numFmtId="0" fontId="0" fillId="17" borderId="1" xfId="0" applyFont="1" applyFill="1" applyBorder="1" applyAlignment="1" applyProtection="1">
      <alignment vertical="center"/>
    </xf>
    <xf numFmtId="165" fontId="11" fillId="17" borderId="1" xfId="1" applyNumberFormat="1" applyFont="1" applyFill="1" applyBorder="1" applyAlignment="1" applyProtection="1">
      <alignment horizontal="center" vertical="center"/>
    </xf>
    <xf numFmtId="0" fontId="21" fillId="17" borderId="1" xfId="0" applyFont="1" applyFill="1" applyBorder="1" applyAlignment="1" applyProtection="1">
      <alignment horizontal="left" vertical="center"/>
    </xf>
    <xf numFmtId="165" fontId="21" fillId="17" borderId="1" xfId="1" applyNumberFormat="1" applyFont="1" applyFill="1" applyBorder="1" applyAlignment="1" applyProtection="1">
      <alignment horizontal="center" vertical="center"/>
    </xf>
    <xf numFmtId="165" fontId="21" fillId="5" borderId="1" xfId="1" applyNumberFormat="1" applyFont="1" applyFill="1" applyBorder="1" applyAlignment="1" applyProtection="1">
      <alignment horizontal="center" vertical="center"/>
    </xf>
    <xf numFmtId="165" fontId="19" fillId="8" borderId="1" xfId="1" applyNumberFormat="1" applyFont="1" applyFill="1" applyBorder="1" applyAlignment="1" applyProtection="1">
      <alignment horizontal="right" vertical="center" indent="1"/>
    </xf>
    <xf numFmtId="2" fontId="2" fillId="5" borderId="1" xfId="0" applyNumberFormat="1" applyFont="1" applyFill="1" applyBorder="1" applyAlignment="1" applyProtection="1">
      <alignment horizontal="right" vertical="center" indent="1"/>
    </xf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2" fontId="0" fillId="0" borderId="0" xfId="0" applyNumberFormat="1" applyFont="1" applyAlignment="1" applyProtection="1">
      <alignment vertical="center"/>
    </xf>
    <xf numFmtId="164" fontId="19" fillId="8" borderId="1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0" fontId="3" fillId="17" borderId="1" xfId="0" applyFont="1" applyFill="1" applyBorder="1" applyAlignment="1" applyProtection="1">
      <alignment vertical="center"/>
    </xf>
    <xf numFmtId="165" fontId="3" fillId="17" borderId="1" xfId="1" applyNumberFormat="1" applyFont="1" applyFill="1" applyBorder="1" applyAlignment="1" applyProtection="1">
      <alignment horizontal="center" vertical="center"/>
    </xf>
    <xf numFmtId="2" fontId="19" fillId="8" borderId="1" xfId="0" applyNumberFormat="1" applyFont="1" applyFill="1" applyBorder="1" applyAlignment="1" applyProtection="1">
      <alignment horizontal="right" vertical="center"/>
    </xf>
    <xf numFmtId="2" fontId="19" fillId="18" borderId="1" xfId="0" applyNumberFormat="1" applyFont="1" applyFill="1" applyBorder="1" applyAlignment="1" applyProtection="1">
      <alignment horizontal="right" vertical="center" indent="1"/>
    </xf>
    <xf numFmtId="165" fontId="21" fillId="18" borderId="1" xfId="1" applyNumberFormat="1" applyFont="1" applyFill="1" applyBorder="1" applyAlignment="1" applyProtection="1">
      <alignment horizontal="center" vertical="center"/>
    </xf>
    <xf numFmtId="0" fontId="0" fillId="18" borderId="0" xfId="0" applyFont="1" applyFill="1" applyBorder="1" applyAlignment="1" applyProtection="1">
      <alignment vertical="center"/>
    </xf>
    <xf numFmtId="0" fontId="0" fillId="19" borderId="0" xfId="0" applyFont="1" applyFill="1" applyBorder="1" applyAlignment="1" applyProtection="1">
      <alignment vertical="center"/>
    </xf>
    <xf numFmtId="2" fontId="19" fillId="19" borderId="1" xfId="0" applyNumberFormat="1" applyFont="1" applyFill="1" applyBorder="1" applyAlignment="1" applyProtection="1">
      <alignment horizontal="right" vertical="center" indent="1"/>
    </xf>
    <xf numFmtId="164" fontId="19" fillId="19" borderId="1" xfId="0" applyNumberFormat="1" applyFont="1" applyFill="1" applyBorder="1" applyAlignment="1" applyProtection="1">
      <alignment horizontal="right" vertical="center" indent="1"/>
    </xf>
    <xf numFmtId="1" fontId="19" fillId="19" borderId="1" xfId="0" applyNumberFormat="1" applyFont="1" applyFill="1" applyBorder="1" applyAlignment="1" applyProtection="1">
      <alignment horizontal="right" vertical="center" indent="1"/>
    </xf>
    <xf numFmtId="165" fontId="11" fillId="19" borderId="1" xfId="1" applyNumberFormat="1" applyFont="1" applyFill="1" applyBorder="1" applyAlignment="1" applyProtection="1">
      <alignment horizontal="center" vertical="center"/>
    </xf>
    <xf numFmtId="165" fontId="21" fillId="19" borderId="1" xfId="1" applyNumberFormat="1" applyFont="1" applyFill="1" applyBorder="1" applyAlignment="1" applyProtection="1">
      <alignment horizontal="center" vertical="center"/>
    </xf>
    <xf numFmtId="0" fontId="21" fillId="20" borderId="2" xfId="0" applyFont="1" applyFill="1" applyBorder="1" applyAlignment="1" applyProtection="1">
      <alignment horizontal="center" vertical="center"/>
    </xf>
    <xf numFmtId="0" fontId="21" fillId="20" borderId="3" xfId="0" applyFont="1" applyFill="1" applyBorder="1" applyAlignment="1" applyProtection="1">
      <alignment horizontal="center" vertical="center"/>
    </xf>
    <xf numFmtId="2" fontId="21" fillId="20" borderId="3" xfId="0" applyNumberFormat="1" applyFont="1" applyFill="1" applyBorder="1" applyAlignment="1" applyProtection="1">
      <alignment horizontal="right" vertical="center" indent="1"/>
    </xf>
    <xf numFmtId="0" fontId="21" fillId="20" borderId="4" xfId="0" applyFont="1" applyFill="1" applyBorder="1" applyAlignment="1" applyProtection="1">
      <alignment horizontal="left" vertical="center"/>
    </xf>
    <xf numFmtId="0" fontId="21" fillId="20" borderId="4" xfId="0" applyFont="1" applyFill="1" applyBorder="1" applyAlignment="1" applyProtection="1">
      <alignment horizontal="center" vertical="center"/>
    </xf>
    <xf numFmtId="2" fontId="26" fillId="5" borderId="1" xfId="0" applyNumberFormat="1" applyFont="1" applyFill="1" applyBorder="1" applyAlignment="1" applyProtection="1">
      <alignment horizontal="right" vertical="center" indent="1"/>
    </xf>
    <xf numFmtId="0" fontId="26" fillId="17" borderId="1" xfId="0" applyFont="1" applyFill="1" applyBorder="1" applyAlignment="1" applyProtection="1">
      <alignment horizontal="left" vertical="center"/>
    </xf>
    <xf numFmtId="165" fontId="26" fillId="5" borderId="1" xfId="1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17" borderId="1" xfId="0" applyFont="1" applyFill="1" applyBorder="1" applyAlignment="1" applyProtection="1">
      <alignment vertical="center"/>
    </xf>
    <xf numFmtId="165" fontId="25" fillId="5" borderId="1" xfId="1" applyNumberFormat="1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left" vertical="center"/>
    </xf>
    <xf numFmtId="165" fontId="19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19" fillId="8" borderId="1" xfId="0" applyNumberFormat="1" applyFont="1" applyFill="1" applyBorder="1" applyAlignment="1" applyProtection="1">
      <alignment horizontal="right" vertical="center"/>
    </xf>
    <xf numFmtId="164" fontId="19" fillId="18" borderId="1" xfId="0" applyNumberFormat="1" applyFont="1" applyFill="1" applyBorder="1" applyAlignment="1" applyProtection="1">
      <alignment horizontal="right" vertical="center" indent="1"/>
    </xf>
    <xf numFmtId="164" fontId="19" fillId="5" borderId="1" xfId="0" applyNumberFormat="1" applyFont="1" applyFill="1" applyBorder="1" applyAlignment="1" applyProtection="1">
      <alignment horizontal="right" vertical="center" indent="1"/>
    </xf>
    <xf numFmtId="165" fontId="11" fillId="17" borderId="9" xfId="1" applyNumberFormat="1" applyFont="1" applyFill="1" applyBorder="1" applyAlignment="1" applyProtection="1">
      <alignment horizontal="center" vertical="center"/>
    </xf>
    <xf numFmtId="165" fontId="11" fillId="19" borderId="9" xfId="1" applyNumberFormat="1" applyFont="1" applyFill="1" applyBorder="1" applyAlignment="1" applyProtection="1">
      <alignment horizontal="center" vertical="center"/>
    </xf>
    <xf numFmtId="0" fontId="0" fillId="18" borderId="5" xfId="0" applyFont="1" applyFill="1" applyBorder="1" applyAlignment="1" applyProtection="1">
      <alignment vertical="center"/>
    </xf>
    <xf numFmtId="0" fontId="0" fillId="17" borderId="7" xfId="0" applyFont="1" applyFill="1" applyBorder="1" applyAlignment="1" applyProtection="1">
      <alignment horizontal="left" vertical="center"/>
    </xf>
    <xf numFmtId="165" fontId="11" fillId="17" borderId="10" xfId="1" applyNumberFormat="1" applyFont="1" applyFill="1" applyBorder="1" applyAlignment="1" applyProtection="1">
      <alignment horizontal="center" vertical="center"/>
    </xf>
    <xf numFmtId="2" fontId="19" fillId="18" borderId="7" xfId="0" applyNumberFormat="1" applyFont="1" applyFill="1" applyBorder="1" applyAlignment="1" applyProtection="1">
      <alignment horizontal="right" vertical="center" indent="1"/>
    </xf>
    <xf numFmtId="0" fontId="27" fillId="0" borderId="6" xfId="0" applyFont="1" applyBorder="1" applyAlignment="1" applyProtection="1">
      <alignment horizontal="left" indent="1"/>
      <protection locked="0"/>
    </xf>
    <xf numFmtId="0" fontId="27" fillId="0" borderId="6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21" borderId="0" xfId="0" applyFill="1" applyAlignment="1"/>
    <xf numFmtId="0" fontId="0" fillId="0" borderId="6" xfId="0" applyBorder="1" applyAlignment="1"/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2" borderId="0" xfId="0" applyFill="1" applyAlignment="1"/>
    <xf numFmtId="0" fontId="1" fillId="0" borderId="0" xfId="0" applyFont="1" applyAlignment="1">
      <alignment horizontal="left" indent="1"/>
    </xf>
    <xf numFmtId="0" fontId="0" fillId="23" borderId="0" xfId="0" applyFill="1" applyAlignment="1"/>
    <xf numFmtId="0" fontId="1" fillId="0" borderId="0" xfId="0" applyFont="1" applyAlignment="1">
      <alignment horizontal="left"/>
    </xf>
    <xf numFmtId="2" fontId="32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19" borderId="1" xfId="0" applyFont="1" applyFill="1" applyBorder="1" applyAlignment="1" applyProtection="1">
      <alignment vertical="center"/>
    </xf>
    <xf numFmtId="0" fontId="7" fillId="19" borderId="1" xfId="0" applyFont="1" applyFill="1" applyBorder="1" applyAlignment="1" applyProtection="1">
      <alignment vertical="center"/>
    </xf>
    <xf numFmtId="0" fontId="20" fillId="20" borderId="1" xfId="0" applyFont="1" applyFill="1" applyBorder="1" applyAlignment="1" applyProtection="1">
      <alignment vertical="center" wrapText="1"/>
    </xf>
    <xf numFmtId="2" fontId="20" fillId="20" borderId="1" xfId="0" applyNumberFormat="1" applyFont="1" applyFill="1" applyBorder="1" applyAlignment="1" applyProtection="1">
      <alignment horizontal="right" vertical="center" wrapText="1" indent="1"/>
    </xf>
    <xf numFmtId="0" fontId="20" fillId="20" borderId="1" xfId="0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18" borderId="1" xfId="0" applyFont="1" applyFill="1" applyBorder="1" applyAlignment="1" applyProtection="1">
      <alignment vertical="center"/>
    </xf>
    <xf numFmtId="0" fontId="25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0" fillId="4" borderId="1" xfId="0" applyFont="1" applyFill="1" applyBorder="1" applyAlignment="1" applyProtection="1">
      <alignment vertical="center"/>
    </xf>
    <xf numFmtId="2" fontId="2" fillId="2" borderId="1" xfId="0" applyNumberFormat="1" applyFont="1" applyFill="1" applyBorder="1" applyAlignment="1" applyProtection="1">
      <alignment horizontal="right" vertical="center" indent="1"/>
    </xf>
    <xf numFmtId="0" fontId="25" fillId="7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center" vertical="center"/>
    </xf>
    <xf numFmtId="2" fontId="12" fillId="6" borderId="1" xfId="0" applyNumberFormat="1" applyFont="1" applyFill="1" applyBorder="1" applyAlignment="1" applyProtection="1">
      <alignment horizontal="right" vertical="center" indent="1"/>
    </xf>
    <xf numFmtId="0" fontId="12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vertical="center"/>
    </xf>
    <xf numFmtId="2" fontId="30" fillId="5" borderId="1" xfId="0" applyNumberFormat="1" applyFont="1" applyFill="1" applyBorder="1" applyAlignment="1" applyProtection="1">
      <alignment horizontal="right" vertical="center" indent="1"/>
    </xf>
    <xf numFmtId="0" fontId="0" fillId="20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vertical="center"/>
    </xf>
    <xf numFmtId="2" fontId="31" fillId="5" borderId="1" xfId="0" applyNumberFormat="1" applyFont="1" applyFill="1" applyBorder="1" applyAlignment="1" applyProtection="1">
      <alignment horizontal="right" vertical="center" indent="1"/>
    </xf>
    <xf numFmtId="165" fontId="0" fillId="17" borderId="1" xfId="0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left" vertical="center"/>
    </xf>
    <xf numFmtId="165" fontId="8" fillId="2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2" fontId="21" fillId="3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left" vertical="center"/>
    </xf>
    <xf numFmtId="0" fontId="33" fillId="20" borderId="1" xfId="0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33" fillId="20" borderId="1" xfId="0" applyFont="1" applyFill="1" applyBorder="1" applyAlignment="1" applyProtection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Progm'd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Sheet'!$K$18:$K$22</c:f>
              <c:strCache>
                <c:ptCount val="5"/>
                <c:pt idx="0">
                  <c:v>PGOOD
(Rising)</c:v>
                </c:pt>
                <c:pt idx="1">
                  <c:v>Power Fail 
(VIN Falling)</c:v>
                </c:pt>
                <c:pt idx="2">
                  <c:v>UVLO 
(VIN Rising)</c:v>
                </c:pt>
                <c:pt idx="3">
                  <c:v>VCC (max)</c:v>
                </c:pt>
                <c:pt idx="4">
                  <c:v>OV 
(VIN Rising)</c:v>
                </c:pt>
              </c:strCache>
            </c:strRef>
          </c:cat>
          <c:val>
            <c:numRef>
              <c:f>'Calculation Sheet'!$J$18:$J$22</c:f>
              <c:numCache>
                <c:formatCode>0.00</c:formatCode>
                <c:ptCount val="5"/>
                <c:pt idx="0">
                  <c:v>2.7076656151419556</c:v>
                </c:pt>
                <c:pt idx="1">
                  <c:v>2.7392090395480229</c:v>
                </c:pt>
                <c:pt idx="2">
                  <c:v>2.9309536723163845</c:v>
                </c:pt>
                <c:pt idx="3" formatCode="General">
                  <c:v>3.3</c:v>
                </c:pt>
                <c:pt idx="4">
                  <c:v>3.6147575057736718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CFD-8011-E2D4626A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152"/>
        <c:axId val="77358208"/>
      </c:lineChart>
      <c:catAx>
        <c:axId val="141217152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77358208"/>
        <c:crosses val="autoZero"/>
        <c:auto val="0"/>
        <c:lblAlgn val="ctr"/>
        <c:lblOffset val="100"/>
        <c:noMultiLvlLbl val="0"/>
      </c:catAx>
      <c:valAx>
        <c:axId val="7735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Progm'd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Sheet'!$K$37:$K$39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Sheet'!$J$37:$J$39</c:f>
              <c:numCache>
                <c:formatCode>0.00</c:formatCode>
                <c:ptCount val="3"/>
                <c:pt idx="0">
                  <c:v>2.553191489361702E-2</c:v>
                </c:pt>
                <c:pt idx="1">
                  <c:v>1.186666666666667</c:v>
                </c:pt>
                <c:pt idx="2">
                  <c:v>2.2143333333333342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640-8794-C6525A30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6176"/>
        <c:axId val="141187712"/>
      </c:lineChart>
      <c:catAx>
        <c:axId val="1411861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41187712"/>
        <c:crosses val="autoZero"/>
        <c:auto val="0"/>
        <c:lblAlgn val="ctr"/>
        <c:lblOffset val="100"/>
        <c:noMultiLvlLbl val="0"/>
      </c:catAx>
      <c:valAx>
        <c:axId val="1411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1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'Thermal Shutdown Limit Plot'!$J$1</c:f>
          <c:strCache>
            <c:ptCount val="1"/>
            <c:pt idx="0">
              <c:v>Thermal Shutdown Time Vs. Power Dissipation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427794390517"/>
          <c:y val="7.2679001248039277E-2"/>
          <c:w val="0.73209137791280654"/>
          <c:h val="0.70854001086986751"/>
        </c:manualLayout>
      </c:layout>
      <c:scatterChart>
        <c:scatterStyle val="lineMarker"/>
        <c:varyColors val="0"/>
        <c:ser>
          <c:idx val="4"/>
          <c:order val="4"/>
          <c:tx>
            <c:v>Calculated Point</c:v>
          </c:tx>
          <c:spPr>
            <a:ln w="12700" cap="sq">
              <a:solidFill>
                <a:srgbClr val="FF0000"/>
              </a:solidFill>
            </a:ln>
          </c:spPr>
          <c:marker>
            <c:symbol val="square"/>
            <c:size val="1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7021566153442776E-2"/>
                  <c:y val="-4.390056349531454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CC-4900-9FE2-4D3EAAA61CC4}"/>
                </c:ext>
              </c:extLst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'Thermal Shutdown Limit Plot'!$B$31:$B$32</c:f>
              <c:numCache>
                <c:formatCode>0.00</c:formatCode>
                <c:ptCount val="2"/>
                <c:pt idx="0">
                  <c:v>0.11472765957446807</c:v>
                </c:pt>
              </c:numCache>
            </c:numRef>
          </c:xVal>
          <c:yVal>
            <c:numRef>
              <c:f>'Thermal Shutdown Limit Plot'!$C$31:$C$32</c:f>
              <c:numCache>
                <c:formatCode>0.00</c:formatCode>
                <c:ptCount val="2"/>
                <c:pt idx="0">
                  <c:v>12.924999999999999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Plot'!$B$3:$B$25,'Thermal Shutdown Limit Plot'!$B$31)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796.23</c:v>
                </c:pt>
                <c:pt idx="8">
                  <c:v>433.54800000000006</c:v>
                </c:pt>
                <c:pt idx="9">
                  <c:v>196.63200000000001</c:v>
                </c:pt>
                <c:pt idx="10">
                  <c:v>93.600000000000009</c:v>
                </c:pt>
                <c:pt idx="11">
                  <c:v>49.329000000000001</c:v>
                </c:pt>
                <c:pt idx="12">
                  <c:v>37.381499999999996</c:v>
                </c:pt>
                <c:pt idx="13">
                  <c:v>18.117000000000001</c:v>
                </c:pt>
                <c:pt idx="14">
                  <c:v>7.7579999999999991</c:v>
                </c:pt>
                <c:pt idx="15">
                  <c:v>5.0364000000000004</c:v>
                </c:pt>
                <c:pt idx="16">
                  <c:v>2.871</c:v>
                </c:pt>
                <c:pt idx="17">
                  <c:v>1.9745999999999999</c:v>
                </c:pt>
                <c:pt idx="18">
                  <c:v>1.647</c:v>
                </c:pt>
                <c:pt idx="19">
                  <c:v>1.2348000000000001</c:v>
                </c:pt>
                <c:pt idx="20">
                  <c:v>1.0431000000000001</c:v>
                </c:pt>
                <c:pt idx="21">
                  <c:v>0.79649999999999999</c:v>
                </c:pt>
                <c:pt idx="22">
                  <c:v>0.68220000000000003</c:v>
                </c:pt>
                <c:pt idx="23">
                  <c:v>0.11472765957446807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C-4900-9FE2-4D3EAAA61CC4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Plot'!$C$3:$C$25,'Thermal Shutdown Limit Plot'!$C$31)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682.83</c:v>
                </c:pt>
                <c:pt idx="7">
                  <c:v>150.10740000000001</c:v>
                </c:pt>
                <c:pt idx="8">
                  <c:v>102.15</c:v>
                </c:pt>
                <c:pt idx="9">
                  <c:v>58.408200000000001</c:v>
                </c:pt>
                <c:pt idx="10">
                  <c:v>28.305</c:v>
                </c:pt>
                <c:pt idx="11">
                  <c:v>13.6296</c:v>
                </c:pt>
                <c:pt idx="12">
                  <c:v>9.6480000000000015</c:v>
                </c:pt>
                <c:pt idx="13">
                  <c:v>5.0831999999999997</c:v>
                </c:pt>
                <c:pt idx="14">
                  <c:v>2.8485</c:v>
                </c:pt>
                <c:pt idx="15">
                  <c:v>2.1779999999999999</c:v>
                </c:pt>
                <c:pt idx="16">
                  <c:v>1.4166000000000001</c:v>
                </c:pt>
                <c:pt idx="17">
                  <c:v>1.0557000000000001</c:v>
                </c:pt>
                <c:pt idx="18">
                  <c:v>0.90900000000000003</c:v>
                </c:pt>
                <c:pt idx="19">
                  <c:v>0.70200000000000007</c:v>
                </c:pt>
                <c:pt idx="20">
                  <c:v>0.60210000000000008</c:v>
                </c:pt>
                <c:pt idx="21">
                  <c:v>0.48240000000000005</c:v>
                </c:pt>
                <c:pt idx="22">
                  <c:v>0.41940000000000005</c:v>
                </c:pt>
                <c:pt idx="23">
                  <c:v>12.924999999999999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2468.3850000000002</c:v>
                </c:pt>
                <c:pt idx="5">
                  <c:v>180.54</c:v>
                </c:pt>
                <c:pt idx="6">
                  <c:v>83.222999999999999</c:v>
                </c:pt>
                <c:pt idx="7">
                  <c:v>24.566400000000002</c:v>
                </c:pt>
                <c:pt idx="8">
                  <c:v>17.100000000000001</c:v>
                </c:pt>
                <c:pt idx="9">
                  <c:v>8.2674000000000003</c:v>
                </c:pt>
                <c:pt idx="10">
                  <c:v>4.4370000000000003</c:v>
                </c:pt>
                <c:pt idx="11">
                  <c:v>2.9430000000000001</c:v>
                </c:pt>
                <c:pt idx="12">
                  <c:v>2.3400000000000003</c:v>
                </c:pt>
                <c:pt idx="13">
                  <c:v>1.6560000000000001</c:v>
                </c:pt>
                <c:pt idx="14">
                  <c:v>1.1340000000000001</c:v>
                </c:pt>
                <c:pt idx="15">
                  <c:v>0.91169999999999995</c:v>
                </c:pt>
                <c:pt idx="16">
                  <c:v>0.64259999999999995</c:v>
                </c:pt>
                <c:pt idx="17">
                  <c:v>0.49590000000000006</c:v>
                </c:pt>
                <c:pt idx="18">
                  <c:v>0.42749999999999999</c:v>
                </c:pt>
                <c:pt idx="19">
                  <c:v>0.32579999999999998</c:v>
                </c:pt>
                <c:pt idx="20">
                  <c:v>0.28439999999999999</c:v>
                </c:pt>
                <c:pt idx="21">
                  <c:v>0.23040000000000002</c:v>
                </c:pt>
                <c:pt idx="22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C-4900-9FE2-4D3EAAA61CC4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900000</c:v>
                </c:pt>
                <c:pt idx="1">
                  <c:v>180000</c:v>
                </c:pt>
                <c:pt idx="2">
                  <c:v>927</c:v>
                </c:pt>
                <c:pt idx="3">
                  <c:v>315</c:v>
                </c:pt>
                <c:pt idx="4">
                  <c:v>104.50800000000001</c:v>
                </c:pt>
                <c:pt idx="5">
                  <c:v>23.152500000000003</c:v>
                </c:pt>
                <c:pt idx="6">
                  <c:v>10.9512</c:v>
                </c:pt>
                <c:pt idx="7">
                  <c:v>3.3614999999999999</c:v>
                </c:pt>
                <c:pt idx="8">
                  <c:v>2.7</c:v>
                </c:pt>
                <c:pt idx="9">
                  <c:v>1.7784</c:v>
                </c:pt>
                <c:pt idx="10">
                  <c:v>1.26</c:v>
                </c:pt>
                <c:pt idx="11">
                  <c:v>0.99900000000000011</c:v>
                </c:pt>
                <c:pt idx="12">
                  <c:v>0.83700000000000008</c:v>
                </c:pt>
                <c:pt idx="13">
                  <c:v>0.6804</c:v>
                </c:pt>
                <c:pt idx="14">
                  <c:v>0.48780000000000007</c:v>
                </c:pt>
                <c:pt idx="15">
                  <c:v>0.36000000000000004</c:v>
                </c:pt>
                <c:pt idx="16">
                  <c:v>0.27089999999999997</c:v>
                </c:pt>
                <c:pt idx="17">
                  <c:v>0.21509999999999999</c:v>
                </c:pt>
                <c:pt idx="18">
                  <c:v>0.18000000000000002</c:v>
                </c:pt>
                <c:pt idx="19">
                  <c:v>0.1341</c:v>
                </c:pt>
                <c:pt idx="20">
                  <c:v>0.11610000000000001</c:v>
                </c:pt>
                <c:pt idx="21">
                  <c:v>0.10350000000000001</c:v>
                </c:pt>
                <c:pt idx="22">
                  <c:v>9.1799999999999993E-2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480"/>
        <c:axId val="78242944"/>
      </c:scatterChart>
      <c:valAx>
        <c:axId val="78234752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Power dissipation (W)</a:t>
                </a:r>
              </a:p>
            </c:rich>
          </c:tx>
          <c:overlay val="0"/>
        </c:title>
        <c:numFmt formatCode="@" sourceLinked="0"/>
        <c:majorTickMark val="out"/>
        <c:minorTickMark val="in"/>
        <c:tickLblPos val="nextTo"/>
        <c:crossAx val="78236672"/>
        <c:crossesAt val="-1"/>
        <c:crossBetween val="midCat"/>
        <c:majorUnit val="10"/>
      </c:valAx>
      <c:valAx>
        <c:axId val="78236672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2.0880924618862283E-2"/>
              <c:y val="0.24564984105950929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crossAx val="78234752"/>
        <c:crossesAt val="-0.05"/>
        <c:crossBetween val="midCat"/>
      </c:valAx>
      <c:valAx>
        <c:axId val="78242944"/>
        <c:scaling>
          <c:logBase val="10"/>
          <c:orientation val="minMax"/>
          <c:max val="100000"/>
          <c:min val="0.1"/>
        </c:scaling>
        <c:delete val="1"/>
        <c:axPos val="r"/>
        <c:numFmt formatCode="0.00" sourceLinked="1"/>
        <c:majorTickMark val="out"/>
        <c:minorTickMark val="none"/>
        <c:tickLblPos val="nextTo"/>
        <c:crossAx val="78244480"/>
        <c:crosses val="max"/>
        <c:crossBetween val="midCat"/>
        <c:minorUnit val="10"/>
      </c:valAx>
      <c:valAx>
        <c:axId val="7824448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7824294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316172366108413"/>
          <c:y val="0.16419329257840076"/>
          <c:w val="0.16660916583689492"/>
          <c:h val="0.180420474380627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73958</xdr:rowOff>
    </xdr:from>
    <xdr:to>
      <xdr:col>11</xdr:col>
      <xdr:colOff>924485</xdr:colOff>
      <xdr:row>27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134473</xdr:colOff>
      <xdr:row>34</xdr:row>
      <xdr:rowOff>56028</xdr:rowOff>
    </xdr:from>
    <xdr:to>
      <xdr:col>11</xdr:col>
      <xdr:colOff>963708</xdr:colOff>
      <xdr:row>45</xdr:row>
      <xdr:rowOff>143434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0</xdr:row>
          <xdr:rowOff>76200</xdr:rowOff>
        </xdr:from>
        <xdr:to>
          <xdr:col>16</xdr:col>
          <xdr:colOff>381000</xdr:colOff>
          <xdr:row>14</xdr:row>
          <xdr:rowOff>104775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43140</xdr:colOff>
      <xdr:row>10</xdr:row>
      <xdr:rowOff>168646</xdr:rowOff>
    </xdr:from>
    <xdr:to>
      <xdr:col>19</xdr:col>
      <xdr:colOff>33617</xdr:colOff>
      <xdr:row>44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41</xdr:row>
      <xdr:rowOff>44824</xdr:rowOff>
    </xdr:from>
    <xdr:to>
      <xdr:col>18</xdr:col>
      <xdr:colOff>448235</xdr:colOff>
      <xdr:row>43</xdr:row>
      <xdr:rowOff>168089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27912" y="7922559"/>
          <a:ext cx="7664823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GND plane area: 14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20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0"/>
  <sheetViews>
    <sheetView showGridLines="0" tabSelected="1" zoomScale="85" zoomScaleNormal="85" workbookViewId="0">
      <pane xSplit="2" ySplit="15" topLeftCell="C43" activePane="bottomRight" state="frozen"/>
      <selection pane="topRight" activeCell="C1" sqref="C1"/>
      <selection pane="bottomLeft" activeCell="A16" sqref="A16"/>
      <selection pane="bottomRight" activeCell="J56" sqref="J56"/>
    </sheetView>
  </sheetViews>
  <sheetFormatPr defaultColWidth="9.140625" defaultRowHeight="18" customHeight="1" x14ac:dyDescent="0.25"/>
  <cols>
    <col min="1" max="1" width="2.42578125" style="1" customWidth="1"/>
    <col min="2" max="2" width="29" style="1" customWidth="1"/>
    <col min="3" max="3" width="87.42578125" style="1" bestFit="1" customWidth="1"/>
    <col min="4" max="4" width="14.28515625" style="3" customWidth="1"/>
    <col min="5" max="5" width="8.85546875" style="1" customWidth="1"/>
    <col min="6" max="6" width="10.28515625" style="5" bestFit="1" customWidth="1"/>
    <col min="7" max="7" width="9.140625" style="99"/>
    <col min="8" max="9" width="9.140625" style="1"/>
    <col min="10" max="10" width="20.7109375" style="1" customWidth="1"/>
    <col min="11" max="11" width="17.28515625" style="1" customWidth="1"/>
    <col min="12" max="12" width="15.5703125" style="4" customWidth="1"/>
    <col min="13" max="13" width="0" style="1" hidden="1" customWidth="1"/>
    <col min="14" max="16384" width="9.140625" style="1"/>
  </cols>
  <sheetData>
    <row r="1" spans="2:6" ht="18" customHeight="1" x14ac:dyDescent="0.25">
      <c r="B1" s="26" t="s">
        <v>170</v>
      </c>
      <c r="C1" s="27"/>
      <c r="D1" s="28"/>
      <c r="E1" s="29"/>
      <c r="F1" s="30"/>
    </row>
    <row r="2" spans="2:6" ht="18" customHeight="1" x14ac:dyDescent="0.25">
      <c r="B2" s="31" t="s">
        <v>69</v>
      </c>
      <c r="C2" s="52" t="s">
        <v>70</v>
      </c>
      <c r="D2" s="32" t="s">
        <v>71</v>
      </c>
      <c r="E2" s="29"/>
      <c r="F2" s="30"/>
    </row>
    <row r="3" spans="2:6" ht="18" customHeight="1" thickBot="1" x14ac:dyDescent="0.3">
      <c r="B3" s="29"/>
      <c r="C3" s="51" t="s">
        <v>173</v>
      </c>
      <c r="D3" s="28"/>
      <c r="E3" s="29"/>
      <c r="F3" s="30"/>
    </row>
    <row r="4" spans="2:6" ht="18" customHeight="1" x14ac:dyDescent="0.25">
      <c r="B4" s="58" t="s">
        <v>0</v>
      </c>
      <c r="C4" s="59" t="s">
        <v>1</v>
      </c>
      <c r="D4" s="60" t="s">
        <v>2</v>
      </c>
      <c r="E4" s="61" t="s">
        <v>3</v>
      </c>
      <c r="F4" s="62" t="s">
        <v>140</v>
      </c>
    </row>
    <row r="5" spans="2:6" ht="18" customHeight="1" x14ac:dyDescent="0.25">
      <c r="B5" s="104" t="s">
        <v>9</v>
      </c>
      <c r="C5" s="104" t="s">
        <v>10</v>
      </c>
      <c r="D5" s="53">
        <v>3.3</v>
      </c>
      <c r="E5" s="33" t="s">
        <v>6</v>
      </c>
      <c r="F5" s="77"/>
    </row>
    <row r="6" spans="2:6" ht="18" customHeight="1" x14ac:dyDescent="0.25">
      <c r="B6" s="104" t="s">
        <v>174</v>
      </c>
      <c r="C6" s="104" t="s">
        <v>186</v>
      </c>
      <c r="D6" s="53">
        <v>2.75</v>
      </c>
      <c r="E6" s="33" t="s">
        <v>6</v>
      </c>
      <c r="F6" s="77"/>
    </row>
    <row r="7" spans="2:6" ht="18" customHeight="1" x14ac:dyDescent="0.25">
      <c r="B7" s="104" t="s">
        <v>175</v>
      </c>
      <c r="C7" s="104" t="s">
        <v>178</v>
      </c>
      <c r="D7" s="53">
        <v>3.63</v>
      </c>
      <c r="E7" s="33" t="s">
        <v>6</v>
      </c>
      <c r="F7" s="77"/>
    </row>
    <row r="8" spans="2:6" ht="18" customHeight="1" x14ac:dyDescent="0.25">
      <c r="B8" s="104" t="s">
        <v>11</v>
      </c>
      <c r="C8" s="104" t="s">
        <v>12</v>
      </c>
      <c r="D8" s="54">
        <v>100</v>
      </c>
      <c r="E8" s="33" t="s">
        <v>13</v>
      </c>
      <c r="F8" s="78">
        <v>0.1</v>
      </c>
    </row>
    <row r="9" spans="2:6" ht="18" customHeight="1" x14ac:dyDescent="0.25">
      <c r="B9" s="104" t="s">
        <v>24</v>
      </c>
      <c r="C9" s="104" t="s">
        <v>21</v>
      </c>
      <c r="D9" s="55">
        <v>25</v>
      </c>
      <c r="E9" s="33" t="s">
        <v>22</v>
      </c>
      <c r="F9" s="77"/>
    </row>
    <row r="10" spans="2:6" ht="18" customHeight="1" x14ac:dyDescent="0.25">
      <c r="B10" s="104" t="s">
        <v>25</v>
      </c>
      <c r="C10" s="104" t="s">
        <v>23</v>
      </c>
      <c r="D10" s="55">
        <v>125</v>
      </c>
      <c r="E10" s="33" t="s">
        <v>22</v>
      </c>
      <c r="F10" s="77"/>
    </row>
    <row r="11" spans="2:6" ht="18" customHeight="1" x14ac:dyDescent="0.25">
      <c r="B11" s="104" t="s">
        <v>74</v>
      </c>
      <c r="C11" s="105" t="s">
        <v>75</v>
      </c>
      <c r="D11" s="54">
        <v>25</v>
      </c>
      <c r="E11" s="33" t="s">
        <v>76</v>
      </c>
      <c r="F11" s="77"/>
    </row>
    <row r="12" spans="2:6" ht="18" customHeight="1" x14ac:dyDescent="0.25">
      <c r="B12" s="104" t="s">
        <v>14</v>
      </c>
      <c r="C12" s="104" t="s">
        <v>15</v>
      </c>
      <c r="D12" s="53">
        <v>1</v>
      </c>
      <c r="E12" s="33" t="s">
        <v>4</v>
      </c>
      <c r="F12" s="77"/>
    </row>
    <row r="13" spans="2:6" ht="18" customHeight="1" x14ac:dyDescent="0.25">
      <c r="B13" s="104" t="s">
        <v>85</v>
      </c>
      <c r="C13" s="104" t="s">
        <v>183</v>
      </c>
      <c r="D13" s="53">
        <v>2.74</v>
      </c>
      <c r="E13" s="33" t="s">
        <v>6</v>
      </c>
      <c r="F13" s="77"/>
    </row>
    <row r="14" spans="2:6" ht="18" customHeight="1" thickBot="1" x14ac:dyDescent="0.3">
      <c r="B14" s="79" t="s">
        <v>16</v>
      </c>
      <c r="C14" s="79" t="s">
        <v>127</v>
      </c>
      <c r="D14" s="82">
        <f>1.2*Imax</f>
        <v>1.2</v>
      </c>
      <c r="E14" s="80" t="s">
        <v>4</v>
      </c>
      <c r="F14" s="81"/>
    </row>
    <row r="15" spans="2:6" ht="18" customHeight="1" x14ac:dyDescent="0.25">
      <c r="B15" s="29"/>
      <c r="C15" s="29"/>
      <c r="D15" s="28"/>
      <c r="E15" s="29"/>
      <c r="F15" s="30"/>
    </row>
    <row r="16" spans="2:6" ht="18" customHeight="1" x14ac:dyDescent="0.25">
      <c r="B16" s="133" t="s">
        <v>213</v>
      </c>
      <c r="C16" s="106"/>
      <c r="D16" s="107"/>
      <c r="E16" s="106"/>
      <c r="F16" s="108"/>
    </row>
    <row r="17" spans="2:13" ht="15.75" x14ac:dyDescent="0.25">
      <c r="B17" s="104" t="s">
        <v>154</v>
      </c>
      <c r="C17" s="104" t="s">
        <v>215</v>
      </c>
      <c r="D17" s="54">
        <v>210</v>
      </c>
      <c r="E17" s="33" t="s">
        <v>20</v>
      </c>
      <c r="F17" s="56">
        <v>0.01</v>
      </c>
      <c r="M17" s="1">
        <f>IF(D17&gt;=100,D17,IF(D17&gt;=10,D17*10,D17*100))</f>
        <v>210</v>
      </c>
    </row>
    <row r="18" spans="2:13" ht="18" customHeight="1" x14ac:dyDescent="0.25">
      <c r="B18" s="104" t="s">
        <v>155</v>
      </c>
      <c r="C18" s="104" t="s">
        <v>216</v>
      </c>
      <c r="D18" s="54">
        <v>110</v>
      </c>
      <c r="E18" s="33" t="s">
        <v>91</v>
      </c>
      <c r="F18" s="56">
        <v>0.01</v>
      </c>
      <c r="J18" s="4">
        <f>D33</f>
        <v>2.7076656151419556</v>
      </c>
      <c r="K18" s="98" t="s">
        <v>207</v>
      </c>
      <c r="M18" s="1">
        <f>IF(D18&gt;=100,D18,IF(D18&gt;=10,D18*10,D18*100))</f>
        <v>110</v>
      </c>
    </row>
    <row r="19" spans="2:13" ht="18" customHeight="1" x14ac:dyDescent="0.25">
      <c r="B19" s="109" t="s">
        <v>156</v>
      </c>
      <c r="C19" s="109" t="s">
        <v>92</v>
      </c>
      <c r="D19" s="76">
        <f>(((OVset/OVref)-(UVset/UVref))*RpUVLO/(((UVset/UVref)-1)*OVset/OVref))</f>
        <v>19.508196721311478</v>
      </c>
      <c r="E19" s="35" t="s">
        <v>20</v>
      </c>
      <c r="F19" s="36"/>
      <c r="J19" s="4">
        <f>D26</f>
        <v>2.7392090395480229</v>
      </c>
      <c r="K19" s="96" t="s">
        <v>204</v>
      </c>
      <c r="M19" s="135">
        <f>IF(D19&gt;=100,D19,IF(D19&gt;=10,D19*10,D19*100))</f>
        <v>195.08196721311478</v>
      </c>
    </row>
    <row r="20" spans="2:13" ht="18" customHeight="1" x14ac:dyDescent="0.25">
      <c r="B20" s="109" t="s">
        <v>157</v>
      </c>
      <c r="C20" s="109" t="s">
        <v>93</v>
      </c>
      <c r="D20" s="76">
        <f>((RpUVLO/((UVset/UVref)-1))-D19)</f>
        <v>86.06557377049181</v>
      </c>
      <c r="E20" s="35" t="s">
        <v>20</v>
      </c>
      <c r="F20" s="36"/>
      <c r="J20" s="4">
        <f>D27</f>
        <v>2.9309536723163845</v>
      </c>
      <c r="K20" s="96" t="s">
        <v>205</v>
      </c>
      <c r="M20" s="135">
        <f>IF(D20&gt;=100,D20,IF(D20&gt;=10,D20*10,D20*100))</f>
        <v>860.65573770491812</v>
      </c>
    </row>
    <row r="21" spans="2:13" ht="18" customHeight="1" x14ac:dyDescent="0.25">
      <c r="B21" s="109" t="s">
        <v>158</v>
      </c>
      <c r="C21" s="109" t="s">
        <v>94</v>
      </c>
      <c r="D21" s="76">
        <f>RpPGTH/((PGTH/PGTH_REF)-1)</f>
        <v>62.228571428571428</v>
      </c>
      <c r="E21" s="35" t="s">
        <v>88</v>
      </c>
      <c r="F21" s="36"/>
      <c r="J21" s="1">
        <f>Vcc_max</f>
        <v>3.3</v>
      </c>
      <c r="K21" s="97" t="s">
        <v>9</v>
      </c>
      <c r="M21" s="135">
        <f>IF(D21&gt;=100,D21,IF(D21&gt;=10,D21*10,D21*100))</f>
        <v>622.28571428571422</v>
      </c>
    </row>
    <row r="22" spans="2:13" ht="18" customHeight="1" x14ac:dyDescent="0.25">
      <c r="B22" s="110" t="s">
        <v>107</v>
      </c>
      <c r="C22" s="110"/>
      <c r="D22" s="22"/>
      <c r="E22" s="23"/>
      <c r="F22" s="25"/>
      <c r="J22" s="4">
        <f>D28</f>
        <v>3.6147575057736718</v>
      </c>
      <c r="K22" s="96" t="s">
        <v>206</v>
      </c>
    </row>
    <row r="23" spans="2:13" ht="18" customHeight="1" x14ac:dyDescent="0.25">
      <c r="B23" s="111" t="s">
        <v>83</v>
      </c>
      <c r="C23" s="111" t="s">
        <v>86</v>
      </c>
      <c r="D23" s="49">
        <f>G23</f>
        <v>19.600000000000001</v>
      </c>
      <c r="E23" s="35" t="s">
        <v>20</v>
      </c>
      <c r="F23" s="50">
        <f>F17</f>
        <v>0.01</v>
      </c>
      <c r="G23" s="99">
        <f>M23*D19/M19</f>
        <v>19.600000000000001</v>
      </c>
      <c r="M23" s="136">
        <f>INDEX('Res EIA Tables'!E$5:E$197,2+MATCH(M19,'Res EIA Tables'!E$5:E$197))</f>
        <v>196</v>
      </c>
    </row>
    <row r="24" spans="2:13" ht="18" customHeight="1" x14ac:dyDescent="0.25">
      <c r="B24" s="111" t="s">
        <v>84</v>
      </c>
      <c r="C24" s="111" t="s">
        <v>87</v>
      </c>
      <c r="D24" s="49">
        <f>G24</f>
        <v>86.6</v>
      </c>
      <c r="E24" s="35" t="s">
        <v>20</v>
      </c>
      <c r="F24" s="50">
        <f>F23</f>
        <v>0.01</v>
      </c>
      <c r="G24" s="137">
        <f>M24*D20/M20</f>
        <v>86.6</v>
      </c>
      <c r="M24" s="136">
        <f>INDEX('Res EIA Tables'!E$5:E$197,2+MATCH(M20,'Res EIA Tables'!E$5:E$197))</f>
        <v>866</v>
      </c>
    </row>
    <row r="25" spans="2:13" ht="18" customHeight="1" x14ac:dyDescent="0.25">
      <c r="B25" s="111" t="s">
        <v>187</v>
      </c>
      <c r="C25" s="111" t="s">
        <v>159</v>
      </c>
      <c r="D25" s="49">
        <f>G25</f>
        <v>63.400000000000006</v>
      </c>
      <c r="E25" s="35" t="s">
        <v>20</v>
      </c>
      <c r="F25" s="50">
        <f>F18</f>
        <v>0.01</v>
      </c>
      <c r="G25" s="137">
        <f>M25*D21/M21</f>
        <v>63.400000000000006</v>
      </c>
      <c r="M25" s="136">
        <f>INDEX('Res EIA Tables'!E$5:E$197,2+MATCH(M21,'Res EIA Tables'!E$5:E$197))</f>
        <v>634</v>
      </c>
    </row>
    <row r="26" spans="2:13" s="66" customFormat="1" ht="18" customHeight="1" x14ac:dyDescent="0.25">
      <c r="B26" s="112" t="s">
        <v>109</v>
      </c>
      <c r="C26" s="112" t="str">
        <f>C6</f>
        <v>Power Failure Detection Threshold (VIN  Falling)</v>
      </c>
      <c r="D26" s="63">
        <f>(UVref*(1+(D17/(D23+D24))))</f>
        <v>2.7392090395480229</v>
      </c>
      <c r="E26" s="64" t="s">
        <v>6</v>
      </c>
      <c r="F26" s="65">
        <f>SQRT(F103^2+F17^2+F23^2+F24^2)</f>
        <v>2.6457513110645908E-2</v>
      </c>
      <c r="G26" s="100"/>
      <c r="L26" s="67"/>
    </row>
    <row r="27" spans="2:13" s="72" customFormat="1" ht="18" customHeight="1" x14ac:dyDescent="0.25">
      <c r="B27" s="113" t="s">
        <v>179</v>
      </c>
      <c r="C27" s="113" t="s">
        <v>180</v>
      </c>
      <c r="D27" s="21">
        <f>D26*1.07</f>
        <v>2.9309536723163845</v>
      </c>
      <c r="E27" s="70" t="s">
        <v>6</v>
      </c>
      <c r="F27" s="71">
        <f>F26</f>
        <v>2.6457513110645908E-2</v>
      </c>
      <c r="G27" s="101"/>
      <c r="L27" s="73"/>
    </row>
    <row r="28" spans="2:13" s="66" customFormat="1" ht="18" customHeight="1" x14ac:dyDescent="0.25">
      <c r="B28" s="112" t="s">
        <v>108</v>
      </c>
      <c r="C28" s="112" t="str">
        <f>C7</f>
        <v>Over Voltage Cut-Off Threshold (VIN Rising)</v>
      </c>
      <c r="D28" s="63">
        <f>(OVref*(1+((D17+D23)/D24)))</f>
        <v>3.6147575057736718</v>
      </c>
      <c r="E28" s="64" t="s">
        <v>6</v>
      </c>
      <c r="F28" s="65">
        <f>SQRT(F104^2+F17^2+F23^2+F24^2)</f>
        <v>2.6457513110645908E-2</v>
      </c>
      <c r="G28" s="100"/>
      <c r="L28" s="67"/>
    </row>
    <row r="29" spans="2:13" s="72" customFormat="1" ht="18" customHeight="1" x14ac:dyDescent="0.25">
      <c r="B29" s="113" t="s">
        <v>181</v>
      </c>
      <c r="C29" s="113" t="s">
        <v>182</v>
      </c>
      <c r="D29" s="21">
        <f>D28*0.93</f>
        <v>3.361724480369515</v>
      </c>
      <c r="E29" s="70" t="s">
        <v>6</v>
      </c>
      <c r="F29" s="71">
        <f>F28</f>
        <v>2.6457513110645908E-2</v>
      </c>
      <c r="G29" s="101"/>
      <c r="L29" s="73"/>
    </row>
    <row r="30" spans="2:13" ht="18" customHeight="1" x14ac:dyDescent="0.25">
      <c r="B30" s="114" t="s">
        <v>139</v>
      </c>
      <c r="C30" s="114" t="s">
        <v>160</v>
      </c>
      <c r="D30" s="21">
        <f>Vcc_max*1000/(RpUVLO+D23+D24)</f>
        <v>10.436432637571158</v>
      </c>
      <c r="E30" s="35" t="s">
        <v>7</v>
      </c>
      <c r="F30" s="36"/>
    </row>
    <row r="31" spans="2:13" ht="18" customHeight="1" x14ac:dyDescent="0.25">
      <c r="B31" s="114" t="s">
        <v>161</v>
      </c>
      <c r="C31" s="114" t="s">
        <v>162</v>
      </c>
      <c r="D31" s="21">
        <f>Vcc_max*1000/(RpPGTH+D25)</f>
        <v>19.031141868512112</v>
      </c>
      <c r="E31" s="35" t="s">
        <v>7</v>
      </c>
      <c r="F31" s="36"/>
    </row>
    <row r="32" spans="2:13" s="72" customFormat="1" ht="18" customHeight="1" x14ac:dyDescent="0.25">
      <c r="B32" s="113" t="s">
        <v>184</v>
      </c>
      <c r="C32" s="113" t="s">
        <v>185</v>
      </c>
      <c r="D32" s="21">
        <f>D33*0.93</f>
        <v>2.5181290220820189</v>
      </c>
      <c r="E32" s="70" t="s">
        <v>6</v>
      </c>
      <c r="F32" s="71">
        <f>F33</f>
        <v>2.4494897427831782E-2</v>
      </c>
      <c r="G32" s="101"/>
      <c r="L32" s="73"/>
    </row>
    <row r="33" spans="2:13" s="66" customFormat="1" ht="18" customHeight="1" x14ac:dyDescent="0.25">
      <c r="B33" s="112" t="s">
        <v>89</v>
      </c>
      <c r="C33" s="112" t="str">
        <f>C13</f>
        <v>VOUT: Power good threshold for indication on PGOOD pin (VOUT Rising)</v>
      </c>
      <c r="D33" s="63">
        <f>(PGTH_REF*(RpPGTH+D25)/D25)</f>
        <v>2.7076656151419556</v>
      </c>
      <c r="E33" s="64" t="s">
        <v>6</v>
      </c>
      <c r="F33" s="65">
        <f>SQRT(F108^2+F18^2+F25^2)</f>
        <v>2.4494897427831782E-2</v>
      </c>
      <c r="G33" s="100"/>
      <c r="L33" s="67"/>
    </row>
    <row r="34" spans="2:13" ht="18" customHeight="1" x14ac:dyDescent="0.25">
      <c r="B34" s="29"/>
      <c r="C34" s="29"/>
      <c r="D34" s="28"/>
      <c r="E34" s="29"/>
      <c r="F34" s="30"/>
    </row>
    <row r="35" spans="2:13" ht="18" customHeight="1" x14ac:dyDescent="0.25">
      <c r="B35" s="29"/>
      <c r="C35" s="29"/>
      <c r="D35" s="28"/>
      <c r="E35" s="29"/>
      <c r="F35" s="30"/>
    </row>
    <row r="36" spans="2:13" ht="28.5" customHeight="1" x14ac:dyDescent="0.25">
      <c r="B36" s="138" t="s">
        <v>58</v>
      </c>
      <c r="C36" s="138"/>
      <c r="D36" s="107"/>
      <c r="E36" s="106"/>
      <c r="F36" s="108"/>
    </row>
    <row r="37" spans="2:13" ht="18" customHeight="1" x14ac:dyDescent="0.25">
      <c r="B37" s="109" t="s">
        <v>177</v>
      </c>
      <c r="C37" s="109" t="s">
        <v>19</v>
      </c>
      <c r="D37" s="21">
        <f>89/(Ilimit)</f>
        <v>74.166666666666671</v>
      </c>
      <c r="E37" s="33" t="s">
        <v>20</v>
      </c>
      <c r="F37" s="34"/>
      <c r="J37" s="4">
        <f>Icharge</f>
        <v>2.553191489361702E-2</v>
      </c>
      <c r="K37" s="96" t="s">
        <v>208</v>
      </c>
      <c r="M37" s="135">
        <f>IF(D37&gt;=100,D37,IF(D37&gt;=10,D37*10,D37*100))</f>
        <v>741.66666666666674</v>
      </c>
    </row>
    <row r="38" spans="2:13" ht="18" customHeight="1" x14ac:dyDescent="0.25">
      <c r="B38" s="110" t="s">
        <v>128</v>
      </c>
      <c r="C38" s="110"/>
      <c r="D38" s="115"/>
      <c r="E38" s="33"/>
      <c r="F38" s="34"/>
      <c r="J38" s="4">
        <f>Ilimit_final</f>
        <v>1.186666666666667</v>
      </c>
      <c r="K38" s="96" t="s">
        <v>209</v>
      </c>
    </row>
    <row r="39" spans="2:13" ht="18" customHeight="1" x14ac:dyDescent="0.25">
      <c r="B39" s="111" t="s">
        <v>169</v>
      </c>
      <c r="C39" s="111" t="s">
        <v>176</v>
      </c>
      <c r="D39" s="49">
        <f>G39</f>
        <v>74.999999999999986</v>
      </c>
      <c r="E39" s="33" t="s">
        <v>20</v>
      </c>
      <c r="F39" s="56">
        <v>0.01</v>
      </c>
      <c r="G39" s="137">
        <f>M39*D37/M37</f>
        <v>74.999999999999986</v>
      </c>
      <c r="J39" s="4">
        <f>D42</f>
        <v>2.2143333333333342</v>
      </c>
      <c r="K39" s="96" t="s">
        <v>212</v>
      </c>
      <c r="M39" s="1">
        <f>INDEX('Res EIA Tables'!E$5:E$197,2+MATCH(M37,'Res EIA Tables'!E$5:E$197))</f>
        <v>750</v>
      </c>
    </row>
    <row r="40" spans="2:13" s="66" customFormat="1" ht="18" customHeight="1" x14ac:dyDescent="0.25">
      <c r="B40" s="116" t="s">
        <v>17</v>
      </c>
      <c r="C40" s="116" t="s">
        <v>18</v>
      </c>
      <c r="D40" s="63">
        <f>89/Rilim</f>
        <v>1.186666666666667</v>
      </c>
      <c r="E40" s="68" t="s">
        <v>4</v>
      </c>
      <c r="F40" s="69">
        <f>SQRT(0.08^2+F39^2)</f>
        <v>8.06225774829855E-2</v>
      </c>
      <c r="G40" s="100"/>
      <c r="J40" s="4"/>
      <c r="K40" s="96"/>
      <c r="L40" s="67"/>
    </row>
    <row r="41" spans="2:13" ht="18" customHeight="1" x14ac:dyDescent="0.25">
      <c r="B41" s="109" t="s">
        <v>57</v>
      </c>
      <c r="C41" s="109" t="s">
        <v>214</v>
      </c>
      <c r="D41" s="21">
        <f>Cout*0.001*Vcc_max/Ilimit_final</f>
        <v>0.2780898876404494</v>
      </c>
      <c r="E41" s="35" t="s">
        <v>5</v>
      </c>
      <c r="F41" s="37">
        <f>SQRT(F40^2+F8^2)</f>
        <v>0.12845232578665131</v>
      </c>
    </row>
    <row r="42" spans="2:13" ht="18" customHeight="1" x14ac:dyDescent="0.25">
      <c r="B42" s="116" t="s">
        <v>210</v>
      </c>
      <c r="C42" s="116" t="s">
        <v>211</v>
      </c>
      <c r="D42" s="63">
        <f>Ilimit_final*1.55+0.375</f>
        <v>2.2143333333333342</v>
      </c>
      <c r="E42" s="116" t="s">
        <v>4</v>
      </c>
      <c r="F42" s="37">
        <f>SQRT(F40^2+0.2^2)</f>
        <v>0.21563858652847825</v>
      </c>
    </row>
    <row r="43" spans="2:13" ht="18" customHeight="1" x14ac:dyDescent="0.25">
      <c r="B43" s="29"/>
      <c r="C43" s="29"/>
      <c r="D43" s="28"/>
      <c r="E43" s="29"/>
      <c r="F43" s="30"/>
    </row>
    <row r="44" spans="2:13" ht="9" customHeight="1" x14ac:dyDescent="0.25">
      <c r="B44" s="29"/>
      <c r="C44" s="29"/>
      <c r="D44" s="28"/>
      <c r="E44" s="29"/>
      <c r="F44" s="30"/>
    </row>
    <row r="45" spans="2:13" ht="31.15" customHeight="1" x14ac:dyDescent="0.25">
      <c r="B45" s="138" t="s">
        <v>49</v>
      </c>
      <c r="C45" s="138"/>
      <c r="D45" s="107"/>
      <c r="E45" s="106"/>
      <c r="F45" s="108"/>
    </row>
    <row r="46" spans="2:13" ht="18" customHeight="1" x14ac:dyDescent="0.25">
      <c r="B46" s="117" t="s">
        <v>0</v>
      </c>
      <c r="C46" s="117" t="s">
        <v>1</v>
      </c>
      <c r="D46" s="118" t="s">
        <v>2</v>
      </c>
      <c r="E46" s="119" t="s">
        <v>3</v>
      </c>
      <c r="F46" s="117" t="s">
        <v>140</v>
      </c>
    </row>
    <row r="47" spans="2:13" ht="18" customHeight="1" x14ac:dyDescent="0.25">
      <c r="B47" s="109" t="s">
        <v>52</v>
      </c>
      <c r="C47" s="109" t="s">
        <v>122</v>
      </c>
      <c r="D47" s="24">
        <v>1</v>
      </c>
      <c r="E47" s="35" t="s">
        <v>7</v>
      </c>
      <c r="F47" s="38">
        <v>0.15</v>
      </c>
    </row>
    <row r="48" spans="2:13" ht="18" customHeight="1" x14ac:dyDescent="0.25">
      <c r="B48" s="109" t="s">
        <v>50</v>
      </c>
      <c r="C48" s="109" t="s">
        <v>51</v>
      </c>
      <c r="D48" s="24">
        <v>12</v>
      </c>
      <c r="E48" s="35" t="s">
        <v>152</v>
      </c>
      <c r="F48" s="38">
        <v>0.03</v>
      </c>
    </row>
    <row r="49" spans="2:12" ht="18" customHeight="1" x14ac:dyDescent="0.25">
      <c r="B49" s="109" t="s">
        <v>101</v>
      </c>
      <c r="C49" s="109" t="s">
        <v>102</v>
      </c>
      <c r="D49" s="24">
        <f>(Vcc_max*Cgs_gate*0.001/Igs_gate)</f>
        <v>0.2475</v>
      </c>
      <c r="E49" s="35" t="s">
        <v>5</v>
      </c>
      <c r="F49" s="38">
        <v>0.2</v>
      </c>
    </row>
    <row r="50" spans="2:12" ht="18" customHeight="1" x14ac:dyDescent="0.25">
      <c r="B50" s="104" t="s">
        <v>104</v>
      </c>
      <c r="C50" s="104" t="s">
        <v>105</v>
      </c>
      <c r="D50" s="53">
        <v>10</v>
      </c>
      <c r="E50" s="35" t="s">
        <v>5</v>
      </c>
      <c r="F50" s="36"/>
    </row>
    <row r="51" spans="2:12" ht="18" customHeight="1" x14ac:dyDescent="0.25">
      <c r="B51" s="104" t="s">
        <v>134</v>
      </c>
      <c r="C51" s="104" t="s">
        <v>129</v>
      </c>
      <c r="D51" s="53">
        <v>0.5</v>
      </c>
      <c r="E51" s="35" t="s">
        <v>4</v>
      </c>
      <c r="F51" s="36"/>
    </row>
    <row r="52" spans="2:12" ht="18" customHeight="1" x14ac:dyDescent="0.25">
      <c r="B52" s="109" t="s">
        <v>131</v>
      </c>
      <c r="C52" s="109" t="s">
        <v>130</v>
      </c>
      <c r="D52" s="39">
        <f>(I_dvdt*Gain_dvdt*Tchg_req/Vcc_max)</f>
        <v>36.363636363636367</v>
      </c>
      <c r="E52" s="35" t="s">
        <v>8</v>
      </c>
      <c r="F52" s="36"/>
    </row>
    <row r="53" spans="2:12" ht="18" customHeight="1" x14ac:dyDescent="0.25">
      <c r="B53" s="109" t="s">
        <v>132</v>
      </c>
      <c r="C53" s="109" t="s">
        <v>133</v>
      </c>
      <c r="D53" s="39">
        <f>(I_dvdt*Gain_dvdt*Cout*0.001/Icharge_req)</f>
        <v>2.4</v>
      </c>
      <c r="E53" s="35" t="s">
        <v>8</v>
      </c>
      <c r="F53" s="36"/>
    </row>
    <row r="54" spans="2:12" ht="18" customHeight="1" x14ac:dyDescent="0.25">
      <c r="B54" s="110" t="s">
        <v>135</v>
      </c>
      <c r="C54" s="110"/>
      <c r="D54" s="22"/>
      <c r="E54" s="35"/>
      <c r="F54" s="36"/>
    </row>
    <row r="55" spans="2:12" ht="18" customHeight="1" x14ac:dyDescent="0.25">
      <c r="B55" s="111" t="s">
        <v>168</v>
      </c>
      <c r="C55" s="111" t="s">
        <v>106</v>
      </c>
      <c r="D55" s="75">
        <f>G55</f>
        <v>47</v>
      </c>
      <c r="E55" s="35" t="s">
        <v>8</v>
      </c>
      <c r="F55" s="57">
        <v>0.1</v>
      </c>
      <c r="G55" s="99">
        <f>INDEX('Cap Tables'!B4:B75,1+MATCH(MAX(Cdvdt_ext_cal1,Cext_dvdt_cal2),'Cap Tables'!B4:B75))</f>
        <v>47</v>
      </c>
    </row>
    <row r="56" spans="2:12" s="66" customFormat="1" ht="18" customHeight="1" x14ac:dyDescent="0.25">
      <c r="B56" s="116" t="s">
        <v>53</v>
      </c>
      <c r="C56" s="116" t="s">
        <v>54</v>
      </c>
      <c r="D56" s="63">
        <f>((Cdvdt_ext*Vcc_max)/(I_dvdt*Gain_dvdt))</f>
        <v>12.924999999999999</v>
      </c>
      <c r="E56" s="68" t="s">
        <v>5</v>
      </c>
      <c r="F56" s="69">
        <f>SQRT(F55^2+F47^2+F48^2)</f>
        <v>0.18275666882497066</v>
      </c>
      <c r="G56" s="100"/>
      <c r="L56" s="67"/>
    </row>
    <row r="57" spans="2:12" s="66" customFormat="1" ht="18" customHeight="1" x14ac:dyDescent="0.25">
      <c r="B57" s="116" t="s">
        <v>136</v>
      </c>
      <c r="C57" s="116" t="s">
        <v>55</v>
      </c>
      <c r="D57" s="63">
        <f>(Cout*0.000001*Vcc_max)/(Tchg_dvdt*0.001)</f>
        <v>2.553191489361702E-2</v>
      </c>
      <c r="E57" s="68" t="s">
        <v>4</v>
      </c>
      <c r="F57" s="69">
        <f>F56</f>
        <v>0.18275666882497066</v>
      </c>
      <c r="G57" s="100"/>
      <c r="L57" s="67"/>
    </row>
    <row r="58" spans="2:12" ht="28.9" customHeight="1" x14ac:dyDescent="0.25">
      <c r="B58" s="109" t="s">
        <v>56</v>
      </c>
      <c r="C58" s="109" t="s">
        <v>137</v>
      </c>
      <c r="D58" s="21">
        <f>0.5*Vcc_max*Icharge</f>
        <v>4.2127659574468082E-2</v>
      </c>
      <c r="E58" s="33" t="s">
        <v>44</v>
      </c>
      <c r="F58" s="34"/>
    </row>
    <row r="59" spans="2:12" ht="18" customHeight="1" x14ac:dyDescent="0.25">
      <c r="B59" s="29"/>
      <c r="C59" s="29"/>
      <c r="D59" s="28"/>
      <c r="E59" s="29"/>
      <c r="F59" s="30"/>
    </row>
    <row r="60" spans="2:12" ht="18" customHeight="1" x14ac:dyDescent="0.25">
      <c r="B60" s="138" t="s">
        <v>73</v>
      </c>
      <c r="C60" s="138"/>
      <c r="D60" s="138"/>
      <c r="E60" s="138"/>
      <c r="F60" s="108"/>
    </row>
    <row r="61" spans="2:12" ht="18" customHeight="1" x14ac:dyDescent="0.25">
      <c r="B61" s="109" t="s">
        <v>77</v>
      </c>
      <c r="C61" s="109" t="s">
        <v>138</v>
      </c>
      <c r="D61" s="21">
        <f>(1/6)*(Vcc_max^2)/Rlstart</f>
        <v>7.2599999999999984E-2</v>
      </c>
      <c r="E61" s="35" t="s">
        <v>44</v>
      </c>
      <c r="F61" s="36"/>
    </row>
    <row r="62" spans="2:12" ht="18" customHeight="1" x14ac:dyDescent="0.25">
      <c r="B62" s="109" t="s">
        <v>79</v>
      </c>
      <c r="C62" s="109" t="s">
        <v>78</v>
      </c>
      <c r="D62" s="21">
        <f>D58+D61</f>
        <v>0.11472765957446807</v>
      </c>
      <c r="E62" s="35" t="s">
        <v>44</v>
      </c>
      <c r="F62" s="36"/>
    </row>
    <row r="63" spans="2:12" ht="15.75" x14ac:dyDescent="0.25">
      <c r="B63" s="109"/>
      <c r="C63" s="109" t="s">
        <v>201</v>
      </c>
      <c r="D63" s="21">
        <f>INDEX('Thermal Shutdown Limit Plot'!A3:E25,MATCH(Tchg_dvdt,'Thermal Shutdown Limit Plot'!E3:E25,-1),1)</f>
        <v>5</v>
      </c>
      <c r="E63" s="35" t="s">
        <v>44</v>
      </c>
      <c r="F63" s="36"/>
    </row>
    <row r="64" spans="2:12" ht="15.75" x14ac:dyDescent="0.25">
      <c r="B64" s="109"/>
      <c r="C64" s="120" t="s">
        <v>200</v>
      </c>
      <c r="D64" s="121" t="str">
        <f>IF(D62&lt;D63,"YES","NO")</f>
        <v>YES</v>
      </c>
      <c r="E64" s="35"/>
      <c r="F64" s="36"/>
    </row>
    <row r="65" spans="2:13" ht="18" customHeight="1" x14ac:dyDescent="0.25">
      <c r="B65" s="29"/>
      <c r="C65" s="29"/>
      <c r="D65" s="28"/>
      <c r="E65" s="29"/>
      <c r="F65" s="30"/>
    </row>
    <row r="66" spans="2:13" ht="20.25" customHeight="1" x14ac:dyDescent="0.25">
      <c r="B66" s="138" t="s">
        <v>72</v>
      </c>
      <c r="C66" s="138"/>
      <c r="D66" s="138"/>
      <c r="E66" s="138"/>
      <c r="F66" s="108"/>
    </row>
    <row r="67" spans="2:13" ht="18" customHeight="1" x14ac:dyDescent="0.25">
      <c r="B67" s="117" t="s">
        <v>0</v>
      </c>
      <c r="C67" s="117" t="s">
        <v>1</v>
      </c>
      <c r="D67" s="118" t="s">
        <v>2</v>
      </c>
      <c r="E67" s="119" t="s">
        <v>3</v>
      </c>
      <c r="F67" s="117" t="s">
        <v>140</v>
      </c>
    </row>
    <row r="68" spans="2:13" ht="18" customHeight="1" x14ac:dyDescent="0.25">
      <c r="B68" s="109" t="s">
        <v>61</v>
      </c>
      <c r="C68" s="109" t="s">
        <v>64</v>
      </c>
      <c r="D68" s="21">
        <f>Imax*Rdson_25deg</f>
        <v>42</v>
      </c>
      <c r="E68" s="33" t="s">
        <v>62</v>
      </c>
      <c r="F68" s="34"/>
    </row>
    <row r="69" spans="2:13" ht="18" customHeight="1" x14ac:dyDescent="0.25">
      <c r="B69" s="109" t="s">
        <v>63</v>
      </c>
      <c r="C69" s="109" t="s">
        <v>65</v>
      </c>
      <c r="D69" s="21">
        <f>Imax^2*Rdson_25deg</f>
        <v>42</v>
      </c>
      <c r="E69" s="33" t="s">
        <v>66</v>
      </c>
      <c r="F69" s="34"/>
    </row>
    <row r="70" spans="2:13" ht="18" customHeight="1" x14ac:dyDescent="0.25">
      <c r="B70" s="109" t="s">
        <v>67</v>
      </c>
      <c r="C70" s="109" t="s">
        <v>68</v>
      </c>
      <c r="D70" s="21">
        <f>Ilimit_final^2*Rdson_25deg</f>
        <v>59.143466666666697</v>
      </c>
      <c r="E70" s="33" t="s">
        <v>66</v>
      </c>
      <c r="F70" s="34"/>
    </row>
    <row r="71" spans="2:13" ht="16.149999999999999" customHeight="1" x14ac:dyDescent="0.25">
      <c r="B71" s="40"/>
      <c r="C71" s="40"/>
      <c r="D71" s="28"/>
      <c r="E71" s="41"/>
      <c r="F71" s="30"/>
      <c r="G71" s="102"/>
    </row>
    <row r="72" spans="2:13" ht="21.75" customHeight="1" x14ac:dyDescent="0.25">
      <c r="B72" s="138" t="s">
        <v>90</v>
      </c>
      <c r="C72" s="138"/>
      <c r="D72" s="138"/>
      <c r="E72" s="138"/>
      <c r="F72" s="122"/>
      <c r="G72" s="102"/>
    </row>
    <row r="73" spans="2:13" ht="18" customHeight="1" x14ac:dyDescent="0.25">
      <c r="B73" s="114" t="s">
        <v>115</v>
      </c>
      <c r="C73" s="114" t="s">
        <v>116</v>
      </c>
      <c r="D73" s="21">
        <f>MIN(6,Vcc_max-2.2)*1000/(Imon_gain*Ilimit_final*1.6)</f>
        <v>11.141421780466715</v>
      </c>
      <c r="E73" s="33" t="s">
        <v>20</v>
      </c>
      <c r="F73" s="34"/>
      <c r="G73" s="103">
        <f>2000/(Ilimit_final*Imon_gain)</f>
        <v>32.411408815903187</v>
      </c>
      <c r="M73" s="135">
        <f>IF(G73&gt;=100,G73,IF(G73&gt;=10,G73*10,G73*100))</f>
        <v>324.11408815903189</v>
      </c>
    </row>
    <row r="74" spans="2:13" ht="18" customHeight="1" x14ac:dyDescent="0.25">
      <c r="B74" s="111" t="s">
        <v>117</v>
      </c>
      <c r="C74" s="111" t="s">
        <v>118</v>
      </c>
      <c r="D74" s="49">
        <f>G74</f>
        <v>33.199999999999996</v>
      </c>
      <c r="E74" s="35" t="s">
        <v>20</v>
      </c>
      <c r="F74" s="57">
        <v>0.01</v>
      </c>
      <c r="G74" s="99">
        <f>M74*G73/M73</f>
        <v>33.199999999999996</v>
      </c>
      <c r="M74" s="1">
        <f>INDEX('Res EIA Tables'!E$5:E$197,2+MATCH(M73,'Res EIA Tables'!E$5:E$197))</f>
        <v>332</v>
      </c>
    </row>
    <row r="75" spans="2:13" s="66" customFormat="1" ht="18" customHeight="1" x14ac:dyDescent="0.25">
      <c r="B75" s="112" t="s">
        <v>120</v>
      </c>
      <c r="C75" s="112" t="s">
        <v>119</v>
      </c>
      <c r="D75" s="63">
        <f>(Ilimit_final*Imon_gain*RMON_sel*0.001)</f>
        <v>2.0486613333333334</v>
      </c>
      <c r="E75" s="68" t="s">
        <v>6</v>
      </c>
      <c r="F75" s="69">
        <f>SQRT(F107^2+F74^2)</f>
        <v>8.06225774829855E-2</v>
      </c>
      <c r="G75" s="100"/>
      <c r="L75" s="67"/>
    </row>
    <row r="76" spans="2:13" ht="18" customHeight="1" x14ac:dyDescent="0.25">
      <c r="B76" s="114"/>
      <c r="C76" s="123"/>
      <c r="D76" s="124" t="str">
        <f>IF(D75&gt;5,"VMON is Outside limits of uC interface", "Within Limits")</f>
        <v>Within Limits</v>
      </c>
      <c r="E76" s="33"/>
      <c r="F76" s="125"/>
      <c r="G76" s="102"/>
    </row>
    <row r="77" spans="2:13" ht="18" customHeight="1" x14ac:dyDescent="0.25">
      <c r="B77" s="126" t="s">
        <v>121</v>
      </c>
      <c r="C77" s="127"/>
      <c r="D77" s="115"/>
      <c r="E77" s="128"/>
      <c r="F77" s="129"/>
      <c r="G77" s="102"/>
    </row>
    <row r="78" spans="2:13" ht="18" customHeight="1" x14ac:dyDescent="0.25">
      <c r="B78" s="29"/>
      <c r="C78" s="29"/>
      <c r="D78" s="28"/>
      <c r="E78" s="41"/>
      <c r="F78" s="30"/>
    </row>
    <row r="79" spans="2:13" ht="18" customHeight="1" x14ac:dyDescent="0.25">
      <c r="B79" s="29"/>
      <c r="C79" s="29"/>
      <c r="D79" s="28"/>
      <c r="E79" s="41"/>
      <c r="F79" s="30"/>
    </row>
    <row r="80" spans="2:13" ht="18" customHeight="1" x14ac:dyDescent="0.25">
      <c r="B80" s="42" t="s">
        <v>26</v>
      </c>
      <c r="C80" s="29"/>
      <c r="D80" s="43"/>
      <c r="E80" s="29"/>
      <c r="F80" s="30"/>
    </row>
    <row r="81" spans="2:6" ht="18" customHeight="1" x14ac:dyDescent="0.25">
      <c r="B81" s="134" t="s">
        <v>60</v>
      </c>
      <c r="C81" s="29"/>
      <c r="D81" s="43"/>
      <c r="E81" s="29"/>
      <c r="F81" s="30"/>
    </row>
    <row r="82" spans="2:6" ht="18" customHeight="1" x14ac:dyDescent="0.25">
      <c r="B82" s="130" t="s">
        <v>0</v>
      </c>
      <c r="C82" s="130" t="s">
        <v>1</v>
      </c>
      <c r="D82" s="131" t="s">
        <v>2</v>
      </c>
      <c r="E82" s="132" t="s">
        <v>3</v>
      </c>
      <c r="F82" s="130" t="s">
        <v>140</v>
      </c>
    </row>
    <row r="83" spans="2:6" ht="18" customHeight="1" x14ac:dyDescent="0.25">
      <c r="B83" s="114" t="s">
        <v>27</v>
      </c>
      <c r="C83" s="114" t="s">
        <v>28</v>
      </c>
      <c r="D83" s="44">
        <v>2.5</v>
      </c>
      <c r="E83" s="33" t="s">
        <v>6</v>
      </c>
      <c r="F83" s="34"/>
    </row>
    <row r="84" spans="2:6" ht="18" customHeight="1" x14ac:dyDescent="0.25">
      <c r="B84" s="114" t="s">
        <v>31</v>
      </c>
      <c r="C84" s="114" t="s">
        <v>32</v>
      </c>
      <c r="D84" s="44">
        <v>20</v>
      </c>
      <c r="E84" s="33" t="s">
        <v>6</v>
      </c>
      <c r="F84" s="34"/>
    </row>
    <row r="85" spans="2:6" ht="18" customHeight="1" x14ac:dyDescent="0.25">
      <c r="B85" s="114" t="s">
        <v>29</v>
      </c>
      <c r="C85" s="114" t="s">
        <v>30</v>
      </c>
      <c r="D85" s="44">
        <v>0.6</v>
      </c>
      <c r="E85" s="33" t="s">
        <v>4</v>
      </c>
      <c r="F85" s="34"/>
    </row>
    <row r="86" spans="2:6" ht="18" customHeight="1" x14ac:dyDescent="0.25">
      <c r="B86" s="114" t="s">
        <v>33</v>
      </c>
      <c r="C86" s="114" t="s">
        <v>34</v>
      </c>
      <c r="D86" s="44">
        <v>6</v>
      </c>
      <c r="E86" s="33" t="s">
        <v>4</v>
      </c>
      <c r="F86" s="34"/>
    </row>
    <row r="87" spans="2:6" ht="18" customHeight="1" x14ac:dyDescent="0.25">
      <c r="B87" s="114" t="s">
        <v>38</v>
      </c>
      <c r="C87" s="114" t="s">
        <v>39</v>
      </c>
      <c r="D87" s="74">
        <v>42</v>
      </c>
      <c r="E87" s="33" t="s">
        <v>37</v>
      </c>
      <c r="F87" s="34"/>
    </row>
    <row r="88" spans="2:6" ht="18" customHeight="1" x14ac:dyDescent="0.25">
      <c r="B88" s="114" t="s">
        <v>40</v>
      </c>
      <c r="C88" s="114" t="s">
        <v>41</v>
      </c>
      <c r="D88" s="74">
        <v>58</v>
      </c>
      <c r="E88" s="33" t="s">
        <v>37</v>
      </c>
      <c r="F88" s="34"/>
    </row>
    <row r="89" spans="2:6" ht="18" customHeight="1" x14ac:dyDescent="0.25">
      <c r="B89" s="114" t="s">
        <v>36</v>
      </c>
      <c r="C89" s="114" t="s">
        <v>35</v>
      </c>
      <c r="D89" s="74">
        <v>64</v>
      </c>
      <c r="E89" s="33" t="s">
        <v>37</v>
      </c>
      <c r="F89" s="34"/>
    </row>
    <row r="90" spans="2:6" ht="18" customHeight="1" x14ac:dyDescent="0.25">
      <c r="B90" s="114" t="s">
        <v>95</v>
      </c>
      <c r="C90" s="114" t="s">
        <v>100</v>
      </c>
      <c r="D90" s="74">
        <v>150</v>
      </c>
      <c r="E90" s="33" t="s">
        <v>103</v>
      </c>
      <c r="F90" s="34">
        <v>0.15</v>
      </c>
    </row>
    <row r="91" spans="2:6" ht="18" customHeight="1" x14ac:dyDescent="0.25">
      <c r="B91" s="114" t="s">
        <v>113</v>
      </c>
      <c r="C91" s="114" t="s">
        <v>114</v>
      </c>
      <c r="D91" s="44">
        <v>2</v>
      </c>
      <c r="E91" s="33" t="s">
        <v>7</v>
      </c>
      <c r="F91" s="34">
        <v>0.3</v>
      </c>
    </row>
    <row r="92" spans="2:6" ht="18" customHeight="1" x14ac:dyDescent="0.25">
      <c r="B92" s="29"/>
      <c r="C92" s="29"/>
      <c r="D92" s="43"/>
      <c r="E92" s="27"/>
      <c r="F92" s="45"/>
    </row>
    <row r="93" spans="2:6" ht="18" customHeight="1" x14ac:dyDescent="0.25">
      <c r="B93" s="134" t="s">
        <v>59</v>
      </c>
      <c r="C93" s="29"/>
      <c r="D93" s="43"/>
      <c r="E93" s="27"/>
      <c r="F93" s="45"/>
    </row>
    <row r="94" spans="2:6" ht="18" customHeight="1" x14ac:dyDescent="0.25">
      <c r="B94" s="114" t="s">
        <v>42</v>
      </c>
      <c r="C94" s="114" t="s">
        <v>45</v>
      </c>
      <c r="D94" s="44">
        <v>150</v>
      </c>
      <c r="E94" s="46" t="s">
        <v>163</v>
      </c>
      <c r="F94" s="47"/>
    </row>
    <row r="95" spans="2:6" ht="18" customHeight="1" x14ac:dyDescent="0.25">
      <c r="B95" s="114" t="s">
        <v>25</v>
      </c>
      <c r="C95" s="114" t="s">
        <v>43</v>
      </c>
      <c r="D95" s="44">
        <v>125</v>
      </c>
      <c r="E95" s="46" t="s">
        <v>163</v>
      </c>
      <c r="F95" s="47"/>
    </row>
    <row r="96" spans="2:6" ht="18" customHeight="1" x14ac:dyDescent="0.25">
      <c r="B96" s="114"/>
      <c r="C96" s="114"/>
      <c r="D96" s="44"/>
      <c r="E96" s="46"/>
      <c r="F96" s="47"/>
    </row>
    <row r="97" spans="2:6" ht="18" customHeight="1" x14ac:dyDescent="0.25">
      <c r="B97" s="114" t="s">
        <v>164</v>
      </c>
      <c r="C97" s="114" t="s">
        <v>46</v>
      </c>
      <c r="D97" s="44">
        <v>53</v>
      </c>
      <c r="E97" s="46" t="s">
        <v>165</v>
      </c>
      <c r="F97" s="47"/>
    </row>
    <row r="98" spans="2:6" ht="18" customHeight="1" x14ac:dyDescent="0.25">
      <c r="B98" s="114" t="s">
        <v>166</v>
      </c>
      <c r="C98" s="114" t="s">
        <v>47</v>
      </c>
      <c r="D98" s="44">
        <v>45.9</v>
      </c>
      <c r="E98" s="46" t="s">
        <v>165</v>
      </c>
      <c r="F98" s="47"/>
    </row>
    <row r="99" spans="2:6" ht="18" customHeight="1" x14ac:dyDescent="0.25">
      <c r="B99" s="114" t="s">
        <v>167</v>
      </c>
      <c r="C99" s="114" t="s">
        <v>48</v>
      </c>
      <c r="D99" s="44">
        <v>5.9</v>
      </c>
      <c r="E99" s="46" t="s">
        <v>165</v>
      </c>
      <c r="F99" s="47"/>
    </row>
    <row r="100" spans="2:6" ht="18" customHeight="1" x14ac:dyDescent="0.25">
      <c r="B100" s="29"/>
      <c r="C100" s="29"/>
      <c r="D100" s="43"/>
      <c r="E100" s="27"/>
      <c r="F100" s="45"/>
    </row>
    <row r="101" spans="2:6" ht="18" customHeight="1" x14ac:dyDescent="0.25">
      <c r="B101" s="29"/>
      <c r="C101" s="29"/>
      <c r="D101" s="43"/>
      <c r="E101" s="27"/>
      <c r="F101" s="45"/>
    </row>
    <row r="102" spans="2:6" ht="18" customHeight="1" x14ac:dyDescent="0.25">
      <c r="B102" s="134" t="s">
        <v>82</v>
      </c>
      <c r="C102" s="29"/>
      <c r="D102" s="43"/>
      <c r="E102" s="27"/>
      <c r="F102" s="45"/>
    </row>
    <row r="103" spans="2:6" ht="18" customHeight="1" x14ac:dyDescent="0.25">
      <c r="B103" s="114" t="s">
        <v>171</v>
      </c>
      <c r="C103" s="114" t="s">
        <v>80</v>
      </c>
      <c r="D103" s="48">
        <v>0.92</v>
      </c>
      <c r="E103" s="33" t="s">
        <v>6</v>
      </c>
      <c r="F103" s="34">
        <v>0.02</v>
      </c>
    </row>
    <row r="104" spans="2:6" ht="18" customHeight="1" x14ac:dyDescent="0.25">
      <c r="B104" s="114" t="s">
        <v>172</v>
      </c>
      <c r="C104" s="114" t="s">
        <v>81</v>
      </c>
      <c r="D104" s="48">
        <v>0.99</v>
      </c>
      <c r="E104" s="33" t="s">
        <v>6</v>
      </c>
      <c r="F104" s="34">
        <f>F103</f>
        <v>0.02</v>
      </c>
    </row>
    <row r="105" spans="2:6" ht="18" customHeight="1" x14ac:dyDescent="0.25">
      <c r="B105" s="114" t="s">
        <v>96</v>
      </c>
      <c r="C105" s="114" t="s">
        <v>97</v>
      </c>
      <c r="D105" s="48">
        <v>2</v>
      </c>
      <c r="E105" s="33" t="s">
        <v>5</v>
      </c>
      <c r="F105" s="34"/>
    </row>
    <row r="106" spans="2:6" ht="18" customHeight="1" x14ac:dyDescent="0.25">
      <c r="B106" s="114" t="s">
        <v>98</v>
      </c>
      <c r="C106" s="114" t="s">
        <v>97</v>
      </c>
      <c r="D106" s="48">
        <v>2</v>
      </c>
      <c r="E106" s="33" t="s">
        <v>5</v>
      </c>
      <c r="F106" s="34"/>
    </row>
    <row r="107" spans="2:6" ht="18" customHeight="1" x14ac:dyDescent="0.25">
      <c r="B107" s="114" t="s">
        <v>124</v>
      </c>
      <c r="C107" s="114" t="s">
        <v>123</v>
      </c>
      <c r="D107" s="48">
        <v>52</v>
      </c>
      <c r="E107" s="33" t="s">
        <v>7</v>
      </c>
      <c r="F107" s="34">
        <v>0.08</v>
      </c>
    </row>
    <row r="108" spans="2:6" ht="18" customHeight="1" x14ac:dyDescent="0.25">
      <c r="B108" s="114" t="s">
        <v>125</v>
      </c>
      <c r="C108" s="114" t="s">
        <v>126</v>
      </c>
      <c r="D108" s="48">
        <v>0.99</v>
      </c>
      <c r="E108" s="33" t="s">
        <v>6</v>
      </c>
      <c r="F108" s="34">
        <f>F103</f>
        <v>0.02</v>
      </c>
    </row>
    <row r="109" spans="2:6" ht="18" customHeight="1" x14ac:dyDescent="0.25">
      <c r="B109" s="114" t="s">
        <v>112</v>
      </c>
      <c r="C109" s="114" t="s">
        <v>99</v>
      </c>
      <c r="D109" s="48">
        <v>0.89</v>
      </c>
      <c r="E109" s="33" t="s">
        <v>6</v>
      </c>
      <c r="F109" s="34"/>
    </row>
    <row r="110" spans="2:6" ht="18" customHeight="1" x14ac:dyDescent="0.25">
      <c r="B110" s="114" t="s">
        <v>110</v>
      </c>
      <c r="C110" s="114" t="s">
        <v>111</v>
      </c>
      <c r="D110" s="48"/>
      <c r="E110" s="33" t="s">
        <v>4</v>
      </c>
      <c r="F110" s="34"/>
    </row>
  </sheetData>
  <sheetProtection password="A4F3" sheet="1" objects="1" scenarios="1"/>
  <protectedRanges>
    <protectedRange sqref="F8 D17:D18 F17:F18 D23:D25 F23:F25 D39 F39 D50:D51 D55 F55 D74 F74 D5:D14" name="Range1"/>
  </protectedRanges>
  <mergeCells count="5">
    <mergeCell ref="B36:C36"/>
    <mergeCell ref="B66:E66"/>
    <mergeCell ref="B60:E60"/>
    <mergeCell ref="B45:C45"/>
    <mergeCell ref="B72:E72"/>
  </mergeCells>
  <conditionalFormatting sqref="D6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6">
    <dataValidation type="custom" showInputMessage="1" showErrorMessage="1" errorTitle="Error (Reenter the Value)" error="Only values greater than Tchg_min will be accepted" promptTitle="Restriction" prompt="Please enter a value greater than Tchg_min calculated" sqref="D50" xr:uid="{00000000-0002-0000-0000-000000000000}">
      <formula1>D50&gt;D49</formula1>
    </dataValidation>
    <dataValidation type="custom" allowBlank="1" showInputMessage="1" showErrorMessage="1" errorTitle="Error (Re-Enter)" error="Please enter a value less than RIMON_max;" promptTitle="Restriction" prompt="The resistance should be less than RIMON_max" sqref="D74" xr:uid="{00000000-0002-0000-0000-000001000000}">
      <formula1>D74&lt;D73</formula1>
    </dataValidation>
    <dataValidation type="custom" errorStyle="warning" showInputMessage="1" showErrorMessage="1" errorTitle="Warning" error="Please select a value to restrict the range to &lt;=5V; This will help to interface with Microcontrollers within the acceptable range_x000a_" promptTitle="Evaluate" prompt="Please select the RIMON_sel to have range starting from 0 to Maximum value as required by logic interface connected to measure the current" sqref="D75" xr:uid="{00000000-0002-0000-0000-000002000000}">
      <formula1>D75&lt;5</formula1>
    </dataValidation>
    <dataValidation type="custom" showInputMessage="1" showErrorMessage="1" errorTitle="Error (Reenter the Value)" error="Only values less than Ilimit_final will be accepted" promptTitle="Restriction" prompt="Please enter a value less than Ilimit_final" sqref="D51" xr:uid="{00000000-0002-0000-0000-000003000000}">
      <formula1>D51&lt;D40</formula1>
    </dataValidation>
    <dataValidation type="custom" showInputMessage="1" showErrorMessage="1" errorTitle="Error (Reenter the Value)" error="Only values greater than UVref will be accepted" promptTitle="Restriction" prompt="Please enter a value greater than UVref" sqref="D6" xr:uid="{00000000-0002-0000-0000-000004000000}">
      <formula1>D6&gt;D103</formula1>
    </dataValidation>
    <dataValidation type="custom" showInputMessage="1" showErrorMessage="1" errorTitle="Error (Reenter the Value)" error="Only values greater than VCC(max) will be accepted" promptTitle="Restriction" prompt="Please enter a value &gt; VCC(max)" sqref="D7" xr:uid="{00000000-0002-0000-0000-000005000000}">
      <formula1>D7&gt;D5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>
              <from>
                <xdr:col>6</xdr:col>
                <xdr:colOff>76200</xdr:colOff>
                <xdr:row>0</xdr:row>
                <xdr:rowOff>76200</xdr:rowOff>
              </from>
              <to>
                <xdr:col>16</xdr:col>
                <xdr:colOff>381000</xdr:colOff>
                <xdr:row>14</xdr:row>
                <xdr:rowOff>104775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4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17.140625" style="7" customWidth="1"/>
    <col min="2" max="2" width="12.5703125" style="7" customWidth="1"/>
    <col min="3" max="3" width="16.5703125" style="7" customWidth="1"/>
    <col min="4" max="4" width="15.5703125" style="7" customWidth="1"/>
    <col min="5" max="5" width="12.42578125" style="85" customWidth="1"/>
    <col min="6" max="6" width="9.140625" style="85" customWidth="1"/>
    <col min="7" max="7" width="9.140625" style="85"/>
    <col min="8" max="8" width="13.85546875" style="85" customWidth="1"/>
    <col min="9" max="16384" width="9.140625" style="85"/>
  </cols>
  <sheetData>
    <row r="1" spans="1:14" ht="15.75" thickBot="1" x14ac:dyDescent="0.3">
      <c r="A1" s="83" t="s">
        <v>188</v>
      </c>
      <c r="B1" s="84"/>
      <c r="C1" s="84"/>
      <c r="D1" s="84"/>
      <c r="H1" s="86" t="s">
        <v>189</v>
      </c>
      <c r="J1" s="83" t="s">
        <v>188</v>
      </c>
      <c r="K1" s="87"/>
      <c r="L1" s="87"/>
      <c r="M1" s="87"/>
      <c r="N1" s="87"/>
    </row>
    <row r="2" spans="1:14" ht="15.75" thickBot="1" x14ac:dyDescent="0.3">
      <c r="A2" s="88" t="s">
        <v>190</v>
      </c>
      <c r="B2" s="89" t="s">
        <v>191</v>
      </c>
      <c r="C2" s="89" t="s">
        <v>192</v>
      </c>
      <c r="D2" s="89" t="s">
        <v>193</v>
      </c>
      <c r="E2" s="89" t="s">
        <v>194</v>
      </c>
      <c r="J2" s="90"/>
    </row>
    <row r="3" spans="1:14" x14ac:dyDescent="0.25">
      <c r="A3" s="91">
        <v>1.35</v>
      </c>
      <c r="B3" s="91">
        <f>1000000*(0.9)</f>
        <v>900000</v>
      </c>
      <c r="C3" s="91">
        <f>1000000*(0.9)</f>
        <v>900000</v>
      </c>
      <c r="D3" s="91">
        <f>1000000*(0.9)</f>
        <v>900000</v>
      </c>
      <c r="E3" s="91">
        <f>1000000*(0.9)</f>
        <v>900000</v>
      </c>
      <c r="H3" s="92" t="s">
        <v>195</v>
      </c>
      <c r="I3" s="85" t="s">
        <v>196</v>
      </c>
      <c r="J3" s="93" t="s">
        <v>197</v>
      </c>
    </row>
    <row r="4" spans="1:14" x14ac:dyDescent="0.25">
      <c r="A4" s="91">
        <v>1.65</v>
      </c>
      <c r="B4" s="91">
        <f t="shared" ref="B4:D6" si="0">1000000*(0.9)</f>
        <v>900000</v>
      </c>
      <c r="C4" s="91">
        <f t="shared" si="0"/>
        <v>900000</v>
      </c>
      <c r="D4" s="91">
        <f t="shared" si="0"/>
        <v>900000</v>
      </c>
      <c r="E4" s="91">
        <f>200000*(0.9)</f>
        <v>180000</v>
      </c>
      <c r="I4" s="85" t="s">
        <v>198</v>
      </c>
      <c r="J4" s="93" t="s">
        <v>199</v>
      </c>
    </row>
    <row r="5" spans="1:14" x14ac:dyDescent="0.25">
      <c r="A5" s="91">
        <v>2</v>
      </c>
      <c r="B5" s="91">
        <f t="shared" si="0"/>
        <v>900000</v>
      </c>
      <c r="C5" s="91">
        <f t="shared" si="0"/>
        <v>900000</v>
      </c>
      <c r="D5" s="91">
        <f t="shared" si="0"/>
        <v>900000</v>
      </c>
      <c r="E5" s="91">
        <f>1030*(0.9)</f>
        <v>927</v>
      </c>
      <c r="J5" s="93"/>
    </row>
    <row r="6" spans="1:14" x14ac:dyDescent="0.25">
      <c r="A6" s="91">
        <v>2.35</v>
      </c>
      <c r="B6" s="91">
        <f t="shared" si="0"/>
        <v>900000</v>
      </c>
      <c r="C6" s="91">
        <f t="shared" si="0"/>
        <v>900000</v>
      </c>
      <c r="D6" s="91">
        <f t="shared" si="0"/>
        <v>900000</v>
      </c>
      <c r="E6" s="91">
        <f>350*(0.9)</f>
        <v>315</v>
      </c>
      <c r="J6" s="90"/>
    </row>
    <row r="7" spans="1:14" x14ac:dyDescent="0.25">
      <c r="A7" s="91">
        <v>3.3</v>
      </c>
      <c r="B7" s="91">
        <f>1000000*(0.9)</f>
        <v>900000</v>
      </c>
      <c r="C7" s="91">
        <f>1000000*(0.9)</f>
        <v>900000</v>
      </c>
      <c r="D7" s="91">
        <f>2742.65*(0.9)</f>
        <v>2468.3850000000002</v>
      </c>
      <c r="E7" s="91">
        <f>116.12*(0.9)</f>
        <v>104.50800000000001</v>
      </c>
      <c r="J7" s="90"/>
    </row>
    <row r="8" spans="1:14" x14ac:dyDescent="0.25">
      <c r="A8" s="91">
        <v>5</v>
      </c>
      <c r="B8" s="91">
        <f>1000000*(0.9)</f>
        <v>900000</v>
      </c>
      <c r="C8" s="91">
        <f>1000000*(0.9)</f>
        <v>900000</v>
      </c>
      <c r="D8" s="91">
        <f>200.6*(0.9)</f>
        <v>180.54</v>
      </c>
      <c r="E8" s="91">
        <f>25.725*(0.9)</f>
        <v>23.152500000000003</v>
      </c>
      <c r="H8" s="94"/>
      <c r="J8" s="95"/>
    </row>
    <row r="9" spans="1:14" x14ac:dyDescent="0.25">
      <c r="A9" s="91">
        <v>6.6</v>
      </c>
      <c r="B9" s="91">
        <f>1000000*(0.9)</f>
        <v>900000</v>
      </c>
      <c r="C9" s="91">
        <f>758.7*(0.9)</f>
        <v>682.83</v>
      </c>
      <c r="D9" s="91">
        <f>92.47*(0.9)</f>
        <v>83.222999999999999</v>
      </c>
      <c r="E9" s="91">
        <f>12.168*(0.9)</f>
        <v>10.9512</v>
      </c>
      <c r="J9" s="95"/>
    </row>
    <row r="10" spans="1:14" x14ac:dyDescent="0.25">
      <c r="A10" s="91">
        <v>9</v>
      </c>
      <c r="B10" s="91">
        <f>884.7*(0.9)</f>
        <v>796.23</v>
      </c>
      <c r="C10" s="91">
        <f>166.786*(0.9)</f>
        <v>150.10740000000001</v>
      </c>
      <c r="D10" s="91">
        <f>27.296*(0.9)</f>
        <v>24.566400000000002</v>
      </c>
      <c r="E10" s="91">
        <f>3.735*(0.9)</f>
        <v>3.3614999999999999</v>
      </c>
    </row>
    <row r="11" spans="1:14" x14ac:dyDescent="0.25">
      <c r="A11" s="91">
        <v>10</v>
      </c>
      <c r="B11" s="91">
        <f>481.72*(0.9)</f>
        <v>433.54800000000006</v>
      </c>
      <c r="C11" s="91">
        <f>113.5*(0.9)</f>
        <v>102.15</v>
      </c>
      <c r="D11" s="91">
        <f>19*(0.9)</f>
        <v>17.100000000000001</v>
      </c>
      <c r="E11" s="91">
        <f>3*(0.9)</f>
        <v>2.7</v>
      </c>
    </row>
    <row r="12" spans="1:14" x14ac:dyDescent="0.25">
      <c r="A12" s="91">
        <v>12</v>
      </c>
      <c r="B12" s="91">
        <f>218.48*(0.9)</f>
        <v>196.63200000000001</v>
      </c>
      <c r="C12" s="91">
        <f>64.898*(0.9)</f>
        <v>58.408200000000001</v>
      </c>
      <c r="D12" s="91">
        <f>9.186*(0.9)</f>
        <v>8.2674000000000003</v>
      </c>
      <c r="E12" s="91">
        <f>1.976*(0.9)</f>
        <v>1.7784</v>
      </c>
    </row>
    <row r="13" spans="1:14" x14ac:dyDescent="0.25">
      <c r="A13" s="91">
        <v>15</v>
      </c>
      <c r="B13" s="91">
        <f>104*(0.9)</f>
        <v>93.600000000000009</v>
      </c>
      <c r="C13" s="91">
        <f>31.45*(0.9)</f>
        <v>28.305</v>
      </c>
      <c r="D13" s="91">
        <f>4.93*(0.9)</f>
        <v>4.4370000000000003</v>
      </c>
      <c r="E13" s="91">
        <f>1.4*(0.9)</f>
        <v>1.26</v>
      </c>
    </row>
    <row r="14" spans="1:14" x14ac:dyDescent="0.25">
      <c r="A14" s="91">
        <v>18</v>
      </c>
      <c r="B14" s="91">
        <f>54.81*(0.9)</f>
        <v>49.329000000000001</v>
      </c>
      <c r="C14" s="91">
        <f>15.144*(0.9)</f>
        <v>13.6296</v>
      </c>
      <c r="D14" s="91">
        <f>3.27*(0.9)</f>
        <v>2.9430000000000001</v>
      </c>
      <c r="E14" s="91">
        <f>1.11*(0.9)</f>
        <v>0.99900000000000011</v>
      </c>
    </row>
    <row r="15" spans="1:14" x14ac:dyDescent="0.25">
      <c r="A15" s="91">
        <v>20</v>
      </c>
      <c r="B15" s="91">
        <f>41.535*(0.9)</f>
        <v>37.381499999999996</v>
      </c>
      <c r="C15" s="91">
        <f>10.72*(0.9)</f>
        <v>9.6480000000000015</v>
      </c>
      <c r="D15" s="91">
        <f>2.6*(0.9)</f>
        <v>2.3400000000000003</v>
      </c>
      <c r="E15" s="91">
        <f>0.93*(0.9)</f>
        <v>0.83700000000000008</v>
      </c>
    </row>
    <row r="16" spans="1:14" x14ac:dyDescent="0.25">
      <c r="A16" s="91">
        <v>24</v>
      </c>
      <c r="B16" s="91">
        <f>20.13*(0.9)</f>
        <v>18.117000000000001</v>
      </c>
      <c r="C16" s="91">
        <f>5.648*(0.9)</f>
        <v>5.0831999999999997</v>
      </c>
      <c r="D16" s="91">
        <f>1.84*(0.9)</f>
        <v>1.6560000000000001</v>
      </c>
      <c r="E16" s="91">
        <f>0.756*(0.9)</f>
        <v>0.6804</v>
      </c>
    </row>
    <row r="17" spans="1:5" x14ac:dyDescent="0.25">
      <c r="A17" s="91">
        <v>30</v>
      </c>
      <c r="B17" s="91">
        <f>8.62*(0.9)</f>
        <v>7.7579999999999991</v>
      </c>
      <c r="C17" s="91">
        <f>3.165*(0.9)</f>
        <v>2.8485</v>
      </c>
      <c r="D17" s="91">
        <f>1.26*(0.9)</f>
        <v>1.1340000000000001</v>
      </c>
      <c r="E17" s="91">
        <f>0.542*(0.9)</f>
        <v>0.48780000000000007</v>
      </c>
    </row>
    <row r="18" spans="1:5" x14ac:dyDescent="0.25">
      <c r="A18" s="91">
        <v>36</v>
      </c>
      <c r="B18" s="91">
        <f>5.596*(0.9)</f>
        <v>5.0364000000000004</v>
      </c>
      <c r="C18" s="91">
        <f>2.42*(0.9)</f>
        <v>2.1779999999999999</v>
      </c>
      <c r="D18" s="91">
        <f>1.013*(0.9)</f>
        <v>0.91169999999999995</v>
      </c>
      <c r="E18" s="91">
        <f>0.4*(0.9)</f>
        <v>0.36000000000000004</v>
      </c>
    </row>
    <row r="19" spans="1:5" x14ac:dyDescent="0.25">
      <c r="A19" s="91">
        <v>45</v>
      </c>
      <c r="B19" s="91">
        <f>3.19*(0.9)</f>
        <v>2.871</v>
      </c>
      <c r="C19" s="91">
        <f>1.574*(0.9)</f>
        <v>1.4166000000000001</v>
      </c>
      <c r="D19" s="91">
        <f>0.714*(0.9)</f>
        <v>0.64259999999999995</v>
      </c>
      <c r="E19" s="91">
        <f>0.301*(0.9)</f>
        <v>0.27089999999999997</v>
      </c>
    </row>
    <row r="20" spans="1:5" x14ac:dyDescent="0.25">
      <c r="A20" s="91">
        <v>54</v>
      </c>
      <c r="B20" s="91">
        <f>2.194*(0.9)</f>
        <v>1.9745999999999999</v>
      </c>
      <c r="C20" s="91">
        <f>1.173*(0.9)</f>
        <v>1.0557000000000001</v>
      </c>
      <c r="D20" s="91">
        <f>0.551*(0.9)</f>
        <v>0.49590000000000006</v>
      </c>
      <c r="E20" s="91">
        <f>0.239*(0.9)</f>
        <v>0.21509999999999999</v>
      </c>
    </row>
    <row r="21" spans="1:5" x14ac:dyDescent="0.25">
      <c r="A21" s="91">
        <v>60</v>
      </c>
      <c r="B21" s="91">
        <f>1.83*(0.9)</f>
        <v>1.647</v>
      </c>
      <c r="C21" s="91">
        <f>1.01*(0.9)</f>
        <v>0.90900000000000003</v>
      </c>
      <c r="D21" s="91">
        <f>0.475*(0.9)</f>
        <v>0.42749999999999999</v>
      </c>
      <c r="E21" s="91">
        <f>0.2*(0.9)</f>
        <v>0.18000000000000002</v>
      </c>
    </row>
    <row r="22" spans="1:5" x14ac:dyDescent="0.25">
      <c r="A22" s="91">
        <v>72</v>
      </c>
      <c r="B22" s="91">
        <f>1.372*(0.9)</f>
        <v>1.2348000000000001</v>
      </c>
      <c r="C22" s="91">
        <f>0.78*(0.9)</f>
        <v>0.70200000000000007</v>
      </c>
      <c r="D22" s="91">
        <f>0.362*(0.9)</f>
        <v>0.32579999999999998</v>
      </c>
      <c r="E22" s="91">
        <f>0.149*(0.9)</f>
        <v>0.1341</v>
      </c>
    </row>
    <row r="23" spans="1:5" x14ac:dyDescent="0.25">
      <c r="A23" s="91">
        <v>80</v>
      </c>
      <c r="B23" s="91">
        <f>1.159*(0.9)</f>
        <v>1.0431000000000001</v>
      </c>
      <c r="C23" s="91">
        <f>0.669*(0.9)</f>
        <v>0.60210000000000008</v>
      </c>
      <c r="D23" s="91">
        <f>0.316*(0.9)</f>
        <v>0.28439999999999999</v>
      </c>
      <c r="E23" s="91">
        <f>0.129*(0.9)</f>
        <v>0.11610000000000001</v>
      </c>
    </row>
    <row r="24" spans="1:5" x14ac:dyDescent="0.25">
      <c r="A24" s="91">
        <v>94.5</v>
      </c>
      <c r="B24" s="91">
        <f>0.885*(0.9)</f>
        <v>0.79649999999999999</v>
      </c>
      <c r="C24" s="91">
        <f>0.536*(0.9)</f>
        <v>0.48240000000000005</v>
      </c>
      <c r="D24" s="91">
        <f>0.256*(0.9)</f>
        <v>0.23040000000000002</v>
      </c>
      <c r="E24" s="91">
        <f>0.115*(0.9)</f>
        <v>0.10350000000000001</v>
      </c>
    </row>
    <row r="25" spans="1:5" x14ac:dyDescent="0.25">
      <c r="A25" s="91">
        <v>105</v>
      </c>
      <c r="B25" s="91">
        <f>0.758*(0.9)</f>
        <v>0.68220000000000003</v>
      </c>
      <c r="C25" s="91">
        <f>0.466*(0.9)</f>
        <v>0.41940000000000005</v>
      </c>
      <c r="D25" s="91">
        <f>0.22*(0.9)</f>
        <v>0.19800000000000001</v>
      </c>
      <c r="E25" s="91">
        <f>0.102*(0.9)</f>
        <v>9.1799999999999993E-2</v>
      </c>
    </row>
    <row r="26" spans="1:5" x14ac:dyDescent="0.25">
      <c r="B26" s="91"/>
      <c r="C26" s="91"/>
      <c r="D26" s="91"/>
    </row>
    <row r="27" spans="1:5" x14ac:dyDescent="0.25">
      <c r="B27" s="91"/>
      <c r="C27" s="91"/>
      <c r="D27" s="91"/>
    </row>
    <row r="28" spans="1:5" x14ac:dyDescent="0.25">
      <c r="B28" s="91"/>
      <c r="C28" s="91"/>
      <c r="D28" s="91"/>
    </row>
    <row r="29" spans="1:5" x14ac:dyDescent="0.25">
      <c r="B29" s="91"/>
      <c r="C29" s="91"/>
      <c r="D29" s="91"/>
    </row>
    <row r="30" spans="1:5" x14ac:dyDescent="0.25">
      <c r="B30" s="91" t="s">
        <v>203</v>
      </c>
      <c r="C30" s="91" t="s">
        <v>202</v>
      </c>
      <c r="D30" s="91"/>
    </row>
    <row r="31" spans="1:5" x14ac:dyDescent="0.25">
      <c r="B31" s="91">
        <f>'Calculation Sheet'!D62</f>
        <v>0.11472765957446807</v>
      </c>
      <c r="C31" s="91">
        <f>Tchg_dvdt</f>
        <v>12.924999999999999</v>
      </c>
      <c r="D31" s="91"/>
    </row>
    <row r="32" spans="1:5" x14ac:dyDescent="0.25">
      <c r="B32" s="91"/>
      <c r="C32" s="91"/>
      <c r="D32" s="91"/>
    </row>
    <row r="33" spans="1:4" x14ac:dyDescent="0.25">
      <c r="A33" s="85"/>
      <c r="B33" s="91"/>
      <c r="C33" s="91"/>
      <c r="D33" s="91"/>
    </row>
    <row r="34" spans="1:4" x14ac:dyDescent="0.25">
      <c r="A34" s="85"/>
      <c r="B34" s="91"/>
      <c r="C34" s="91"/>
      <c r="D34" s="91"/>
    </row>
    <row r="35" spans="1:4" x14ac:dyDescent="0.25">
      <c r="A35" s="85"/>
      <c r="B35" s="91"/>
      <c r="C35" s="91"/>
      <c r="D35" s="91"/>
    </row>
    <row r="36" spans="1:4" x14ac:dyDescent="0.25">
      <c r="A36" s="85"/>
      <c r="B36" s="91"/>
      <c r="C36" s="91"/>
      <c r="D36" s="91"/>
    </row>
    <row r="37" spans="1:4" x14ac:dyDescent="0.25">
      <c r="A37" s="85"/>
      <c r="B37" s="91"/>
      <c r="C37" s="91"/>
      <c r="D37" s="91"/>
    </row>
    <row r="38" spans="1:4" x14ac:dyDescent="0.25">
      <c r="A38" s="85"/>
      <c r="B38" s="91"/>
      <c r="C38" s="91"/>
      <c r="D38" s="91"/>
    </row>
    <row r="39" spans="1:4" x14ac:dyDescent="0.25">
      <c r="A39" s="85"/>
      <c r="B39" s="91"/>
      <c r="C39" s="91"/>
      <c r="D39" s="91"/>
    </row>
    <row r="40" spans="1:4" x14ac:dyDescent="0.25">
      <c r="A40" s="85"/>
      <c r="B40" s="91"/>
      <c r="C40" s="91"/>
      <c r="D40" s="91"/>
    </row>
    <row r="41" spans="1:4" x14ac:dyDescent="0.25">
      <c r="A41" s="85"/>
      <c r="B41" s="91"/>
      <c r="C41" s="91"/>
      <c r="D41" s="91"/>
    </row>
    <row r="42" spans="1:4" x14ac:dyDescent="0.25">
      <c r="A42" s="85"/>
      <c r="B42" s="91"/>
      <c r="C42" s="91"/>
      <c r="D42" s="91"/>
    </row>
    <row r="43" spans="1:4" x14ac:dyDescent="0.25">
      <c r="A43" s="85"/>
      <c r="B43" s="91"/>
      <c r="C43" s="91"/>
      <c r="D43" s="91"/>
    </row>
    <row r="44" spans="1:4" x14ac:dyDescent="0.25">
      <c r="A44" s="85"/>
      <c r="B44" s="91"/>
      <c r="C44" s="91"/>
      <c r="D44" s="91"/>
    </row>
    <row r="45" spans="1:4" x14ac:dyDescent="0.25">
      <c r="A45" s="85"/>
      <c r="B45" s="91"/>
      <c r="C45" s="91"/>
      <c r="D45" s="91"/>
    </row>
    <row r="46" spans="1:4" x14ac:dyDescent="0.25">
      <c r="A46" s="85"/>
      <c r="B46" s="91"/>
      <c r="C46" s="91"/>
      <c r="D46" s="91"/>
    </row>
    <row r="47" spans="1:4" x14ac:dyDescent="0.25">
      <c r="A47" s="85"/>
      <c r="B47" s="91"/>
      <c r="C47" s="91"/>
      <c r="D47" s="91"/>
    </row>
    <row r="48" spans="1:4" x14ac:dyDescent="0.25">
      <c r="A48" s="85"/>
      <c r="B48" s="91"/>
      <c r="C48" s="91"/>
      <c r="D48" s="91"/>
    </row>
    <row r="49" spans="1:4" x14ac:dyDescent="0.25">
      <c r="A49" s="85"/>
      <c r="B49" s="91"/>
      <c r="C49" s="91"/>
      <c r="D49" s="91"/>
    </row>
    <row r="50" spans="1:4" x14ac:dyDescent="0.25">
      <c r="A50" s="85"/>
      <c r="B50" s="91"/>
      <c r="C50" s="91"/>
      <c r="D50" s="91"/>
    </row>
    <row r="51" spans="1:4" x14ac:dyDescent="0.25">
      <c r="A51" s="85"/>
      <c r="B51" s="91"/>
      <c r="C51" s="91"/>
      <c r="D51" s="91"/>
    </row>
    <row r="52" spans="1:4" x14ac:dyDescent="0.25">
      <c r="A52" s="85"/>
      <c r="B52" s="91"/>
      <c r="C52" s="91"/>
      <c r="D52" s="91"/>
    </row>
    <row r="53" spans="1:4" x14ac:dyDescent="0.25">
      <c r="A53" s="85"/>
      <c r="B53" s="91"/>
      <c r="C53" s="91"/>
      <c r="D53" s="91"/>
    </row>
    <row r="54" spans="1:4" x14ac:dyDescent="0.25">
      <c r="A54" s="85"/>
      <c r="B54" s="91"/>
      <c r="C54" s="91"/>
      <c r="D54" s="91"/>
    </row>
    <row r="55" spans="1:4" x14ac:dyDescent="0.25">
      <c r="A55" s="85"/>
      <c r="B55" s="91"/>
      <c r="C55" s="91"/>
      <c r="D55" s="91"/>
    </row>
    <row r="56" spans="1:4" x14ac:dyDescent="0.25">
      <c r="A56" s="85"/>
      <c r="B56" s="91"/>
      <c r="C56" s="91"/>
      <c r="D56" s="91"/>
    </row>
    <row r="57" spans="1:4" x14ac:dyDescent="0.25">
      <c r="A57" s="85"/>
      <c r="B57" s="91"/>
      <c r="C57" s="91"/>
      <c r="D57" s="91"/>
    </row>
    <row r="58" spans="1:4" x14ac:dyDescent="0.25">
      <c r="A58" s="85"/>
      <c r="B58" s="91"/>
      <c r="C58" s="91"/>
      <c r="D58" s="91"/>
    </row>
    <row r="59" spans="1:4" x14ac:dyDescent="0.25">
      <c r="A59" s="85"/>
      <c r="B59" s="91"/>
      <c r="C59" s="91"/>
      <c r="D59" s="91"/>
    </row>
    <row r="60" spans="1:4" x14ac:dyDescent="0.25">
      <c r="A60" s="85"/>
      <c r="B60" s="91"/>
      <c r="C60" s="91"/>
      <c r="D60" s="91"/>
    </row>
    <row r="61" spans="1:4" x14ac:dyDescent="0.25">
      <c r="A61" s="85"/>
      <c r="B61" s="91"/>
      <c r="C61" s="91"/>
      <c r="D61" s="91"/>
    </row>
    <row r="62" spans="1:4" x14ac:dyDescent="0.25">
      <c r="A62" s="85"/>
      <c r="B62" s="91"/>
      <c r="C62" s="91"/>
      <c r="D62" s="91"/>
    </row>
    <row r="63" spans="1:4" x14ac:dyDescent="0.25">
      <c r="A63" s="85"/>
      <c r="B63" s="91"/>
      <c r="C63" s="91"/>
      <c r="D63" s="91"/>
    </row>
    <row r="64" spans="1:4" x14ac:dyDescent="0.25">
      <c r="A64" s="85"/>
      <c r="B64" s="91"/>
      <c r="C64" s="91"/>
      <c r="D64" s="91"/>
    </row>
    <row r="65" spans="1:4" x14ac:dyDescent="0.25">
      <c r="A65" s="85"/>
      <c r="B65" s="91"/>
      <c r="C65" s="91"/>
      <c r="D65" s="91"/>
    </row>
    <row r="66" spans="1:4" x14ac:dyDescent="0.25">
      <c r="A66" s="85"/>
      <c r="B66" s="91"/>
      <c r="C66" s="91"/>
      <c r="D66" s="91"/>
    </row>
    <row r="67" spans="1:4" x14ac:dyDescent="0.25">
      <c r="A67" s="85"/>
      <c r="B67" s="91"/>
      <c r="C67" s="91"/>
      <c r="D67" s="91"/>
    </row>
    <row r="68" spans="1:4" x14ac:dyDescent="0.25">
      <c r="A68" s="85"/>
      <c r="B68" s="91"/>
      <c r="C68" s="91"/>
      <c r="D68" s="91"/>
    </row>
    <row r="69" spans="1:4" x14ac:dyDescent="0.25">
      <c r="A69" s="85"/>
      <c r="B69" s="91"/>
      <c r="C69" s="91"/>
      <c r="D69" s="91"/>
    </row>
    <row r="70" spans="1:4" x14ac:dyDescent="0.25">
      <c r="A70" s="85"/>
      <c r="B70" s="91"/>
      <c r="C70" s="91"/>
      <c r="D70" s="91"/>
    </row>
    <row r="71" spans="1:4" x14ac:dyDescent="0.25">
      <c r="A71" s="85"/>
      <c r="B71" s="91"/>
      <c r="C71" s="91"/>
      <c r="D71" s="91"/>
    </row>
    <row r="72" spans="1:4" x14ac:dyDescent="0.25">
      <c r="A72" s="85"/>
      <c r="B72" s="91"/>
      <c r="C72" s="91"/>
      <c r="D72" s="91"/>
    </row>
    <row r="73" spans="1:4" x14ac:dyDescent="0.25">
      <c r="A73" s="85"/>
      <c r="B73" s="91"/>
      <c r="C73" s="91"/>
      <c r="D73" s="91"/>
    </row>
    <row r="74" spans="1:4" x14ac:dyDescent="0.25">
      <c r="A74" s="85"/>
      <c r="B74" s="91"/>
      <c r="C74" s="91"/>
      <c r="D74" s="91"/>
    </row>
    <row r="75" spans="1:4" x14ac:dyDescent="0.25">
      <c r="A75" s="85"/>
      <c r="B75" s="91"/>
      <c r="C75" s="91"/>
      <c r="D75" s="91"/>
    </row>
    <row r="76" spans="1:4" x14ac:dyDescent="0.25">
      <c r="A76" s="85"/>
      <c r="B76" s="91"/>
      <c r="C76" s="91"/>
      <c r="D76" s="91"/>
    </row>
    <row r="77" spans="1:4" x14ac:dyDescent="0.25">
      <c r="A77" s="85"/>
      <c r="B77" s="91"/>
      <c r="C77" s="91"/>
      <c r="D77" s="91"/>
    </row>
    <row r="78" spans="1:4" x14ac:dyDescent="0.25">
      <c r="A78" s="85"/>
      <c r="B78" s="91"/>
      <c r="C78" s="91"/>
      <c r="D78" s="91"/>
    </row>
    <row r="79" spans="1:4" x14ac:dyDescent="0.25">
      <c r="A79" s="85"/>
      <c r="B79" s="91"/>
      <c r="C79" s="91"/>
      <c r="D79" s="91"/>
    </row>
    <row r="80" spans="1:4" x14ac:dyDescent="0.25">
      <c r="A80" s="85"/>
      <c r="B80" s="91"/>
      <c r="C80" s="91"/>
      <c r="D80" s="91"/>
    </row>
    <row r="81" spans="1:4" x14ac:dyDescent="0.25">
      <c r="A81" s="85"/>
      <c r="B81" s="91"/>
      <c r="C81" s="91"/>
      <c r="D81" s="91"/>
    </row>
    <row r="82" spans="1:4" x14ac:dyDescent="0.25">
      <c r="A82" s="85"/>
      <c r="B82" s="91"/>
      <c r="C82" s="91"/>
      <c r="D82" s="91"/>
    </row>
    <row r="83" spans="1:4" x14ac:dyDescent="0.25">
      <c r="A83" s="85"/>
      <c r="B83" s="91"/>
      <c r="C83" s="91"/>
      <c r="D83" s="91"/>
    </row>
    <row r="84" spans="1:4" x14ac:dyDescent="0.25">
      <c r="A84" s="85"/>
      <c r="B84" s="91"/>
      <c r="C84" s="91"/>
      <c r="D84" s="91"/>
    </row>
    <row r="85" spans="1:4" x14ac:dyDescent="0.25">
      <c r="A85" s="85"/>
      <c r="B85" s="91"/>
      <c r="C85" s="91"/>
      <c r="D85" s="91"/>
    </row>
    <row r="86" spans="1:4" x14ac:dyDescent="0.25">
      <c r="A86" s="85"/>
      <c r="B86" s="91"/>
      <c r="C86" s="91"/>
      <c r="D86" s="91"/>
    </row>
    <row r="87" spans="1:4" x14ac:dyDescent="0.25">
      <c r="A87" s="85"/>
      <c r="B87" s="91"/>
      <c r="C87" s="91"/>
      <c r="D87" s="91"/>
    </row>
    <row r="88" spans="1:4" x14ac:dyDescent="0.25">
      <c r="A88" s="85"/>
      <c r="B88" s="91"/>
      <c r="C88" s="91"/>
      <c r="D88" s="91"/>
    </row>
    <row r="89" spans="1:4" x14ac:dyDescent="0.25">
      <c r="A89" s="85"/>
      <c r="B89" s="91"/>
      <c r="C89" s="91"/>
      <c r="D89" s="91"/>
    </row>
    <row r="90" spans="1:4" x14ac:dyDescent="0.25">
      <c r="A90" s="85"/>
      <c r="B90" s="91"/>
      <c r="C90" s="91"/>
      <c r="D90" s="91"/>
    </row>
    <row r="91" spans="1:4" x14ac:dyDescent="0.25">
      <c r="A91" s="85"/>
      <c r="B91" s="91"/>
      <c r="C91" s="91"/>
      <c r="D91" s="91"/>
    </row>
    <row r="92" spans="1:4" x14ac:dyDescent="0.25">
      <c r="A92" s="85"/>
      <c r="B92" s="91"/>
      <c r="C92" s="91"/>
      <c r="D92" s="91"/>
    </row>
    <row r="93" spans="1:4" x14ac:dyDescent="0.25">
      <c r="A93" s="85"/>
      <c r="B93" s="91"/>
      <c r="C93" s="91"/>
      <c r="D93" s="91"/>
    </row>
    <row r="94" spans="1:4" x14ac:dyDescent="0.25">
      <c r="A94" s="85"/>
      <c r="B94" s="91"/>
      <c r="C94" s="91"/>
      <c r="D94" s="91"/>
    </row>
    <row r="95" spans="1:4" x14ac:dyDescent="0.25">
      <c r="A95" s="85"/>
      <c r="B95" s="91"/>
      <c r="C95" s="91"/>
      <c r="D95" s="91"/>
    </row>
    <row r="96" spans="1:4" x14ac:dyDescent="0.25">
      <c r="A96" s="85"/>
      <c r="B96" s="91"/>
      <c r="C96" s="91"/>
      <c r="D96" s="91"/>
    </row>
    <row r="97" spans="1:4" x14ac:dyDescent="0.25">
      <c r="B97" s="91"/>
      <c r="C97" s="91"/>
      <c r="D97" s="91"/>
    </row>
    <row r="98" spans="1:4" x14ac:dyDescent="0.25">
      <c r="B98" s="91"/>
      <c r="C98" s="91"/>
      <c r="D98" s="91"/>
    </row>
    <row r="99" spans="1:4" x14ac:dyDescent="0.25">
      <c r="B99" s="91"/>
      <c r="C99" s="91"/>
      <c r="D99" s="91"/>
    </row>
    <row r="100" spans="1:4" x14ac:dyDescent="0.25">
      <c r="B100" s="91"/>
      <c r="C100" s="91"/>
      <c r="D100" s="91"/>
    </row>
    <row r="101" spans="1:4" x14ac:dyDescent="0.25">
      <c r="B101" s="91"/>
      <c r="C101" s="91"/>
      <c r="D101" s="91"/>
    </row>
    <row r="102" spans="1:4" x14ac:dyDescent="0.25">
      <c r="B102" s="91"/>
      <c r="C102" s="91"/>
      <c r="D102" s="91"/>
    </row>
    <row r="103" spans="1:4" x14ac:dyDescent="0.25">
      <c r="A103" s="91"/>
      <c r="B103" s="91"/>
      <c r="C103" s="91"/>
      <c r="D103" s="91"/>
    </row>
    <row r="104" spans="1:4" x14ac:dyDescent="0.25">
      <c r="A104" s="91"/>
      <c r="B104" s="91"/>
      <c r="C104" s="91"/>
      <c r="D104" s="91"/>
    </row>
  </sheetData>
  <sheetProtection password="A4F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00FF"/>
  </sheetPr>
  <dimension ref="A1:I197"/>
  <sheetViews>
    <sheetView workbookViewId="0">
      <pane ySplit="4" topLeftCell="A170" activePane="bottomLeft" state="frozen"/>
      <selection activeCell="G170" sqref="G170"/>
      <selection pane="bottomLeft" activeCell="G170" sqref="G170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4" t="s">
        <v>141</v>
      </c>
      <c r="B1" s="144"/>
      <c r="C1" s="144"/>
      <c r="D1" s="144"/>
      <c r="E1" s="144"/>
      <c r="F1" s="144"/>
    </row>
    <row r="3" spans="1:9" x14ac:dyDescent="0.25">
      <c r="A3" s="6">
        <v>0.2</v>
      </c>
      <c r="B3" s="6">
        <v>0.1</v>
      </c>
      <c r="C3" s="6">
        <v>0.05</v>
      </c>
      <c r="D3" s="6">
        <v>0.02</v>
      </c>
      <c r="E3" s="6">
        <v>0.01</v>
      </c>
      <c r="F3" s="7" t="s">
        <v>142</v>
      </c>
    </row>
    <row r="4" spans="1:9" x14ac:dyDescent="0.25">
      <c r="A4" s="8" t="s">
        <v>143</v>
      </c>
      <c r="B4" s="8" t="s">
        <v>144</v>
      </c>
      <c r="C4" s="8" t="s">
        <v>145</v>
      </c>
      <c r="D4" s="8" t="s">
        <v>146</v>
      </c>
      <c r="E4" s="8" t="s">
        <v>147</v>
      </c>
      <c r="F4" s="8" t="s">
        <v>148</v>
      </c>
    </row>
    <row r="5" spans="1:9" x14ac:dyDescent="0.25">
      <c r="A5" s="143">
        <v>100</v>
      </c>
      <c r="B5" s="141">
        <v>100</v>
      </c>
      <c r="C5" s="142">
        <v>100</v>
      </c>
      <c r="D5" s="140">
        <v>100</v>
      </c>
      <c r="E5" s="139">
        <v>100</v>
      </c>
      <c r="F5" s="9">
        <v>100</v>
      </c>
    </row>
    <row r="6" spans="1:9" x14ac:dyDescent="0.25">
      <c r="A6" s="143"/>
      <c r="B6" s="141"/>
      <c r="C6" s="142"/>
      <c r="D6" s="140"/>
      <c r="E6" s="139"/>
      <c r="F6" s="9">
        <v>101</v>
      </c>
    </row>
    <row r="7" spans="1:9" x14ac:dyDescent="0.25">
      <c r="A7" s="143"/>
      <c r="B7" s="141"/>
      <c r="C7" s="142"/>
      <c r="D7" s="140"/>
      <c r="E7" s="139">
        <v>102</v>
      </c>
      <c r="F7" s="9">
        <v>102</v>
      </c>
    </row>
    <row r="8" spans="1:9" x14ac:dyDescent="0.25">
      <c r="A8" s="143"/>
      <c r="B8" s="141"/>
      <c r="C8" s="142"/>
      <c r="D8" s="140"/>
      <c r="E8" s="139"/>
      <c r="F8" s="9">
        <v>104</v>
      </c>
    </row>
    <row r="9" spans="1:9" x14ac:dyDescent="0.25">
      <c r="A9" s="143"/>
      <c r="B9" s="141"/>
      <c r="C9" s="142"/>
      <c r="D9" s="140">
        <v>105</v>
      </c>
      <c r="E9" s="139">
        <v>105</v>
      </c>
      <c r="F9" s="9">
        <v>105</v>
      </c>
    </row>
    <row r="10" spans="1:9" x14ac:dyDescent="0.25">
      <c r="A10" s="143"/>
      <c r="B10" s="141"/>
      <c r="C10" s="142"/>
      <c r="D10" s="140"/>
      <c r="E10" s="139"/>
      <c r="F10" s="9">
        <v>106</v>
      </c>
      <c r="I10" s="2"/>
    </row>
    <row r="11" spans="1:9" x14ac:dyDescent="0.25">
      <c r="A11" s="143"/>
      <c r="B11" s="141"/>
      <c r="C11" s="142"/>
      <c r="D11" s="140"/>
      <c r="E11" s="139">
        <v>107</v>
      </c>
      <c r="F11" s="9">
        <v>107</v>
      </c>
    </row>
    <row r="12" spans="1:9" x14ac:dyDescent="0.25">
      <c r="A12" s="143"/>
      <c r="B12" s="141"/>
      <c r="C12" s="142"/>
      <c r="D12" s="140"/>
      <c r="E12" s="139"/>
      <c r="F12" s="9">
        <v>109</v>
      </c>
    </row>
    <row r="13" spans="1:9" x14ac:dyDescent="0.25">
      <c r="A13" s="143"/>
      <c r="B13" s="141"/>
      <c r="C13" s="142">
        <v>110</v>
      </c>
      <c r="D13" s="140">
        <v>110</v>
      </c>
      <c r="E13" s="139">
        <v>110</v>
      </c>
      <c r="F13" s="9">
        <v>110</v>
      </c>
    </row>
    <row r="14" spans="1:9" x14ac:dyDescent="0.25">
      <c r="A14" s="143"/>
      <c r="B14" s="141"/>
      <c r="C14" s="142"/>
      <c r="D14" s="140"/>
      <c r="E14" s="139"/>
      <c r="F14" s="9">
        <v>111</v>
      </c>
    </row>
    <row r="15" spans="1:9" x14ac:dyDescent="0.25">
      <c r="A15" s="143"/>
      <c r="B15" s="141"/>
      <c r="C15" s="142"/>
      <c r="D15" s="140"/>
      <c r="E15" s="139">
        <v>113</v>
      </c>
      <c r="F15" s="9">
        <v>113</v>
      </c>
    </row>
    <row r="16" spans="1:9" x14ac:dyDescent="0.25">
      <c r="A16" s="143"/>
      <c r="B16" s="141"/>
      <c r="C16" s="142"/>
      <c r="D16" s="140"/>
      <c r="E16" s="139"/>
      <c r="F16" s="9">
        <v>114</v>
      </c>
    </row>
    <row r="17" spans="1:6" x14ac:dyDescent="0.25">
      <c r="A17" s="143"/>
      <c r="B17" s="141"/>
      <c r="C17" s="142"/>
      <c r="D17" s="140">
        <v>115</v>
      </c>
      <c r="E17" s="139">
        <v>115</v>
      </c>
      <c r="F17" s="9">
        <v>115</v>
      </c>
    </row>
    <row r="18" spans="1:6" x14ac:dyDescent="0.25">
      <c r="A18" s="143"/>
      <c r="B18" s="141"/>
      <c r="C18" s="142"/>
      <c r="D18" s="140"/>
      <c r="E18" s="139"/>
      <c r="F18" s="9">
        <v>117</v>
      </c>
    </row>
    <row r="19" spans="1:6" x14ac:dyDescent="0.25">
      <c r="A19" s="143"/>
      <c r="B19" s="141"/>
      <c r="C19" s="142"/>
      <c r="D19" s="140"/>
      <c r="E19" s="139">
        <v>118</v>
      </c>
      <c r="F19" s="9">
        <v>118</v>
      </c>
    </row>
    <row r="20" spans="1:6" x14ac:dyDescent="0.25">
      <c r="A20" s="143"/>
      <c r="B20" s="141"/>
      <c r="C20" s="142"/>
      <c r="D20" s="140"/>
      <c r="E20" s="139"/>
      <c r="F20" s="9">
        <v>120</v>
      </c>
    </row>
    <row r="21" spans="1:6" x14ac:dyDescent="0.25">
      <c r="A21" s="143"/>
      <c r="B21" s="141">
        <v>120</v>
      </c>
      <c r="C21" s="142">
        <v>120</v>
      </c>
      <c r="D21" s="140">
        <v>121</v>
      </c>
      <c r="E21" s="139">
        <v>121</v>
      </c>
      <c r="F21" s="9">
        <v>121</v>
      </c>
    </row>
    <row r="22" spans="1:6" x14ac:dyDescent="0.25">
      <c r="A22" s="143"/>
      <c r="B22" s="141"/>
      <c r="C22" s="142"/>
      <c r="D22" s="140"/>
      <c r="E22" s="139"/>
      <c r="F22" s="9">
        <v>123</v>
      </c>
    </row>
    <row r="23" spans="1:6" x14ac:dyDescent="0.25">
      <c r="A23" s="143"/>
      <c r="B23" s="141"/>
      <c r="C23" s="142"/>
      <c r="D23" s="140"/>
      <c r="E23" s="139">
        <v>124</v>
      </c>
      <c r="F23" s="9">
        <v>124</v>
      </c>
    </row>
    <row r="24" spans="1:6" x14ac:dyDescent="0.25">
      <c r="A24" s="143"/>
      <c r="B24" s="141"/>
      <c r="C24" s="142"/>
      <c r="D24" s="140"/>
      <c r="E24" s="139"/>
      <c r="F24" s="9">
        <v>126</v>
      </c>
    </row>
    <row r="25" spans="1:6" x14ac:dyDescent="0.25">
      <c r="A25" s="143"/>
      <c r="B25" s="141"/>
      <c r="C25" s="142"/>
      <c r="D25" s="140">
        <v>127</v>
      </c>
      <c r="E25" s="139">
        <v>127</v>
      </c>
      <c r="F25" s="9">
        <v>127</v>
      </c>
    </row>
    <row r="26" spans="1:6" x14ac:dyDescent="0.25">
      <c r="A26" s="143"/>
      <c r="B26" s="141"/>
      <c r="C26" s="142"/>
      <c r="D26" s="140"/>
      <c r="E26" s="139"/>
      <c r="F26" s="9">
        <v>129</v>
      </c>
    </row>
    <row r="27" spans="1:6" x14ac:dyDescent="0.25">
      <c r="A27" s="143"/>
      <c r="B27" s="141"/>
      <c r="C27" s="142"/>
      <c r="D27" s="140"/>
      <c r="E27" s="139">
        <v>130</v>
      </c>
      <c r="F27" s="9">
        <v>130</v>
      </c>
    </row>
    <row r="28" spans="1:6" x14ac:dyDescent="0.25">
      <c r="A28" s="143"/>
      <c r="B28" s="141"/>
      <c r="C28" s="142"/>
      <c r="D28" s="140"/>
      <c r="E28" s="139"/>
      <c r="F28" s="9">
        <v>132</v>
      </c>
    </row>
    <row r="29" spans="1:6" x14ac:dyDescent="0.25">
      <c r="A29" s="143"/>
      <c r="B29" s="141"/>
      <c r="C29" s="142">
        <v>130</v>
      </c>
      <c r="D29" s="140">
        <v>133</v>
      </c>
      <c r="E29" s="139">
        <v>133</v>
      </c>
      <c r="F29" s="9">
        <v>133</v>
      </c>
    </row>
    <row r="30" spans="1:6" x14ac:dyDescent="0.25">
      <c r="A30" s="143"/>
      <c r="B30" s="141"/>
      <c r="C30" s="142"/>
      <c r="D30" s="140"/>
      <c r="E30" s="139"/>
      <c r="F30" s="9">
        <v>135</v>
      </c>
    </row>
    <row r="31" spans="1:6" x14ac:dyDescent="0.25">
      <c r="A31" s="143"/>
      <c r="B31" s="141"/>
      <c r="C31" s="142"/>
      <c r="D31" s="140"/>
      <c r="E31" s="139">
        <v>137</v>
      </c>
      <c r="F31" s="9">
        <v>137</v>
      </c>
    </row>
    <row r="32" spans="1:6" x14ac:dyDescent="0.25">
      <c r="A32" s="143"/>
      <c r="B32" s="141"/>
      <c r="C32" s="142"/>
      <c r="D32" s="140"/>
      <c r="E32" s="139"/>
      <c r="F32" s="9">
        <v>138</v>
      </c>
    </row>
    <row r="33" spans="1:6" x14ac:dyDescent="0.25">
      <c r="A33" s="143"/>
      <c r="B33" s="141"/>
      <c r="C33" s="142"/>
      <c r="D33" s="140">
        <v>140</v>
      </c>
      <c r="E33" s="139">
        <v>140</v>
      </c>
      <c r="F33" s="9">
        <v>140</v>
      </c>
    </row>
    <row r="34" spans="1:6" x14ac:dyDescent="0.25">
      <c r="A34" s="143"/>
      <c r="B34" s="141"/>
      <c r="C34" s="142"/>
      <c r="D34" s="140"/>
      <c r="E34" s="139"/>
      <c r="F34" s="9">
        <v>142</v>
      </c>
    </row>
    <row r="35" spans="1:6" x14ac:dyDescent="0.25">
      <c r="A35" s="143"/>
      <c r="B35" s="141"/>
      <c r="C35" s="142"/>
      <c r="D35" s="140"/>
      <c r="E35" s="139">
        <v>143</v>
      </c>
      <c r="F35" s="9">
        <v>143</v>
      </c>
    </row>
    <row r="36" spans="1:6" x14ac:dyDescent="0.25">
      <c r="A36" s="143"/>
      <c r="B36" s="141"/>
      <c r="C36" s="142"/>
      <c r="D36" s="140"/>
      <c r="E36" s="139"/>
      <c r="F36" s="9">
        <v>145</v>
      </c>
    </row>
    <row r="37" spans="1:6" x14ac:dyDescent="0.25">
      <c r="A37" s="143">
        <v>150</v>
      </c>
      <c r="B37" s="141">
        <v>150</v>
      </c>
      <c r="C37" s="142">
        <v>150</v>
      </c>
      <c r="D37" s="140">
        <v>147</v>
      </c>
      <c r="E37" s="139">
        <v>147</v>
      </c>
      <c r="F37" s="9">
        <v>147</v>
      </c>
    </row>
    <row r="38" spans="1:6" x14ac:dyDescent="0.25">
      <c r="A38" s="143"/>
      <c r="B38" s="141"/>
      <c r="C38" s="142"/>
      <c r="D38" s="140"/>
      <c r="E38" s="139"/>
      <c r="F38" s="9">
        <v>149</v>
      </c>
    </row>
    <row r="39" spans="1:6" x14ac:dyDescent="0.25">
      <c r="A39" s="143"/>
      <c r="B39" s="141"/>
      <c r="C39" s="142"/>
      <c r="D39" s="140"/>
      <c r="E39" s="139">
        <v>150</v>
      </c>
      <c r="F39" s="9">
        <v>150</v>
      </c>
    </row>
    <row r="40" spans="1:6" x14ac:dyDescent="0.25">
      <c r="A40" s="143"/>
      <c r="B40" s="141"/>
      <c r="C40" s="142"/>
      <c r="D40" s="140"/>
      <c r="E40" s="139"/>
      <c r="F40" s="9">
        <v>152</v>
      </c>
    </row>
    <row r="41" spans="1:6" x14ac:dyDescent="0.25">
      <c r="A41" s="143"/>
      <c r="B41" s="141"/>
      <c r="C41" s="142"/>
      <c r="D41" s="140">
        <v>154</v>
      </c>
      <c r="E41" s="139">
        <v>154</v>
      </c>
      <c r="F41" s="9">
        <v>154</v>
      </c>
    </row>
    <row r="42" spans="1:6" x14ac:dyDescent="0.25">
      <c r="A42" s="143"/>
      <c r="B42" s="141"/>
      <c r="C42" s="142"/>
      <c r="D42" s="140"/>
      <c r="E42" s="139"/>
      <c r="F42" s="9">
        <v>156</v>
      </c>
    </row>
    <row r="43" spans="1:6" x14ac:dyDescent="0.25">
      <c r="A43" s="143"/>
      <c r="B43" s="141"/>
      <c r="C43" s="142"/>
      <c r="D43" s="140"/>
      <c r="E43" s="139">
        <v>158</v>
      </c>
      <c r="F43" s="9">
        <v>158</v>
      </c>
    </row>
    <row r="44" spans="1:6" x14ac:dyDescent="0.25">
      <c r="A44" s="143"/>
      <c r="B44" s="141"/>
      <c r="C44" s="142"/>
      <c r="D44" s="140"/>
      <c r="E44" s="139"/>
      <c r="F44" s="9">
        <v>160</v>
      </c>
    </row>
    <row r="45" spans="1:6" x14ac:dyDescent="0.25">
      <c r="A45" s="143"/>
      <c r="B45" s="141"/>
      <c r="C45" s="142">
        <v>160</v>
      </c>
      <c r="D45" s="140">
        <v>162</v>
      </c>
      <c r="E45" s="139">
        <v>162</v>
      </c>
      <c r="F45" s="9">
        <v>162</v>
      </c>
    </row>
    <row r="46" spans="1:6" x14ac:dyDescent="0.25">
      <c r="A46" s="143"/>
      <c r="B46" s="141"/>
      <c r="C46" s="142"/>
      <c r="D46" s="140"/>
      <c r="E46" s="139"/>
      <c r="F46" s="9">
        <v>164</v>
      </c>
    </row>
    <row r="47" spans="1:6" x14ac:dyDescent="0.25">
      <c r="A47" s="143"/>
      <c r="B47" s="141"/>
      <c r="C47" s="142"/>
      <c r="D47" s="140"/>
      <c r="E47" s="139">
        <v>165</v>
      </c>
      <c r="F47" s="9">
        <v>165</v>
      </c>
    </row>
    <row r="48" spans="1:6" x14ac:dyDescent="0.25">
      <c r="A48" s="143"/>
      <c r="B48" s="141"/>
      <c r="C48" s="142"/>
      <c r="D48" s="140"/>
      <c r="E48" s="139"/>
      <c r="F48" s="9">
        <v>167</v>
      </c>
    </row>
    <row r="49" spans="1:6" x14ac:dyDescent="0.25">
      <c r="A49" s="143"/>
      <c r="B49" s="141"/>
      <c r="C49" s="142"/>
      <c r="D49" s="140">
        <v>169</v>
      </c>
      <c r="E49" s="139">
        <v>169</v>
      </c>
      <c r="F49" s="9">
        <v>169</v>
      </c>
    </row>
    <row r="50" spans="1:6" x14ac:dyDescent="0.25">
      <c r="A50" s="143"/>
      <c r="B50" s="141"/>
      <c r="C50" s="142"/>
      <c r="D50" s="140"/>
      <c r="E50" s="139"/>
      <c r="F50" s="9">
        <v>172</v>
      </c>
    </row>
    <row r="51" spans="1:6" x14ac:dyDescent="0.25">
      <c r="A51" s="143"/>
      <c r="B51" s="141"/>
      <c r="C51" s="142"/>
      <c r="D51" s="140"/>
      <c r="E51" s="139">
        <v>174</v>
      </c>
      <c r="F51" s="9">
        <v>174</v>
      </c>
    </row>
    <row r="52" spans="1:6" x14ac:dyDescent="0.25">
      <c r="A52" s="143"/>
      <c r="B52" s="141"/>
      <c r="C52" s="142"/>
      <c r="D52" s="140"/>
      <c r="E52" s="139"/>
      <c r="F52" s="9">
        <v>176</v>
      </c>
    </row>
    <row r="53" spans="1:6" x14ac:dyDescent="0.25">
      <c r="A53" s="143"/>
      <c r="B53" s="141">
        <v>180</v>
      </c>
      <c r="C53" s="142">
        <v>180</v>
      </c>
      <c r="D53" s="140">
        <v>178</v>
      </c>
      <c r="E53" s="139">
        <v>178</v>
      </c>
      <c r="F53" s="9">
        <v>178</v>
      </c>
    </row>
    <row r="54" spans="1:6" x14ac:dyDescent="0.25">
      <c r="A54" s="143"/>
      <c r="B54" s="141"/>
      <c r="C54" s="142"/>
      <c r="D54" s="140"/>
      <c r="E54" s="139"/>
      <c r="F54" s="9">
        <v>180</v>
      </c>
    </row>
    <row r="55" spans="1:6" x14ac:dyDescent="0.25">
      <c r="A55" s="143"/>
      <c r="B55" s="141"/>
      <c r="C55" s="142"/>
      <c r="D55" s="140"/>
      <c r="E55" s="139">
        <v>182</v>
      </c>
      <c r="F55" s="9">
        <v>182</v>
      </c>
    </row>
    <row r="56" spans="1:6" x14ac:dyDescent="0.25">
      <c r="A56" s="143"/>
      <c r="B56" s="141"/>
      <c r="C56" s="142"/>
      <c r="D56" s="140"/>
      <c r="E56" s="139"/>
      <c r="F56" s="9">
        <v>184</v>
      </c>
    </row>
    <row r="57" spans="1:6" x14ac:dyDescent="0.25">
      <c r="A57" s="143"/>
      <c r="B57" s="141"/>
      <c r="C57" s="142"/>
      <c r="D57" s="140">
        <v>187</v>
      </c>
      <c r="E57" s="139">
        <v>187</v>
      </c>
      <c r="F57" s="9">
        <v>187</v>
      </c>
    </row>
    <row r="58" spans="1:6" x14ac:dyDescent="0.25">
      <c r="A58" s="143"/>
      <c r="B58" s="141"/>
      <c r="C58" s="142"/>
      <c r="D58" s="140"/>
      <c r="E58" s="139"/>
      <c r="F58" s="9">
        <v>189</v>
      </c>
    </row>
    <row r="59" spans="1:6" x14ac:dyDescent="0.25">
      <c r="A59" s="143"/>
      <c r="B59" s="141"/>
      <c r="C59" s="142"/>
      <c r="D59" s="140"/>
      <c r="E59" s="139">
        <v>191</v>
      </c>
      <c r="F59" s="9">
        <v>191</v>
      </c>
    </row>
    <row r="60" spans="1:6" x14ac:dyDescent="0.25">
      <c r="A60" s="143"/>
      <c r="B60" s="141"/>
      <c r="C60" s="142"/>
      <c r="D60" s="140"/>
      <c r="E60" s="139"/>
      <c r="F60" s="9">
        <v>193</v>
      </c>
    </row>
    <row r="61" spans="1:6" x14ac:dyDescent="0.25">
      <c r="A61" s="143"/>
      <c r="B61" s="141"/>
      <c r="C61" s="142">
        <v>200</v>
      </c>
      <c r="D61" s="140">
        <v>196</v>
      </c>
      <c r="E61" s="139">
        <v>196</v>
      </c>
      <c r="F61" s="9">
        <v>196</v>
      </c>
    </row>
    <row r="62" spans="1:6" x14ac:dyDescent="0.25">
      <c r="A62" s="143"/>
      <c r="B62" s="141"/>
      <c r="C62" s="142"/>
      <c r="D62" s="140"/>
      <c r="E62" s="139"/>
      <c r="F62" s="9">
        <v>198</v>
      </c>
    </row>
    <row r="63" spans="1:6" x14ac:dyDescent="0.25">
      <c r="A63" s="143"/>
      <c r="B63" s="141"/>
      <c r="C63" s="142"/>
      <c r="D63" s="140"/>
      <c r="E63" s="139">
        <v>200</v>
      </c>
      <c r="F63" s="9">
        <v>200</v>
      </c>
    </row>
    <row r="64" spans="1:6" x14ac:dyDescent="0.25">
      <c r="A64" s="143"/>
      <c r="B64" s="141"/>
      <c r="C64" s="142"/>
      <c r="D64" s="140"/>
      <c r="E64" s="139"/>
      <c r="F64" s="9">
        <v>203</v>
      </c>
    </row>
    <row r="65" spans="1:6" x14ac:dyDescent="0.25">
      <c r="A65" s="143"/>
      <c r="B65" s="141"/>
      <c r="C65" s="142"/>
      <c r="D65" s="140">
        <v>205</v>
      </c>
      <c r="E65" s="139">
        <v>205</v>
      </c>
      <c r="F65" s="9">
        <v>205</v>
      </c>
    </row>
    <row r="66" spans="1:6" x14ac:dyDescent="0.25">
      <c r="A66" s="143"/>
      <c r="B66" s="141"/>
      <c r="C66" s="142"/>
      <c r="D66" s="140"/>
      <c r="E66" s="139"/>
      <c r="F66" s="9">
        <v>208</v>
      </c>
    </row>
    <row r="67" spans="1:6" x14ac:dyDescent="0.25">
      <c r="A67" s="143"/>
      <c r="B67" s="141"/>
      <c r="C67" s="142"/>
      <c r="D67" s="140"/>
      <c r="E67" s="139">
        <v>210</v>
      </c>
      <c r="F67" s="9">
        <v>210</v>
      </c>
    </row>
    <row r="68" spans="1:6" x14ac:dyDescent="0.25">
      <c r="A68" s="143"/>
      <c r="B68" s="141"/>
      <c r="C68" s="142"/>
      <c r="D68" s="140"/>
      <c r="E68" s="139"/>
      <c r="F68" s="9">
        <v>213</v>
      </c>
    </row>
    <row r="69" spans="1:6" x14ac:dyDescent="0.25">
      <c r="A69" s="143">
        <v>220</v>
      </c>
      <c r="B69" s="141">
        <v>220</v>
      </c>
      <c r="C69" s="142">
        <v>220</v>
      </c>
      <c r="D69" s="140">
        <v>215</v>
      </c>
      <c r="E69" s="139">
        <v>215</v>
      </c>
      <c r="F69" s="9">
        <v>215</v>
      </c>
    </row>
    <row r="70" spans="1:6" x14ac:dyDescent="0.25">
      <c r="A70" s="143"/>
      <c r="B70" s="141"/>
      <c r="C70" s="142"/>
      <c r="D70" s="140"/>
      <c r="E70" s="139"/>
      <c r="F70" s="9">
        <v>218</v>
      </c>
    </row>
    <row r="71" spans="1:6" x14ac:dyDescent="0.25">
      <c r="A71" s="143"/>
      <c r="B71" s="141"/>
      <c r="C71" s="142"/>
      <c r="D71" s="140"/>
      <c r="E71" s="139">
        <v>221</v>
      </c>
      <c r="F71" s="9">
        <v>221</v>
      </c>
    </row>
    <row r="72" spans="1:6" x14ac:dyDescent="0.25">
      <c r="A72" s="143"/>
      <c r="B72" s="141"/>
      <c r="C72" s="142"/>
      <c r="D72" s="140"/>
      <c r="E72" s="139"/>
      <c r="F72" s="9">
        <v>223</v>
      </c>
    </row>
    <row r="73" spans="1:6" x14ac:dyDescent="0.25">
      <c r="A73" s="143"/>
      <c r="B73" s="141"/>
      <c r="C73" s="142"/>
      <c r="D73" s="140">
        <v>226</v>
      </c>
      <c r="E73" s="139">
        <v>226</v>
      </c>
      <c r="F73" s="9">
        <v>226</v>
      </c>
    </row>
    <row r="74" spans="1:6" x14ac:dyDescent="0.25">
      <c r="A74" s="143"/>
      <c r="B74" s="141"/>
      <c r="C74" s="142"/>
      <c r="D74" s="140"/>
      <c r="E74" s="139"/>
      <c r="F74" s="9">
        <v>229</v>
      </c>
    </row>
    <row r="75" spans="1:6" x14ac:dyDescent="0.25">
      <c r="A75" s="143"/>
      <c r="B75" s="141"/>
      <c r="C75" s="142"/>
      <c r="D75" s="140"/>
      <c r="E75" s="139">
        <v>232</v>
      </c>
      <c r="F75" s="9">
        <v>232</v>
      </c>
    </row>
    <row r="76" spans="1:6" x14ac:dyDescent="0.25">
      <c r="A76" s="143"/>
      <c r="B76" s="141"/>
      <c r="C76" s="142"/>
      <c r="D76" s="140"/>
      <c r="E76" s="139"/>
      <c r="F76" s="9">
        <v>234</v>
      </c>
    </row>
    <row r="77" spans="1:6" x14ac:dyDescent="0.25">
      <c r="A77" s="143"/>
      <c r="B77" s="141"/>
      <c r="C77" s="142">
        <v>240</v>
      </c>
      <c r="D77" s="140">
        <v>237</v>
      </c>
      <c r="E77" s="139">
        <v>237</v>
      </c>
      <c r="F77" s="9">
        <v>237</v>
      </c>
    </row>
    <row r="78" spans="1:6" x14ac:dyDescent="0.25">
      <c r="A78" s="143"/>
      <c r="B78" s="141"/>
      <c r="C78" s="142"/>
      <c r="D78" s="140"/>
      <c r="E78" s="139"/>
      <c r="F78" s="9">
        <v>240</v>
      </c>
    </row>
    <row r="79" spans="1:6" x14ac:dyDescent="0.25">
      <c r="A79" s="143"/>
      <c r="B79" s="141"/>
      <c r="C79" s="142"/>
      <c r="D79" s="140"/>
      <c r="E79" s="139">
        <v>243</v>
      </c>
      <c r="F79" s="9">
        <v>243</v>
      </c>
    </row>
    <row r="80" spans="1:6" x14ac:dyDescent="0.25">
      <c r="A80" s="143"/>
      <c r="B80" s="141"/>
      <c r="C80" s="142"/>
      <c r="D80" s="140"/>
      <c r="E80" s="139"/>
      <c r="F80" s="9">
        <v>246</v>
      </c>
    </row>
    <row r="81" spans="1:6" x14ac:dyDescent="0.25">
      <c r="A81" s="143"/>
      <c r="B81" s="141"/>
      <c r="C81" s="142"/>
      <c r="D81" s="140">
        <v>249</v>
      </c>
      <c r="E81" s="139">
        <v>249</v>
      </c>
      <c r="F81" s="9">
        <v>249</v>
      </c>
    </row>
    <row r="82" spans="1:6" x14ac:dyDescent="0.25">
      <c r="A82" s="143"/>
      <c r="B82" s="141"/>
      <c r="C82" s="142"/>
      <c r="D82" s="140"/>
      <c r="E82" s="139"/>
      <c r="F82" s="9">
        <v>252</v>
      </c>
    </row>
    <row r="83" spans="1:6" x14ac:dyDescent="0.25">
      <c r="A83" s="143"/>
      <c r="B83" s="141"/>
      <c r="C83" s="142"/>
      <c r="D83" s="140"/>
      <c r="E83" s="139">
        <v>255</v>
      </c>
      <c r="F83" s="9">
        <v>255</v>
      </c>
    </row>
    <row r="84" spans="1:6" x14ac:dyDescent="0.25">
      <c r="A84" s="143"/>
      <c r="B84" s="141"/>
      <c r="C84" s="142"/>
      <c r="D84" s="140"/>
      <c r="E84" s="139"/>
      <c r="F84" s="9">
        <v>258</v>
      </c>
    </row>
    <row r="85" spans="1:6" x14ac:dyDescent="0.25">
      <c r="A85" s="143"/>
      <c r="B85" s="141">
        <v>270</v>
      </c>
      <c r="C85" s="142">
        <v>270</v>
      </c>
      <c r="D85" s="140">
        <v>261</v>
      </c>
      <c r="E85" s="139">
        <v>261</v>
      </c>
      <c r="F85" s="9">
        <v>261</v>
      </c>
    </row>
    <row r="86" spans="1:6" x14ac:dyDescent="0.25">
      <c r="A86" s="143"/>
      <c r="B86" s="141"/>
      <c r="C86" s="142"/>
      <c r="D86" s="140"/>
      <c r="E86" s="139"/>
      <c r="F86" s="9">
        <v>264</v>
      </c>
    </row>
    <row r="87" spans="1:6" x14ac:dyDescent="0.25">
      <c r="A87" s="143"/>
      <c r="B87" s="141"/>
      <c r="C87" s="142"/>
      <c r="D87" s="140"/>
      <c r="E87" s="139">
        <v>267</v>
      </c>
      <c r="F87" s="9">
        <v>267</v>
      </c>
    </row>
    <row r="88" spans="1:6" x14ac:dyDescent="0.25">
      <c r="A88" s="143"/>
      <c r="B88" s="141"/>
      <c r="C88" s="142"/>
      <c r="D88" s="140"/>
      <c r="E88" s="139"/>
      <c r="F88" s="9">
        <v>271</v>
      </c>
    </row>
    <row r="89" spans="1:6" x14ac:dyDescent="0.25">
      <c r="A89" s="143"/>
      <c r="B89" s="141"/>
      <c r="C89" s="142"/>
      <c r="D89" s="140">
        <v>274</v>
      </c>
      <c r="E89" s="139">
        <v>274</v>
      </c>
      <c r="F89" s="9">
        <v>274</v>
      </c>
    </row>
    <row r="90" spans="1:6" x14ac:dyDescent="0.25">
      <c r="A90" s="143"/>
      <c r="B90" s="141"/>
      <c r="C90" s="142"/>
      <c r="D90" s="140"/>
      <c r="E90" s="139"/>
      <c r="F90" s="9">
        <v>277</v>
      </c>
    </row>
    <row r="91" spans="1:6" x14ac:dyDescent="0.25">
      <c r="A91" s="143"/>
      <c r="B91" s="141"/>
      <c r="C91" s="142"/>
      <c r="D91" s="140"/>
      <c r="E91" s="139">
        <v>280</v>
      </c>
      <c r="F91" s="9">
        <v>280</v>
      </c>
    </row>
    <row r="92" spans="1:6" x14ac:dyDescent="0.25">
      <c r="A92" s="143"/>
      <c r="B92" s="141"/>
      <c r="C92" s="142"/>
      <c r="D92" s="140"/>
      <c r="E92" s="139"/>
      <c r="F92" s="9">
        <v>284</v>
      </c>
    </row>
    <row r="93" spans="1:6" x14ac:dyDescent="0.25">
      <c r="A93" s="143"/>
      <c r="B93" s="141"/>
      <c r="C93" s="142">
        <v>300</v>
      </c>
      <c r="D93" s="140">
        <v>287</v>
      </c>
      <c r="E93" s="139">
        <v>287</v>
      </c>
      <c r="F93" s="9">
        <v>287</v>
      </c>
    </row>
    <row r="94" spans="1:6" x14ac:dyDescent="0.25">
      <c r="A94" s="143"/>
      <c r="B94" s="141"/>
      <c r="C94" s="142"/>
      <c r="D94" s="140"/>
      <c r="E94" s="139"/>
      <c r="F94" s="9">
        <v>291</v>
      </c>
    </row>
    <row r="95" spans="1:6" x14ac:dyDescent="0.25">
      <c r="A95" s="143"/>
      <c r="B95" s="141"/>
      <c r="C95" s="142"/>
      <c r="D95" s="140"/>
      <c r="E95" s="139">
        <v>294</v>
      </c>
      <c r="F95" s="9">
        <v>294</v>
      </c>
    </row>
    <row r="96" spans="1:6" x14ac:dyDescent="0.25">
      <c r="A96" s="143"/>
      <c r="B96" s="141"/>
      <c r="C96" s="142"/>
      <c r="D96" s="140"/>
      <c r="E96" s="139"/>
      <c r="F96" s="9">
        <v>298</v>
      </c>
    </row>
    <row r="97" spans="1:6" x14ac:dyDescent="0.25">
      <c r="A97" s="143"/>
      <c r="B97" s="141"/>
      <c r="C97" s="142"/>
      <c r="D97" s="140">
        <v>301</v>
      </c>
      <c r="E97" s="139">
        <v>301</v>
      </c>
      <c r="F97" s="9">
        <v>301</v>
      </c>
    </row>
    <row r="98" spans="1:6" x14ac:dyDescent="0.25">
      <c r="A98" s="143"/>
      <c r="B98" s="141"/>
      <c r="C98" s="142"/>
      <c r="D98" s="140"/>
      <c r="E98" s="139"/>
      <c r="F98" s="9">
        <v>305</v>
      </c>
    </row>
    <row r="99" spans="1:6" x14ac:dyDescent="0.25">
      <c r="A99" s="143"/>
      <c r="B99" s="141"/>
      <c r="C99" s="142"/>
      <c r="D99" s="140"/>
      <c r="E99" s="139">
        <v>309</v>
      </c>
      <c r="F99" s="9">
        <v>309</v>
      </c>
    </row>
    <row r="100" spans="1:6" x14ac:dyDescent="0.25">
      <c r="A100" s="143"/>
      <c r="B100" s="141"/>
      <c r="C100" s="142"/>
      <c r="D100" s="140"/>
      <c r="E100" s="139"/>
      <c r="F100" s="9">
        <v>312</v>
      </c>
    </row>
    <row r="101" spans="1:6" x14ac:dyDescent="0.25">
      <c r="A101" s="143">
        <v>330</v>
      </c>
      <c r="B101" s="141">
        <v>330</v>
      </c>
      <c r="C101" s="142">
        <v>330</v>
      </c>
      <c r="D101" s="140">
        <v>316</v>
      </c>
      <c r="E101" s="139">
        <v>316</v>
      </c>
      <c r="F101" s="9">
        <v>316</v>
      </c>
    </row>
    <row r="102" spans="1:6" x14ac:dyDescent="0.25">
      <c r="A102" s="143"/>
      <c r="B102" s="141"/>
      <c r="C102" s="142"/>
      <c r="D102" s="140"/>
      <c r="E102" s="139"/>
      <c r="F102" s="9">
        <v>320</v>
      </c>
    </row>
    <row r="103" spans="1:6" x14ac:dyDescent="0.25">
      <c r="A103" s="143"/>
      <c r="B103" s="141"/>
      <c r="C103" s="142"/>
      <c r="D103" s="140"/>
      <c r="E103" s="139">
        <v>324</v>
      </c>
      <c r="F103" s="9">
        <v>324</v>
      </c>
    </row>
    <row r="104" spans="1:6" x14ac:dyDescent="0.25">
      <c r="A104" s="143"/>
      <c r="B104" s="141"/>
      <c r="C104" s="142"/>
      <c r="D104" s="140"/>
      <c r="E104" s="139"/>
      <c r="F104" s="9">
        <v>328</v>
      </c>
    </row>
    <row r="105" spans="1:6" x14ac:dyDescent="0.25">
      <c r="A105" s="143"/>
      <c r="B105" s="141"/>
      <c r="C105" s="142"/>
      <c r="D105" s="140">
        <v>332</v>
      </c>
      <c r="E105" s="139">
        <v>332</v>
      </c>
      <c r="F105" s="9">
        <v>332</v>
      </c>
    </row>
    <row r="106" spans="1:6" x14ac:dyDescent="0.25">
      <c r="A106" s="143"/>
      <c r="B106" s="141"/>
      <c r="C106" s="142"/>
      <c r="D106" s="140"/>
      <c r="E106" s="139"/>
      <c r="F106" s="9">
        <v>336</v>
      </c>
    </row>
    <row r="107" spans="1:6" x14ac:dyDescent="0.25">
      <c r="A107" s="143"/>
      <c r="B107" s="141"/>
      <c r="C107" s="142"/>
      <c r="D107" s="140"/>
      <c r="E107" s="139">
        <v>340</v>
      </c>
      <c r="F107" s="9">
        <v>340</v>
      </c>
    </row>
    <row r="108" spans="1:6" x14ac:dyDescent="0.25">
      <c r="A108" s="143"/>
      <c r="B108" s="141"/>
      <c r="C108" s="142"/>
      <c r="D108" s="140"/>
      <c r="E108" s="139"/>
      <c r="F108" s="9">
        <v>344</v>
      </c>
    </row>
    <row r="109" spans="1:6" x14ac:dyDescent="0.25">
      <c r="A109" s="143"/>
      <c r="B109" s="141"/>
      <c r="C109" s="142">
        <v>360</v>
      </c>
      <c r="D109" s="140">
        <v>348</v>
      </c>
      <c r="E109" s="139">
        <v>348</v>
      </c>
      <c r="F109" s="9">
        <v>348</v>
      </c>
    </row>
    <row r="110" spans="1:6" x14ac:dyDescent="0.25">
      <c r="A110" s="143"/>
      <c r="B110" s="141"/>
      <c r="C110" s="142"/>
      <c r="D110" s="140"/>
      <c r="E110" s="139"/>
      <c r="F110" s="9">
        <v>352</v>
      </c>
    </row>
    <row r="111" spans="1:6" x14ac:dyDescent="0.25">
      <c r="A111" s="143"/>
      <c r="B111" s="141"/>
      <c r="C111" s="142"/>
      <c r="D111" s="140"/>
      <c r="E111" s="139">
        <v>357</v>
      </c>
      <c r="F111" s="9">
        <v>357</v>
      </c>
    </row>
    <row r="112" spans="1:6" x14ac:dyDescent="0.25">
      <c r="A112" s="143"/>
      <c r="B112" s="141"/>
      <c r="C112" s="142"/>
      <c r="D112" s="140"/>
      <c r="E112" s="139"/>
      <c r="F112" s="9">
        <v>361</v>
      </c>
    </row>
    <row r="113" spans="1:6" x14ac:dyDescent="0.25">
      <c r="A113" s="143"/>
      <c r="B113" s="141"/>
      <c r="C113" s="142"/>
      <c r="D113" s="140">
        <v>365</v>
      </c>
      <c r="E113" s="139">
        <v>365</v>
      </c>
      <c r="F113" s="9">
        <v>365</v>
      </c>
    </row>
    <row r="114" spans="1:6" x14ac:dyDescent="0.25">
      <c r="A114" s="143"/>
      <c r="B114" s="141"/>
      <c r="C114" s="142"/>
      <c r="D114" s="140"/>
      <c r="E114" s="139"/>
      <c r="F114" s="9">
        <v>370</v>
      </c>
    </row>
    <row r="115" spans="1:6" x14ac:dyDescent="0.25">
      <c r="A115" s="143"/>
      <c r="B115" s="141"/>
      <c r="C115" s="142"/>
      <c r="D115" s="140"/>
      <c r="E115" s="139">
        <v>374</v>
      </c>
      <c r="F115" s="9">
        <v>374</v>
      </c>
    </row>
    <row r="116" spans="1:6" x14ac:dyDescent="0.25">
      <c r="A116" s="143"/>
      <c r="B116" s="141"/>
      <c r="C116" s="142"/>
      <c r="D116" s="140"/>
      <c r="E116" s="139"/>
      <c r="F116" s="9">
        <v>379</v>
      </c>
    </row>
    <row r="117" spans="1:6" x14ac:dyDescent="0.25">
      <c r="A117" s="143"/>
      <c r="B117" s="141">
        <v>390</v>
      </c>
      <c r="C117" s="142">
        <v>390</v>
      </c>
      <c r="D117" s="140">
        <v>383</v>
      </c>
      <c r="E117" s="139">
        <v>383</v>
      </c>
      <c r="F117" s="9">
        <v>383</v>
      </c>
    </row>
    <row r="118" spans="1:6" x14ac:dyDescent="0.25">
      <c r="A118" s="143"/>
      <c r="B118" s="141"/>
      <c r="C118" s="142"/>
      <c r="D118" s="140"/>
      <c r="E118" s="139"/>
      <c r="F118" s="9">
        <v>388</v>
      </c>
    </row>
    <row r="119" spans="1:6" x14ac:dyDescent="0.25">
      <c r="A119" s="143"/>
      <c r="B119" s="141"/>
      <c r="C119" s="142"/>
      <c r="D119" s="140"/>
      <c r="E119" s="139">
        <v>392</v>
      </c>
      <c r="F119" s="9">
        <v>392</v>
      </c>
    </row>
    <row r="120" spans="1:6" x14ac:dyDescent="0.25">
      <c r="A120" s="143"/>
      <c r="B120" s="141"/>
      <c r="C120" s="142"/>
      <c r="D120" s="140"/>
      <c r="E120" s="139"/>
      <c r="F120" s="9">
        <v>397</v>
      </c>
    </row>
    <row r="121" spans="1:6" x14ac:dyDescent="0.25">
      <c r="A121" s="143"/>
      <c r="B121" s="141"/>
      <c r="C121" s="142"/>
      <c r="D121" s="140">
        <v>402</v>
      </c>
      <c r="E121" s="139">
        <v>402</v>
      </c>
      <c r="F121" s="9">
        <v>402</v>
      </c>
    </row>
    <row r="122" spans="1:6" x14ac:dyDescent="0.25">
      <c r="A122" s="143"/>
      <c r="B122" s="141"/>
      <c r="C122" s="142"/>
      <c r="D122" s="140"/>
      <c r="E122" s="139"/>
      <c r="F122" s="9">
        <v>407</v>
      </c>
    </row>
    <row r="123" spans="1:6" x14ac:dyDescent="0.25">
      <c r="A123" s="143"/>
      <c r="B123" s="141"/>
      <c r="C123" s="142"/>
      <c r="D123" s="140"/>
      <c r="E123" s="139">
        <v>412</v>
      </c>
      <c r="F123" s="9">
        <v>412</v>
      </c>
    </row>
    <row r="124" spans="1:6" x14ac:dyDescent="0.25">
      <c r="A124" s="143"/>
      <c r="B124" s="141"/>
      <c r="C124" s="142"/>
      <c r="D124" s="140"/>
      <c r="E124" s="139"/>
      <c r="F124" s="9">
        <v>417</v>
      </c>
    </row>
    <row r="125" spans="1:6" x14ac:dyDescent="0.25">
      <c r="A125" s="143"/>
      <c r="B125" s="141"/>
      <c r="C125" s="142">
        <v>430</v>
      </c>
      <c r="D125" s="140">
        <v>422</v>
      </c>
      <c r="E125" s="139">
        <v>422</v>
      </c>
      <c r="F125" s="9">
        <v>422</v>
      </c>
    </row>
    <row r="126" spans="1:6" x14ac:dyDescent="0.25">
      <c r="A126" s="143"/>
      <c r="B126" s="141"/>
      <c r="C126" s="142"/>
      <c r="D126" s="140"/>
      <c r="E126" s="139"/>
      <c r="F126" s="9">
        <v>427</v>
      </c>
    </row>
    <row r="127" spans="1:6" x14ac:dyDescent="0.25">
      <c r="A127" s="143"/>
      <c r="B127" s="141"/>
      <c r="C127" s="142"/>
      <c r="D127" s="140"/>
      <c r="E127" s="139">
        <v>432</v>
      </c>
      <c r="F127" s="9">
        <v>432</v>
      </c>
    </row>
    <row r="128" spans="1:6" x14ac:dyDescent="0.25">
      <c r="A128" s="143"/>
      <c r="B128" s="141"/>
      <c r="C128" s="142"/>
      <c r="D128" s="140"/>
      <c r="E128" s="139"/>
      <c r="F128" s="9">
        <v>437</v>
      </c>
    </row>
    <row r="129" spans="1:6" x14ac:dyDescent="0.25">
      <c r="A129" s="143"/>
      <c r="B129" s="141"/>
      <c r="C129" s="142"/>
      <c r="D129" s="140">
        <v>442</v>
      </c>
      <c r="E129" s="139">
        <v>442</v>
      </c>
      <c r="F129" s="9">
        <v>442</v>
      </c>
    </row>
    <row r="130" spans="1:6" x14ac:dyDescent="0.25">
      <c r="A130" s="143"/>
      <c r="B130" s="141"/>
      <c r="C130" s="142"/>
      <c r="D130" s="140"/>
      <c r="E130" s="139"/>
      <c r="F130" s="9">
        <v>448</v>
      </c>
    </row>
    <row r="131" spans="1:6" x14ac:dyDescent="0.25">
      <c r="A131" s="143"/>
      <c r="B131" s="141"/>
      <c r="C131" s="142"/>
      <c r="D131" s="140"/>
      <c r="E131" s="139">
        <v>453</v>
      </c>
      <c r="F131" s="9">
        <v>453</v>
      </c>
    </row>
    <row r="132" spans="1:6" x14ac:dyDescent="0.25">
      <c r="A132" s="143"/>
      <c r="B132" s="141"/>
      <c r="C132" s="142"/>
      <c r="D132" s="140"/>
      <c r="E132" s="139"/>
      <c r="F132" s="9">
        <v>459</v>
      </c>
    </row>
    <row r="133" spans="1:6" x14ac:dyDescent="0.25">
      <c r="A133" s="143">
        <v>470</v>
      </c>
      <c r="B133" s="141">
        <v>470</v>
      </c>
      <c r="C133" s="142">
        <v>470</v>
      </c>
      <c r="D133" s="140">
        <v>464</v>
      </c>
      <c r="E133" s="139">
        <v>464</v>
      </c>
      <c r="F133" s="9">
        <v>464</v>
      </c>
    </row>
    <row r="134" spans="1:6" x14ac:dyDescent="0.25">
      <c r="A134" s="143"/>
      <c r="B134" s="141"/>
      <c r="C134" s="142"/>
      <c r="D134" s="140"/>
      <c r="E134" s="139"/>
      <c r="F134" s="9">
        <v>470</v>
      </c>
    </row>
    <row r="135" spans="1:6" x14ac:dyDescent="0.25">
      <c r="A135" s="143"/>
      <c r="B135" s="141"/>
      <c r="C135" s="142"/>
      <c r="D135" s="140"/>
      <c r="E135" s="139">
        <v>475</v>
      </c>
      <c r="F135" s="9">
        <v>475</v>
      </c>
    </row>
    <row r="136" spans="1:6" x14ac:dyDescent="0.25">
      <c r="A136" s="143"/>
      <c r="B136" s="141"/>
      <c r="C136" s="142"/>
      <c r="D136" s="140"/>
      <c r="E136" s="139"/>
      <c r="F136" s="9">
        <v>481</v>
      </c>
    </row>
    <row r="137" spans="1:6" x14ac:dyDescent="0.25">
      <c r="A137" s="143"/>
      <c r="B137" s="141"/>
      <c r="C137" s="142"/>
      <c r="D137" s="140">
        <v>487</v>
      </c>
      <c r="E137" s="139">
        <v>487</v>
      </c>
      <c r="F137" s="9">
        <v>487</v>
      </c>
    </row>
    <row r="138" spans="1:6" x14ac:dyDescent="0.25">
      <c r="A138" s="143"/>
      <c r="B138" s="141"/>
      <c r="C138" s="142"/>
      <c r="D138" s="140"/>
      <c r="E138" s="139"/>
      <c r="F138" s="9">
        <v>493</v>
      </c>
    </row>
    <row r="139" spans="1:6" x14ac:dyDescent="0.25">
      <c r="A139" s="143"/>
      <c r="B139" s="141"/>
      <c r="C139" s="142"/>
      <c r="D139" s="140"/>
      <c r="E139" s="139">
        <v>499</v>
      </c>
      <c r="F139" s="9">
        <v>499</v>
      </c>
    </row>
    <row r="140" spans="1:6" x14ac:dyDescent="0.25">
      <c r="A140" s="143"/>
      <c r="B140" s="141"/>
      <c r="C140" s="142"/>
      <c r="D140" s="140"/>
      <c r="E140" s="139"/>
      <c r="F140" s="9">
        <v>505</v>
      </c>
    </row>
    <row r="141" spans="1:6" x14ac:dyDescent="0.25">
      <c r="A141" s="143"/>
      <c r="B141" s="141"/>
      <c r="C141" s="142">
        <v>510</v>
      </c>
      <c r="D141" s="140">
        <v>511</v>
      </c>
      <c r="E141" s="139">
        <v>511</v>
      </c>
      <c r="F141" s="9">
        <v>511</v>
      </c>
    </row>
    <row r="142" spans="1:6" x14ac:dyDescent="0.25">
      <c r="A142" s="143"/>
      <c r="B142" s="141"/>
      <c r="C142" s="142"/>
      <c r="D142" s="140"/>
      <c r="E142" s="139"/>
      <c r="F142" s="9">
        <v>517</v>
      </c>
    </row>
    <row r="143" spans="1:6" x14ac:dyDescent="0.25">
      <c r="A143" s="143"/>
      <c r="B143" s="141"/>
      <c r="C143" s="142"/>
      <c r="D143" s="140"/>
      <c r="E143" s="139">
        <v>523</v>
      </c>
      <c r="F143" s="9">
        <v>523</v>
      </c>
    </row>
    <row r="144" spans="1:6" x14ac:dyDescent="0.25">
      <c r="A144" s="143"/>
      <c r="B144" s="141"/>
      <c r="C144" s="142"/>
      <c r="D144" s="140"/>
      <c r="E144" s="139"/>
      <c r="F144" s="9">
        <v>530</v>
      </c>
    </row>
    <row r="145" spans="1:6" x14ac:dyDescent="0.25">
      <c r="A145" s="143"/>
      <c r="B145" s="141"/>
      <c r="C145" s="142"/>
      <c r="D145" s="140">
        <v>536</v>
      </c>
      <c r="E145" s="139">
        <v>536</v>
      </c>
      <c r="F145" s="9">
        <v>536</v>
      </c>
    </row>
    <row r="146" spans="1:6" x14ac:dyDescent="0.25">
      <c r="A146" s="143"/>
      <c r="B146" s="141"/>
      <c r="C146" s="142"/>
      <c r="D146" s="140"/>
      <c r="E146" s="139"/>
      <c r="F146" s="9">
        <v>542</v>
      </c>
    </row>
    <row r="147" spans="1:6" x14ac:dyDescent="0.25">
      <c r="A147" s="143"/>
      <c r="B147" s="141"/>
      <c r="C147" s="142"/>
      <c r="D147" s="140"/>
      <c r="E147" s="139">
        <v>549</v>
      </c>
      <c r="F147" s="9">
        <v>549</v>
      </c>
    </row>
    <row r="148" spans="1:6" x14ac:dyDescent="0.25">
      <c r="A148" s="143"/>
      <c r="B148" s="141"/>
      <c r="C148" s="142"/>
      <c r="D148" s="140"/>
      <c r="E148" s="139"/>
      <c r="F148" s="9">
        <v>556</v>
      </c>
    </row>
    <row r="149" spans="1:6" x14ac:dyDescent="0.25">
      <c r="A149" s="143"/>
      <c r="B149" s="141">
        <v>560</v>
      </c>
      <c r="C149" s="142">
        <v>560</v>
      </c>
      <c r="D149" s="140">
        <v>562</v>
      </c>
      <c r="E149" s="139">
        <v>562</v>
      </c>
      <c r="F149" s="9">
        <v>562</v>
      </c>
    </row>
    <row r="150" spans="1:6" x14ac:dyDescent="0.25">
      <c r="A150" s="143"/>
      <c r="B150" s="141"/>
      <c r="C150" s="142"/>
      <c r="D150" s="140"/>
      <c r="E150" s="139"/>
      <c r="F150" s="9">
        <v>569</v>
      </c>
    </row>
    <row r="151" spans="1:6" x14ac:dyDescent="0.25">
      <c r="A151" s="143"/>
      <c r="B151" s="141"/>
      <c r="C151" s="142"/>
      <c r="D151" s="140"/>
      <c r="E151" s="139">
        <v>576</v>
      </c>
      <c r="F151" s="9">
        <v>576</v>
      </c>
    </row>
    <row r="152" spans="1:6" x14ac:dyDescent="0.25">
      <c r="A152" s="143"/>
      <c r="B152" s="141"/>
      <c r="C152" s="142"/>
      <c r="D152" s="140"/>
      <c r="E152" s="139"/>
      <c r="F152" s="9">
        <v>583</v>
      </c>
    </row>
    <row r="153" spans="1:6" x14ac:dyDescent="0.25">
      <c r="A153" s="143"/>
      <c r="B153" s="141"/>
      <c r="C153" s="142"/>
      <c r="D153" s="140">
        <v>590</v>
      </c>
      <c r="E153" s="139">
        <v>590</v>
      </c>
      <c r="F153" s="9">
        <v>590</v>
      </c>
    </row>
    <row r="154" spans="1:6" x14ac:dyDescent="0.25">
      <c r="A154" s="143"/>
      <c r="B154" s="141"/>
      <c r="C154" s="142"/>
      <c r="D154" s="140"/>
      <c r="E154" s="139"/>
      <c r="F154" s="9">
        <v>597</v>
      </c>
    </row>
    <row r="155" spans="1:6" x14ac:dyDescent="0.25">
      <c r="A155" s="143"/>
      <c r="B155" s="141"/>
      <c r="C155" s="142"/>
      <c r="D155" s="140"/>
      <c r="E155" s="139">
        <v>604</v>
      </c>
      <c r="F155" s="9">
        <v>604</v>
      </c>
    </row>
    <row r="156" spans="1:6" x14ac:dyDescent="0.25">
      <c r="A156" s="143"/>
      <c r="B156" s="141"/>
      <c r="C156" s="142"/>
      <c r="D156" s="140"/>
      <c r="E156" s="139"/>
      <c r="F156" s="9">
        <v>612</v>
      </c>
    </row>
    <row r="157" spans="1:6" x14ac:dyDescent="0.25">
      <c r="A157" s="143"/>
      <c r="B157" s="141"/>
      <c r="C157" s="142">
        <v>620</v>
      </c>
      <c r="D157" s="140">
        <v>619</v>
      </c>
      <c r="E157" s="139">
        <v>619</v>
      </c>
      <c r="F157" s="9">
        <v>619</v>
      </c>
    </row>
    <row r="158" spans="1:6" x14ac:dyDescent="0.25">
      <c r="A158" s="143"/>
      <c r="B158" s="141"/>
      <c r="C158" s="142"/>
      <c r="D158" s="140"/>
      <c r="E158" s="139"/>
      <c r="F158" s="9">
        <v>626</v>
      </c>
    </row>
    <row r="159" spans="1:6" x14ac:dyDescent="0.25">
      <c r="A159" s="143"/>
      <c r="B159" s="141"/>
      <c r="C159" s="142"/>
      <c r="D159" s="140"/>
      <c r="E159" s="139">
        <v>634</v>
      </c>
      <c r="F159" s="9">
        <v>634</v>
      </c>
    </row>
    <row r="160" spans="1:6" x14ac:dyDescent="0.25">
      <c r="A160" s="143"/>
      <c r="B160" s="141"/>
      <c r="C160" s="142"/>
      <c r="D160" s="140"/>
      <c r="E160" s="139"/>
      <c r="F160" s="9">
        <v>642</v>
      </c>
    </row>
    <row r="161" spans="1:6" x14ac:dyDescent="0.25">
      <c r="A161" s="143"/>
      <c r="B161" s="141"/>
      <c r="C161" s="142"/>
      <c r="D161" s="140">
        <v>649</v>
      </c>
      <c r="E161" s="139">
        <v>649</v>
      </c>
      <c r="F161" s="9">
        <v>649</v>
      </c>
    </row>
    <row r="162" spans="1:6" x14ac:dyDescent="0.25">
      <c r="A162" s="143"/>
      <c r="B162" s="141"/>
      <c r="C162" s="142"/>
      <c r="D162" s="140"/>
      <c r="E162" s="139"/>
      <c r="F162" s="9">
        <v>657</v>
      </c>
    </row>
    <row r="163" spans="1:6" x14ac:dyDescent="0.25">
      <c r="A163" s="143"/>
      <c r="B163" s="141"/>
      <c r="C163" s="142"/>
      <c r="D163" s="140"/>
      <c r="E163" s="139">
        <v>665</v>
      </c>
      <c r="F163" s="9">
        <v>665</v>
      </c>
    </row>
    <row r="164" spans="1:6" x14ac:dyDescent="0.25">
      <c r="A164" s="143"/>
      <c r="B164" s="141"/>
      <c r="C164" s="142"/>
      <c r="D164" s="140"/>
      <c r="E164" s="139"/>
      <c r="F164" s="9">
        <v>673</v>
      </c>
    </row>
    <row r="165" spans="1:6" x14ac:dyDescent="0.25">
      <c r="A165" s="143">
        <v>680</v>
      </c>
      <c r="B165" s="141">
        <v>680</v>
      </c>
      <c r="C165" s="142">
        <v>680</v>
      </c>
      <c r="D165" s="140">
        <v>681</v>
      </c>
      <c r="E165" s="139">
        <v>681</v>
      </c>
      <c r="F165" s="9">
        <v>681</v>
      </c>
    </row>
    <row r="166" spans="1:6" x14ac:dyDescent="0.25">
      <c r="A166" s="143"/>
      <c r="B166" s="141"/>
      <c r="C166" s="142"/>
      <c r="D166" s="140"/>
      <c r="E166" s="139"/>
      <c r="F166" s="9">
        <v>690</v>
      </c>
    </row>
    <row r="167" spans="1:6" x14ac:dyDescent="0.25">
      <c r="A167" s="143"/>
      <c r="B167" s="141"/>
      <c r="C167" s="142"/>
      <c r="D167" s="140"/>
      <c r="E167" s="139">
        <v>698</v>
      </c>
      <c r="F167" s="9">
        <v>698</v>
      </c>
    </row>
    <row r="168" spans="1:6" x14ac:dyDescent="0.25">
      <c r="A168" s="143"/>
      <c r="B168" s="141"/>
      <c r="C168" s="142"/>
      <c r="D168" s="140"/>
      <c r="E168" s="139"/>
      <c r="F168" s="9">
        <v>706</v>
      </c>
    </row>
    <row r="169" spans="1:6" x14ac:dyDescent="0.25">
      <c r="A169" s="143"/>
      <c r="B169" s="141"/>
      <c r="C169" s="142"/>
      <c r="D169" s="140">
        <v>715</v>
      </c>
      <c r="E169" s="139">
        <v>715</v>
      </c>
      <c r="F169" s="9">
        <v>715</v>
      </c>
    </row>
    <row r="170" spans="1:6" x14ac:dyDescent="0.25">
      <c r="A170" s="143"/>
      <c r="B170" s="141"/>
      <c r="C170" s="142"/>
      <c r="D170" s="140"/>
      <c r="E170" s="139"/>
      <c r="F170" s="9">
        <v>723</v>
      </c>
    </row>
    <row r="171" spans="1:6" x14ac:dyDescent="0.25">
      <c r="A171" s="143"/>
      <c r="B171" s="141"/>
      <c r="C171" s="142"/>
      <c r="D171" s="140"/>
      <c r="E171" s="139">
        <v>732</v>
      </c>
      <c r="F171" s="9">
        <v>732</v>
      </c>
    </row>
    <row r="172" spans="1:6" x14ac:dyDescent="0.25">
      <c r="A172" s="143"/>
      <c r="B172" s="141"/>
      <c r="C172" s="142"/>
      <c r="D172" s="140"/>
      <c r="E172" s="139"/>
      <c r="F172" s="9">
        <v>741</v>
      </c>
    </row>
    <row r="173" spans="1:6" x14ac:dyDescent="0.25">
      <c r="A173" s="143"/>
      <c r="B173" s="141"/>
      <c r="C173" s="142">
        <v>750</v>
      </c>
      <c r="D173" s="140">
        <v>750</v>
      </c>
      <c r="E173" s="139">
        <v>750</v>
      </c>
      <c r="F173" s="9">
        <v>750</v>
      </c>
    </row>
    <row r="174" spans="1:6" x14ac:dyDescent="0.25">
      <c r="A174" s="143"/>
      <c r="B174" s="141"/>
      <c r="C174" s="142"/>
      <c r="D174" s="140"/>
      <c r="E174" s="139"/>
      <c r="F174" s="9">
        <v>759</v>
      </c>
    </row>
    <row r="175" spans="1:6" x14ac:dyDescent="0.25">
      <c r="A175" s="143"/>
      <c r="B175" s="141"/>
      <c r="C175" s="142"/>
      <c r="D175" s="140"/>
      <c r="E175" s="139">
        <v>768</v>
      </c>
      <c r="F175" s="9">
        <v>768</v>
      </c>
    </row>
    <row r="176" spans="1:6" x14ac:dyDescent="0.25">
      <c r="A176" s="143"/>
      <c r="B176" s="141"/>
      <c r="C176" s="142"/>
      <c r="D176" s="140"/>
      <c r="E176" s="139"/>
      <c r="F176" s="9">
        <v>777</v>
      </c>
    </row>
    <row r="177" spans="1:6" x14ac:dyDescent="0.25">
      <c r="A177" s="143"/>
      <c r="B177" s="141"/>
      <c r="C177" s="142"/>
      <c r="D177" s="140">
        <v>787</v>
      </c>
      <c r="E177" s="139">
        <v>787</v>
      </c>
      <c r="F177" s="9">
        <v>787</v>
      </c>
    </row>
    <row r="178" spans="1:6" x14ac:dyDescent="0.25">
      <c r="A178" s="143"/>
      <c r="B178" s="141"/>
      <c r="C178" s="142"/>
      <c r="D178" s="140"/>
      <c r="E178" s="139"/>
      <c r="F178" s="9">
        <v>796</v>
      </c>
    </row>
    <row r="179" spans="1:6" x14ac:dyDescent="0.25">
      <c r="A179" s="143"/>
      <c r="B179" s="141"/>
      <c r="C179" s="142"/>
      <c r="D179" s="140"/>
      <c r="E179" s="139">
        <v>806</v>
      </c>
      <c r="F179" s="9">
        <v>806</v>
      </c>
    </row>
    <row r="180" spans="1:6" x14ac:dyDescent="0.25">
      <c r="A180" s="143"/>
      <c r="B180" s="141"/>
      <c r="C180" s="142"/>
      <c r="D180" s="140"/>
      <c r="E180" s="139"/>
      <c r="F180" s="9">
        <v>816</v>
      </c>
    </row>
    <row r="181" spans="1:6" x14ac:dyDescent="0.25">
      <c r="A181" s="143"/>
      <c r="B181" s="141">
        <v>820</v>
      </c>
      <c r="C181" s="142">
        <v>820</v>
      </c>
      <c r="D181" s="140">
        <v>825</v>
      </c>
      <c r="E181" s="139">
        <v>825</v>
      </c>
      <c r="F181" s="9">
        <v>825</v>
      </c>
    </row>
    <row r="182" spans="1:6" x14ac:dyDescent="0.25">
      <c r="A182" s="143"/>
      <c r="B182" s="141"/>
      <c r="C182" s="142"/>
      <c r="D182" s="140"/>
      <c r="E182" s="139"/>
      <c r="F182" s="9">
        <v>835</v>
      </c>
    </row>
    <row r="183" spans="1:6" x14ac:dyDescent="0.25">
      <c r="A183" s="143"/>
      <c r="B183" s="141"/>
      <c r="C183" s="142"/>
      <c r="D183" s="140"/>
      <c r="E183" s="139">
        <v>845</v>
      </c>
      <c r="F183" s="9">
        <v>845</v>
      </c>
    </row>
    <row r="184" spans="1:6" x14ac:dyDescent="0.25">
      <c r="A184" s="143"/>
      <c r="B184" s="141"/>
      <c r="C184" s="142"/>
      <c r="D184" s="140"/>
      <c r="E184" s="139"/>
      <c r="F184" s="9">
        <v>856</v>
      </c>
    </row>
    <row r="185" spans="1:6" x14ac:dyDescent="0.25">
      <c r="A185" s="143"/>
      <c r="B185" s="141"/>
      <c r="C185" s="142"/>
      <c r="D185" s="140">
        <v>866</v>
      </c>
      <c r="E185" s="139">
        <v>866</v>
      </c>
      <c r="F185" s="9">
        <v>866</v>
      </c>
    </row>
    <row r="186" spans="1:6" x14ac:dyDescent="0.25">
      <c r="A186" s="143"/>
      <c r="B186" s="141"/>
      <c r="C186" s="142"/>
      <c r="D186" s="140"/>
      <c r="E186" s="139"/>
      <c r="F186" s="9">
        <v>876</v>
      </c>
    </row>
    <row r="187" spans="1:6" x14ac:dyDescent="0.25">
      <c r="A187" s="143"/>
      <c r="B187" s="141"/>
      <c r="C187" s="142"/>
      <c r="D187" s="140"/>
      <c r="E187" s="139">
        <v>887</v>
      </c>
      <c r="F187" s="9">
        <v>887</v>
      </c>
    </row>
    <row r="188" spans="1:6" x14ac:dyDescent="0.25">
      <c r="A188" s="143"/>
      <c r="B188" s="141"/>
      <c r="C188" s="142"/>
      <c r="D188" s="140"/>
      <c r="E188" s="139"/>
      <c r="F188" s="9">
        <v>898</v>
      </c>
    </row>
    <row r="189" spans="1:6" x14ac:dyDescent="0.25">
      <c r="A189" s="143"/>
      <c r="B189" s="141"/>
      <c r="C189" s="142">
        <v>910</v>
      </c>
      <c r="D189" s="140">
        <v>909</v>
      </c>
      <c r="E189" s="139">
        <v>909</v>
      </c>
      <c r="F189" s="9">
        <v>909</v>
      </c>
    </row>
    <row r="190" spans="1:6" x14ac:dyDescent="0.25">
      <c r="A190" s="143"/>
      <c r="B190" s="141"/>
      <c r="C190" s="142"/>
      <c r="D190" s="140"/>
      <c r="E190" s="139"/>
      <c r="F190" s="9">
        <v>920</v>
      </c>
    </row>
    <row r="191" spans="1:6" x14ac:dyDescent="0.25">
      <c r="A191" s="143"/>
      <c r="B191" s="141"/>
      <c r="C191" s="142"/>
      <c r="D191" s="140"/>
      <c r="E191" s="139">
        <v>931</v>
      </c>
      <c r="F191" s="9">
        <v>931</v>
      </c>
    </row>
    <row r="192" spans="1:6" x14ac:dyDescent="0.25">
      <c r="A192" s="143"/>
      <c r="B192" s="141"/>
      <c r="C192" s="142"/>
      <c r="D192" s="140"/>
      <c r="E192" s="139"/>
      <c r="F192" s="9">
        <v>942</v>
      </c>
    </row>
    <row r="193" spans="1:7" x14ac:dyDescent="0.25">
      <c r="A193" s="143"/>
      <c r="B193" s="141"/>
      <c r="C193" s="142"/>
      <c r="D193" s="140">
        <v>953</v>
      </c>
      <c r="E193" s="139">
        <v>953</v>
      </c>
      <c r="F193" s="9">
        <v>953</v>
      </c>
    </row>
    <row r="194" spans="1:7" x14ac:dyDescent="0.25">
      <c r="A194" s="143"/>
      <c r="B194" s="141"/>
      <c r="C194" s="142"/>
      <c r="D194" s="140"/>
      <c r="E194" s="139"/>
      <c r="F194" s="9">
        <v>965</v>
      </c>
    </row>
    <row r="195" spans="1:7" x14ac:dyDescent="0.25">
      <c r="A195" s="143"/>
      <c r="B195" s="141"/>
      <c r="C195" s="142"/>
      <c r="D195" s="140"/>
      <c r="E195" s="139">
        <v>976</v>
      </c>
      <c r="F195" s="9">
        <v>976</v>
      </c>
    </row>
    <row r="196" spans="1:7" x14ac:dyDescent="0.25">
      <c r="A196" s="143"/>
      <c r="B196" s="141"/>
      <c r="C196" s="142"/>
      <c r="D196" s="140"/>
      <c r="E196" s="139"/>
      <c r="F196" s="9">
        <v>988</v>
      </c>
    </row>
    <row r="197" spans="1:7" x14ac:dyDescent="0.25">
      <c r="A197" s="10">
        <v>1000</v>
      </c>
      <c r="B197" s="11">
        <v>1000</v>
      </c>
      <c r="C197" s="12">
        <v>1000</v>
      </c>
      <c r="D197" s="13">
        <v>1000</v>
      </c>
      <c r="E197" s="14">
        <v>1000</v>
      </c>
      <c r="F197" s="15">
        <v>1000</v>
      </c>
      <c r="G197" s="16" t="s">
        <v>149</v>
      </c>
    </row>
  </sheetData>
  <sheetProtection sheet="1" objects="1" scenarios="1"/>
  <mergeCells count="187"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F75"/>
  <sheetViews>
    <sheetView workbookViewId="0">
      <pane xSplit="1" ySplit="3" topLeftCell="B7" activePane="bottomRight" state="frozen"/>
      <selection activeCell="G170" sqref="G170"/>
      <selection pane="topRight" activeCell="G170" sqref="G170"/>
      <selection pane="bottomLeft" activeCell="G170" sqref="G170"/>
      <selection pane="bottomRight" activeCell="G170" sqref="G170"/>
    </sheetView>
  </sheetViews>
  <sheetFormatPr defaultRowHeight="15" x14ac:dyDescent="0.25"/>
  <cols>
    <col min="1" max="4" width="9.28515625" bestFit="1" customWidth="1"/>
  </cols>
  <sheetData>
    <row r="1" spans="1:4" ht="26.25" x14ac:dyDescent="0.4">
      <c r="A1" s="19" t="s">
        <v>151</v>
      </c>
      <c r="B1" s="19"/>
    </row>
    <row r="3" spans="1:4" x14ac:dyDescent="0.25">
      <c r="A3" s="17" t="s">
        <v>103</v>
      </c>
      <c r="B3" s="17" t="s">
        <v>8</v>
      </c>
      <c r="C3" s="17" t="s">
        <v>150</v>
      </c>
      <c r="D3" s="17" t="s">
        <v>153</v>
      </c>
    </row>
    <row r="4" spans="1:4" x14ac:dyDescent="0.25">
      <c r="A4" s="18">
        <v>1</v>
      </c>
      <c r="B4" s="18">
        <v>1</v>
      </c>
      <c r="C4" s="18">
        <v>1</v>
      </c>
      <c r="D4" s="18">
        <v>1</v>
      </c>
    </row>
    <row r="5" spans="1:4" x14ac:dyDescent="0.25">
      <c r="A5" s="18">
        <v>1.1000000000000001</v>
      </c>
      <c r="B5" s="18">
        <v>1.1000000000000001</v>
      </c>
      <c r="C5" s="18"/>
      <c r="D5" s="18"/>
    </row>
    <row r="6" spans="1:4" x14ac:dyDescent="0.25">
      <c r="A6" s="18">
        <v>1.2</v>
      </c>
      <c r="B6" s="18">
        <v>1.2</v>
      </c>
      <c r="C6" s="18"/>
      <c r="D6" s="18"/>
    </row>
    <row r="7" spans="1:4" x14ac:dyDescent="0.25">
      <c r="A7" s="18">
        <v>1.3</v>
      </c>
      <c r="B7" s="18">
        <v>1.3</v>
      </c>
      <c r="C7" s="18"/>
      <c r="D7" s="18"/>
    </row>
    <row r="8" spans="1:4" x14ac:dyDescent="0.25">
      <c r="A8" s="18">
        <v>1.5</v>
      </c>
      <c r="B8" s="18">
        <v>1.5</v>
      </c>
      <c r="C8" s="18">
        <v>1.5</v>
      </c>
      <c r="D8" s="18">
        <v>1.5</v>
      </c>
    </row>
    <row r="9" spans="1:4" x14ac:dyDescent="0.25">
      <c r="A9" s="18">
        <v>1.6</v>
      </c>
      <c r="B9" s="18">
        <v>1.6</v>
      </c>
      <c r="C9" s="18"/>
      <c r="D9" s="18"/>
    </row>
    <row r="10" spans="1:4" x14ac:dyDescent="0.25">
      <c r="A10" s="18">
        <v>1.8</v>
      </c>
      <c r="B10" s="18">
        <v>1.8</v>
      </c>
      <c r="C10" s="18"/>
      <c r="D10" s="18"/>
    </row>
    <row r="11" spans="1:4" x14ac:dyDescent="0.25">
      <c r="A11" s="18">
        <v>2</v>
      </c>
      <c r="B11" s="18">
        <v>2</v>
      </c>
      <c r="C11" s="18"/>
      <c r="D11" s="18"/>
    </row>
    <row r="12" spans="1:4" x14ac:dyDescent="0.25">
      <c r="A12" s="18">
        <v>2.2000000000000002</v>
      </c>
      <c r="B12" s="18">
        <v>2.2000000000000002</v>
      </c>
      <c r="C12" s="18">
        <v>2.2000000000000002</v>
      </c>
      <c r="D12" s="18">
        <v>2.2000000000000002</v>
      </c>
    </row>
    <row r="13" spans="1:4" x14ac:dyDescent="0.25">
      <c r="A13" s="18">
        <v>2.4</v>
      </c>
      <c r="B13" s="18">
        <v>2.4</v>
      </c>
      <c r="C13" s="18"/>
      <c r="D13" s="18"/>
    </row>
    <row r="14" spans="1:4" x14ac:dyDescent="0.25">
      <c r="A14" s="18">
        <v>2.7</v>
      </c>
      <c r="B14" s="18">
        <v>2.7</v>
      </c>
      <c r="C14" s="18"/>
      <c r="D14" s="18"/>
    </row>
    <row r="15" spans="1:4" x14ac:dyDescent="0.25">
      <c r="A15" s="18">
        <v>3</v>
      </c>
      <c r="B15" s="18">
        <v>3</v>
      </c>
      <c r="C15" s="18"/>
      <c r="D15" s="18"/>
    </row>
    <row r="16" spans="1:4" x14ac:dyDescent="0.25">
      <c r="A16" s="18">
        <v>3.3</v>
      </c>
      <c r="B16" s="18">
        <v>3.3</v>
      </c>
      <c r="C16" s="18">
        <v>3.3</v>
      </c>
      <c r="D16" s="18">
        <v>3.3</v>
      </c>
    </row>
    <row r="17" spans="1:6" x14ac:dyDescent="0.25">
      <c r="A17" s="18">
        <v>3.6</v>
      </c>
      <c r="B17" s="18">
        <v>3.6</v>
      </c>
      <c r="C17" s="18">
        <f>C18</f>
        <v>4.7</v>
      </c>
      <c r="D17" s="18"/>
    </row>
    <row r="18" spans="1:6" x14ac:dyDescent="0.25">
      <c r="A18" s="18">
        <v>3.9</v>
      </c>
      <c r="B18" s="18">
        <v>3.9</v>
      </c>
      <c r="C18" s="18">
        <f>C19</f>
        <v>4.7</v>
      </c>
      <c r="D18" s="18"/>
    </row>
    <row r="19" spans="1:6" x14ac:dyDescent="0.25">
      <c r="A19" s="18">
        <v>4.3</v>
      </c>
      <c r="B19" s="18">
        <v>4.3</v>
      </c>
      <c r="C19" s="18">
        <f>C20</f>
        <v>4.7</v>
      </c>
      <c r="D19" s="18"/>
    </row>
    <row r="20" spans="1:6" x14ac:dyDescent="0.25">
      <c r="A20" s="18">
        <v>4.7</v>
      </c>
      <c r="B20" s="18">
        <v>4.7</v>
      </c>
      <c r="C20" s="18">
        <v>4.7</v>
      </c>
      <c r="D20" s="18">
        <v>4.7</v>
      </c>
    </row>
    <row r="21" spans="1:6" x14ac:dyDescent="0.25">
      <c r="A21" s="18">
        <v>5.0999999999999996</v>
      </c>
      <c r="B21" s="18">
        <v>5.0999999999999996</v>
      </c>
      <c r="C21" s="18">
        <f>C22</f>
        <v>6.8</v>
      </c>
      <c r="D21" s="18"/>
    </row>
    <row r="22" spans="1:6" x14ac:dyDescent="0.25">
      <c r="A22" s="18">
        <v>5.6</v>
      </c>
      <c r="B22" s="18">
        <v>5.6</v>
      </c>
      <c r="C22" s="18">
        <f>C23</f>
        <v>6.8</v>
      </c>
      <c r="D22" s="18"/>
    </row>
    <row r="23" spans="1:6" x14ac:dyDescent="0.25">
      <c r="A23" s="18">
        <v>6.2</v>
      </c>
      <c r="B23" s="18">
        <v>6.2</v>
      </c>
      <c r="C23" s="18">
        <f>C24</f>
        <v>6.8</v>
      </c>
      <c r="D23" s="18"/>
    </row>
    <row r="24" spans="1:6" x14ac:dyDescent="0.25">
      <c r="A24" s="18">
        <v>6.8</v>
      </c>
      <c r="B24" s="18">
        <v>6.8</v>
      </c>
      <c r="C24" s="18">
        <v>6.8</v>
      </c>
      <c r="D24" s="18">
        <v>6.8</v>
      </c>
    </row>
    <row r="25" spans="1:6" x14ac:dyDescent="0.25">
      <c r="A25" s="18">
        <v>7.5</v>
      </c>
      <c r="B25" s="18">
        <v>7.5</v>
      </c>
      <c r="C25" s="18">
        <f>C26</f>
        <v>10</v>
      </c>
      <c r="D25" s="18"/>
    </row>
    <row r="26" spans="1:6" x14ac:dyDescent="0.25">
      <c r="A26" s="18">
        <v>8.1999999999999993</v>
      </c>
      <c r="B26" s="18">
        <v>8.1999999999999993</v>
      </c>
      <c r="C26" s="18">
        <f>C27</f>
        <v>10</v>
      </c>
      <c r="D26" s="18"/>
    </row>
    <row r="27" spans="1:6" x14ac:dyDescent="0.25">
      <c r="A27" s="18">
        <v>9.1</v>
      </c>
      <c r="B27" s="18">
        <v>9.1</v>
      </c>
      <c r="C27" s="18">
        <f>C28</f>
        <v>10</v>
      </c>
      <c r="D27" s="18"/>
    </row>
    <row r="28" spans="1:6" x14ac:dyDescent="0.25">
      <c r="A28" s="18">
        <v>10</v>
      </c>
      <c r="B28" s="18">
        <v>10</v>
      </c>
      <c r="C28" s="18">
        <v>10</v>
      </c>
      <c r="D28" s="18">
        <v>10</v>
      </c>
    </row>
    <row r="29" spans="1:6" x14ac:dyDescent="0.25">
      <c r="A29" s="18">
        <v>11</v>
      </c>
      <c r="B29" s="18">
        <f t="shared" ref="B29:C31" si="0">B30</f>
        <v>15</v>
      </c>
      <c r="C29" s="18">
        <f t="shared" si="0"/>
        <v>15</v>
      </c>
      <c r="D29" s="18"/>
    </row>
    <row r="30" spans="1:6" x14ac:dyDescent="0.25">
      <c r="A30" s="18">
        <v>12</v>
      </c>
      <c r="B30" s="18">
        <f t="shared" si="0"/>
        <v>15</v>
      </c>
      <c r="C30" s="18">
        <f t="shared" si="0"/>
        <v>15</v>
      </c>
      <c r="D30" s="18"/>
    </row>
    <row r="31" spans="1:6" x14ac:dyDescent="0.25">
      <c r="A31" s="18">
        <v>13</v>
      </c>
      <c r="B31" s="18">
        <f t="shared" si="0"/>
        <v>15</v>
      </c>
      <c r="C31" s="18">
        <f t="shared" si="0"/>
        <v>15</v>
      </c>
      <c r="D31" s="18"/>
    </row>
    <row r="32" spans="1:6" x14ac:dyDescent="0.25">
      <c r="A32" s="18">
        <v>15</v>
      </c>
      <c r="B32" s="18">
        <v>15</v>
      </c>
      <c r="C32" s="18">
        <v>15</v>
      </c>
      <c r="D32" s="18"/>
      <c r="F32" s="20"/>
    </row>
    <row r="33" spans="1:4" x14ac:dyDescent="0.25">
      <c r="A33" s="18">
        <v>16</v>
      </c>
      <c r="B33" s="18">
        <f t="shared" ref="B33:C35" si="1">B34</f>
        <v>22</v>
      </c>
      <c r="C33" s="18">
        <f t="shared" si="1"/>
        <v>22</v>
      </c>
      <c r="D33" s="18"/>
    </row>
    <row r="34" spans="1:4" x14ac:dyDescent="0.25">
      <c r="A34" s="18">
        <v>18</v>
      </c>
      <c r="B34" s="18">
        <f t="shared" si="1"/>
        <v>22</v>
      </c>
      <c r="C34" s="18">
        <f t="shared" si="1"/>
        <v>22</v>
      </c>
      <c r="D34" s="18"/>
    </row>
    <row r="35" spans="1:4" x14ac:dyDescent="0.25">
      <c r="A35" s="18">
        <v>20</v>
      </c>
      <c r="B35" s="18">
        <f t="shared" si="1"/>
        <v>22</v>
      </c>
      <c r="C35" s="18">
        <f t="shared" si="1"/>
        <v>22</v>
      </c>
      <c r="D35" s="18"/>
    </row>
    <row r="36" spans="1:4" x14ac:dyDescent="0.25">
      <c r="A36" s="18">
        <v>22</v>
      </c>
      <c r="B36" s="18">
        <v>22</v>
      </c>
      <c r="C36" s="18">
        <v>22</v>
      </c>
      <c r="D36" s="18"/>
    </row>
    <row r="37" spans="1:4" x14ac:dyDescent="0.25">
      <c r="A37" s="18">
        <v>24</v>
      </c>
      <c r="B37" s="18">
        <f t="shared" ref="B37:C39" si="2">B38</f>
        <v>33</v>
      </c>
      <c r="C37" s="18">
        <f t="shared" si="2"/>
        <v>33</v>
      </c>
      <c r="D37" s="18"/>
    </row>
    <row r="38" spans="1:4" x14ac:dyDescent="0.25">
      <c r="A38" s="18">
        <v>27</v>
      </c>
      <c r="B38" s="18">
        <f t="shared" si="2"/>
        <v>33</v>
      </c>
      <c r="C38" s="18">
        <f t="shared" si="2"/>
        <v>33</v>
      </c>
      <c r="D38" s="18"/>
    </row>
    <row r="39" spans="1:4" x14ac:dyDescent="0.25">
      <c r="A39" s="18">
        <v>30</v>
      </c>
      <c r="B39" s="18">
        <f t="shared" si="2"/>
        <v>33</v>
      </c>
      <c r="C39" s="18">
        <f t="shared" si="2"/>
        <v>33</v>
      </c>
      <c r="D39" s="18"/>
    </row>
    <row r="40" spans="1:4" x14ac:dyDescent="0.25">
      <c r="A40" s="18">
        <v>33</v>
      </c>
      <c r="B40" s="18">
        <v>33</v>
      </c>
      <c r="C40" s="18">
        <v>33</v>
      </c>
      <c r="D40" s="18"/>
    </row>
    <row r="41" spans="1:4" x14ac:dyDescent="0.25">
      <c r="A41" s="18">
        <v>36</v>
      </c>
      <c r="B41" s="18">
        <f t="shared" ref="B41:C43" si="3">B42</f>
        <v>47</v>
      </c>
      <c r="C41" s="18">
        <f t="shared" si="3"/>
        <v>47</v>
      </c>
      <c r="D41" s="18"/>
    </row>
    <row r="42" spans="1:4" x14ac:dyDescent="0.25">
      <c r="A42" s="18">
        <v>39</v>
      </c>
      <c r="B42" s="18">
        <f t="shared" si="3"/>
        <v>47</v>
      </c>
      <c r="C42" s="18">
        <f t="shared" si="3"/>
        <v>47</v>
      </c>
      <c r="D42" s="18"/>
    </row>
    <row r="43" spans="1:4" x14ac:dyDescent="0.25">
      <c r="A43" s="18">
        <v>43</v>
      </c>
      <c r="B43" s="18">
        <f t="shared" si="3"/>
        <v>47</v>
      </c>
      <c r="C43" s="18">
        <f t="shared" si="3"/>
        <v>47</v>
      </c>
      <c r="D43" s="18"/>
    </row>
    <row r="44" spans="1:4" x14ac:dyDescent="0.25">
      <c r="A44" s="18">
        <v>47</v>
      </c>
      <c r="B44" s="18">
        <v>47</v>
      </c>
      <c r="C44" s="18">
        <v>47</v>
      </c>
      <c r="D44" s="18"/>
    </row>
    <row r="45" spans="1:4" x14ac:dyDescent="0.25">
      <c r="A45" s="18">
        <v>51</v>
      </c>
      <c r="B45" s="18">
        <f t="shared" ref="B45:C47" si="4">B46</f>
        <v>68</v>
      </c>
      <c r="C45" s="18">
        <f t="shared" si="4"/>
        <v>68</v>
      </c>
      <c r="D45" s="18"/>
    </row>
    <row r="46" spans="1:4" x14ac:dyDescent="0.25">
      <c r="A46" s="18">
        <v>56</v>
      </c>
      <c r="B46" s="18">
        <f t="shared" si="4"/>
        <v>68</v>
      </c>
      <c r="C46" s="18">
        <f t="shared" si="4"/>
        <v>68</v>
      </c>
      <c r="D46" s="18"/>
    </row>
    <row r="47" spans="1:4" x14ac:dyDescent="0.25">
      <c r="A47" s="18">
        <v>62</v>
      </c>
      <c r="B47" s="18">
        <f t="shared" si="4"/>
        <v>68</v>
      </c>
      <c r="C47" s="18">
        <f t="shared" si="4"/>
        <v>68</v>
      </c>
      <c r="D47" s="18"/>
    </row>
    <row r="48" spans="1:4" x14ac:dyDescent="0.25">
      <c r="A48" s="18">
        <v>68</v>
      </c>
      <c r="B48" s="18">
        <v>68</v>
      </c>
      <c r="C48" s="18">
        <v>68</v>
      </c>
      <c r="D48" s="18"/>
    </row>
    <row r="49" spans="1:4" x14ac:dyDescent="0.25">
      <c r="A49" s="18">
        <v>75</v>
      </c>
      <c r="B49" s="18">
        <f t="shared" ref="B49:C51" si="5">B50</f>
        <v>100</v>
      </c>
      <c r="C49" s="18">
        <f t="shared" si="5"/>
        <v>100</v>
      </c>
      <c r="D49" s="18"/>
    </row>
    <row r="50" spans="1:4" x14ac:dyDescent="0.25">
      <c r="A50" s="18">
        <v>82</v>
      </c>
      <c r="B50" s="18">
        <f t="shared" si="5"/>
        <v>100</v>
      </c>
      <c r="C50" s="18">
        <f t="shared" si="5"/>
        <v>100</v>
      </c>
      <c r="D50" s="18"/>
    </row>
    <row r="51" spans="1:4" x14ac:dyDescent="0.25">
      <c r="A51" s="18">
        <v>91</v>
      </c>
      <c r="B51" s="18">
        <f t="shared" si="5"/>
        <v>100</v>
      </c>
      <c r="C51" s="18">
        <f t="shared" si="5"/>
        <v>100</v>
      </c>
      <c r="D51" s="18"/>
    </row>
    <row r="52" spans="1:4" x14ac:dyDescent="0.25">
      <c r="A52" s="18">
        <v>100</v>
      </c>
      <c r="B52" s="18">
        <v>100</v>
      </c>
      <c r="C52" s="18">
        <v>100</v>
      </c>
    </row>
    <row r="53" spans="1:4" x14ac:dyDescent="0.25">
      <c r="A53" s="18">
        <v>110</v>
      </c>
      <c r="B53" s="18">
        <f t="shared" ref="B53:C55" si="6">B54</f>
        <v>150</v>
      </c>
      <c r="C53" s="18">
        <f t="shared" si="6"/>
        <v>150</v>
      </c>
    </row>
    <row r="54" spans="1:4" x14ac:dyDescent="0.25">
      <c r="A54" s="18">
        <v>120</v>
      </c>
      <c r="B54" s="18">
        <f t="shared" si="6"/>
        <v>150</v>
      </c>
      <c r="C54" s="18">
        <f t="shared" si="6"/>
        <v>150</v>
      </c>
    </row>
    <row r="55" spans="1:4" x14ac:dyDescent="0.25">
      <c r="A55" s="18">
        <v>130</v>
      </c>
      <c r="B55" s="18">
        <f t="shared" si="6"/>
        <v>150</v>
      </c>
      <c r="C55" s="18">
        <f t="shared" si="6"/>
        <v>150</v>
      </c>
    </row>
    <row r="56" spans="1:4" x14ac:dyDescent="0.25">
      <c r="A56" s="18">
        <v>150</v>
      </c>
      <c r="B56" s="18">
        <v>150</v>
      </c>
      <c r="C56" s="18">
        <v>150</v>
      </c>
    </row>
    <row r="57" spans="1:4" x14ac:dyDescent="0.25">
      <c r="A57" s="18">
        <v>160</v>
      </c>
      <c r="B57" s="18">
        <f t="shared" ref="B57:C59" si="7">B58</f>
        <v>220</v>
      </c>
      <c r="C57" s="18">
        <f t="shared" si="7"/>
        <v>220</v>
      </c>
    </row>
    <row r="58" spans="1:4" x14ac:dyDescent="0.25">
      <c r="A58" s="18">
        <v>180</v>
      </c>
      <c r="B58" s="18">
        <f t="shared" si="7"/>
        <v>220</v>
      </c>
      <c r="C58" s="18">
        <f t="shared" si="7"/>
        <v>220</v>
      </c>
    </row>
    <row r="59" spans="1:4" x14ac:dyDescent="0.25">
      <c r="A59" s="18">
        <v>200</v>
      </c>
      <c r="B59" s="18">
        <f t="shared" si="7"/>
        <v>220</v>
      </c>
      <c r="C59" s="18">
        <f t="shared" si="7"/>
        <v>220</v>
      </c>
    </row>
    <row r="60" spans="1:4" x14ac:dyDescent="0.25">
      <c r="A60" s="18">
        <v>220</v>
      </c>
      <c r="B60" s="18">
        <v>220</v>
      </c>
      <c r="C60" s="18">
        <v>220</v>
      </c>
    </row>
    <row r="61" spans="1:4" x14ac:dyDescent="0.25">
      <c r="A61" s="18">
        <v>240</v>
      </c>
      <c r="B61" s="18">
        <f t="shared" ref="B61:C63" si="8">B62</f>
        <v>330</v>
      </c>
      <c r="C61" s="18">
        <f t="shared" si="8"/>
        <v>330</v>
      </c>
    </row>
    <row r="62" spans="1:4" x14ac:dyDescent="0.25">
      <c r="A62" s="18">
        <v>270</v>
      </c>
      <c r="B62" s="18">
        <f t="shared" si="8"/>
        <v>330</v>
      </c>
      <c r="C62" s="18">
        <f t="shared" si="8"/>
        <v>330</v>
      </c>
    </row>
    <row r="63" spans="1:4" x14ac:dyDescent="0.25">
      <c r="A63" s="18">
        <v>300</v>
      </c>
      <c r="B63" s="18">
        <f t="shared" si="8"/>
        <v>330</v>
      </c>
      <c r="C63" s="18">
        <f t="shared" si="8"/>
        <v>330</v>
      </c>
    </row>
    <row r="64" spans="1:4" x14ac:dyDescent="0.25">
      <c r="A64" s="18">
        <v>330</v>
      </c>
      <c r="B64" s="18">
        <v>330</v>
      </c>
      <c r="C64" s="18">
        <v>330</v>
      </c>
    </row>
    <row r="65" spans="1:3" x14ac:dyDescent="0.25">
      <c r="A65" s="18">
        <v>360</v>
      </c>
      <c r="B65" s="18">
        <f t="shared" ref="B65:C67" si="9">B66</f>
        <v>470</v>
      </c>
      <c r="C65" s="18">
        <f t="shared" si="9"/>
        <v>470</v>
      </c>
    </row>
    <row r="66" spans="1:3" x14ac:dyDescent="0.25">
      <c r="A66" s="18">
        <v>390</v>
      </c>
      <c r="B66" s="18">
        <f t="shared" si="9"/>
        <v>470</v>
      </c>
      <c r="C66" s="18">
        <f t="shared" si="9"/>
        <v>470</v>
      </c>
    </row>
    <row r="67" spans="1:3" x14ac:dyDescent="0.25">
      <c r="A67" s="18">
        <v>430</v>
      </c>
      <c r="B67" s="18">
        <f t="shared" si="9"/>
        <v>470</v>
      </c>
      <c r="C67" s="18">
        <f t="shared" si="9"/>
        <v>470</v>
      </c>
    </row>
    <row r="68" spans="1:3" x14ac:dyDescent="0.25">
      <c r="A68" s="18">
        <v>470</v>
      </c>
      <c r="B68" s="18">
        <v>470</v>
      </c>
      <c r="C68" s="18">
        <v>470</v>
      </c>
    </row>
    <row r="69" spans="1:3" x14ac:dyDescent="0.25">
      <c r="A69" s="18">
        <v>510</v>
      </c>
      <c r="B69" s="18">
        <f t="shared" ref="B69:C71" si="10">B70</f>
        <v>680</v>
      </c>
      <c r="C69" s="18">
        <f t="shared" si="10"/>
        <v>680</v>
      </c>
    </row>
    <row r="70" spans="1:3" x14ac:dyDescent="0.25">
      <c r="A70" s="18">
        <v>560</v>
      </c>
      <c r="B70" s="18">
        <f t="shared" si="10"/>
        <v>680</v>
      </c>
      <c r="C70" s="18">
        <f t="shared" si="10"/>
        <v>680</v>
      </c>
    </row>
    <row r="71" spans="1:3" x14ac:dyDescent="0.25">
      <c r="A71" s="18">
        <v>620</v>
      </c>
      <c r="B71" s="18">
        <f t="shared" si="10"/>
        <v>680</v>
      </c>
      <c r="C71" s="18">
        <f t="shared" si="10"/>
        <v>680</v>
      </c>
    </row>
    <row r="72" spans="1:3" x14ac:dyDescent="0.25">
      <c r="A72" s="18">
        <v>680</v>
      </c>
      <c r="B72" s="18">
        <v>680</v>
      </c>
      <c r="C72" s="18">
        <v>680</v>
      </c>
    </row>
    <row r="73" spans="1:3" x14ac:dyDescent="0.25">
      <c r="A73" s="18">
        <v>750</v>
      </c>
      <c r="B73" s="18">
        <f>B74</f>
        <v>1000</v>
      </c>
      <c r="C73" s="18">
        <f>C74</f>
        <v>1000</v>
      </c>
    </row>
    <row r="74" spans="1:3" x14ac:dyDescent="0.25">
      <c r="A74" s="18">
        <v>820</v>
      </c>
      <c r="B74" s="18">
        <f>B75</f>
        <v>1000</v>
      </c>
      <c r="C74" s="18">
        <f>C75</f>
        <v>1000</v>
      </c>
    </row>
    <row r="75" spans="1:3" x14ac:dyDescent="0.25">
      <c r="A75" s="18">
        <v>910</v>
      </c>
      <c r="B75" s="18">
        <v>1000</v>
      </c>
      <c r="C75" s="18">
        <v>1000</v>
      </c>
    </row>
  </sheetData>
  <sheetProtection sheet="1" objects="1" scenarios="1"/>
  <hyperlinks>
    <hyperlink ref="A1:B1" r:id="rId1" display="Standard Capacitor Values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Calculation Sheet</vt:lpstr>
      <vt:lpstr>Thermal Shutdown Limit Plot</vt:lpstr>
      <vt:lpstr>Res EIA Tables</vt:lpstr>
      <vt:lpstr>Cap Tables</vt:lpstr>
      <vt:lpstr>Cdvdt_ext</vt:lpstr>
      <vt:lpstr>Cdvdt_ext_cal1</vt:lpstr>
      <vt:lpstr>Cext</vt:lpstr>
      <vt:lpstr>Cext_dvdt_cal2</vt:lpstr>
      <vt:lpstr>Cexttol</vt:lpstr>
      <vt:lpstr>Cgs_gate</vt:lpstr>
      <vt:lpstr>Cint</vt:lpstr>
      <vt:lpstr>Cout</vt:lpstr>
      <vt:lpstr>Coutp</vt:lpstr>
      <vt:lpstr>Ctot</vt:lpstr>
      <vt:lpstr>Gain_dvdt</vt:lpstr>
      <vt:lpstr>GainCdvdt</vt:lpstr>
      <vt:lpstr>I_dvdt</vt:lpstr>
      <vt:lpstr>Icharge</vt:lpstr>
      <vt:lpstr>Icharge_req</vt:lpstr>
      <vt:lpstr>Ichgmax</vt:lpstr>
      <vt:lpstr>Igs_gate</vt:lpstr>
      <vt:lpstr>Ilimit</vt:lpstr>
      <vt:lpstr>Ilimit_final</vt:lpstr>
      <vt:lpstr>Ilimit_offset</vt:lpstr>
      <vt:lpstr>Ilimit_vset</vt:lpstr>
      <vt:lpstr>Imax</vt:lpstr>
      <vt:lpstr>Imon_chg</vt:lpstr>
      <vt:lpstr>Imon_gain</vt:lpstr>
      <vt:lpstr>OVref</vt:lpstr>
      <vt:lpstr>OVset</vt:lpstr>
      <vt:lpstr>PGTH</vt:lpstr>
      <vt:lpstr>PGTH_REF</vt:lpstr>
      <vt:lpstr>Rdson_125deg</vt:lpstr>
      <vt:lpstr>Rdson_25deg</vt:lpstr>
      <vt:lpstr>Rdson_85deg</vt:lpstr>
      <vt:lpstr>Rilim</vt:lpstr>
      <vt:lpstr>Rlimit</vt:lpstr>
      <vt:lpstr>Rlstart</vt:lpstr>
      <vt:lpstr>RMON_sel</vt:lpstr>
      <vt:lpstr>RpPGTH</vt:lpstr>
      <vt:lpstr>RpUVLO</vt:lpstr>
      <vt:lpstr>Rtheta_ja_max</vt:lpstr>
      <vt:lpstr>Tch</vt:lpstr>
      <vt:lpstr>Tchg_dvdt</vt:lpstr>
      <vt:lpstr>Tchg_req</vt:lpstr>
      <vt:lpstr>Tchmin</vt:lpstr>
      <vt:lpstr>Tj_max</vt:lpstr>
      <vt:lpstr>UVref</vt:lpstr>
      <vt:lpstr>UVset</vt:lpstr>
      <vt:lpstr>Vcc_max</vt:lpstr>
      <vt:lpstr>Vsys</vt:lpstr>
      <vt:lpstr>Ztheta_jc_tran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Filip.Filip</cp:lastModifiedBy>
  <cp:lastPrinted>2013-06-05T10:58:25Z</cp:lastPrinted>
  <dcterms:created xsi:type="dcterms:W3CDTF">2013-05-30T14:28:05Z</dcterms:created>
  <dcterms:modified xsi:type="dcterms:W3CDTF">2020-07-18T17:47:32Z</dcterms:modified>
</cp:coreProperties>
</file>